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0\Рішення від 07.10.2020 року №\"/>
    </mc:Choice>
  </mc:AlternateContent>
  <xr:revisionPtr revIDLastSave="0" documentId="13_ncr:1_{5C699D33-01E4-4B9B-A775-AB0D2F6A1A6C}" xr6:coauthVersionLast="45" xr6:coauthVersionMax="45" xr10:uidLastSave="{00000000-0000-0000-0000-000000000000}"/>
  <bookViews>
    <workbookView xWindow="-120" yWindow="480" windowWidth="29040" windowHeight="15840" tabRatio="585" activeTab="4" xr2:uid="{00000000-000D-0000-FFFF-FFFF00000000}"/>
  </bookViews>
  <sheets>
    <sheet name="d1" sheetId="138" r:id="rId1"/>
    <sheet name="d2" sheetId="127" r:id="rId2"/>
    <sheet name="d3" sheetId="165" r:id="rId3"/>
    <sheet name="d4" sheetId="107" r:id="rId4"/>
    <sheet name="d5" sheetId="166" r:id="rId5"/>
    <sheet name="d6" sheetId="108" r:id="rId6"/>
    <sheet name="d7" sheetId="153" r:id="rId7"/>
    <sheet name="d8" sheetId="167" r:id="rId8"/>
    <sheet name="d3-п" sheetId="168" r:id="rId9"/>
    <sheet name="Р-п" sheetId="169" r:id="rId10"/>
    <sheet name="d3-08" sheetId="170" r:id="rId11"/>
    <sheet name="Р-08" sheetId="171" r:id="rId12"/>
  </sheets>
  <externalReferences>
    <externalReference r:id="rId13"/>
  </externalReferences>
  <definedNames>
    <definedName name="_GoBack" localSheetId="4">'d5'!#REF!</definedName>
    <definedName name="_xlnm.Print_Titles" localSheetId="2">'d3'!$12:$15</definedName>
    <definedName name="_xlnm.Print_Titles" localSheetId="10">'d3-08'!$12:$15</definedName>
    <definedName name="_xlnm.Print_Titles" localSheetId="8">'d3-п'!$12:$15</definedName>
    <definedName name="_xlnm.Print_Titles" localSheetId="4">'d5'!$9:$10</definedName>
    <definedName name="_xlnm.Print_Titles" localSheetId="7">'d8'!$11:$13</definedName>
    <definedName name="_xlnm.Print_Titles" localSheetId="11">'Р-08'!$12:$15</definedName>
    <definedName name="_xlnm.Print_Titles" localSheetId="9">'Р-п'!$12:$15</definedName>
    <definedName name="_xlnm.Print_Area" localSheetId="0">'d1'!$A$1:$F$113</definedName>
    <definedName name="_xlnm.Print_Area" localSheetId="1">'d2'!$A$1:$F$41</definedName>
    <definedName name="_xlnm.Print_Area" localSheetId="2">'d3'!$A$1:$P$185</definedName>
    <definedName name="_xlnm.Print_Area" localSheetId="10">'d3-08'!$A$1:$P$186</definedName>
    <definedName name="_xlnm.Print_Area" localSheetId="8">'d3-п'!$A$1:$P$187</definedName>
    <definedName name="_xlnm.Print_Area" localSheetId="3">'d4'!$B$1:$Q$20</definedName>
    <definedName name="_xlnm.Print_Area" localSheetId="4">'d5'!$A$1:$K$249</definedName>
    <definedName name="_xlnm.Print_Area" localSheetId="5">'d6'!$A$1:$D$35</definedName>
    <definedName name="_xlnm.Print_Area" localSheetId="6">'d7'!$A$1:$F$25</definedName>
    <definedName name="_xlnm.Print_Area" localSheetId="7">'d8'!$A$1:$J$223</definedName>
    <definedName name="_xlnm.Print_Area" localSheetId="11">'Р-08'!$A$1:$P$185</definedName>
    <definedName name="_xlnm.Print_Area" localSheetId="9">'Р-п'!$A$1:$P$180</definedName>
    <definedName name="С16" localSheetId="0">#REF!</definedName>
    <definedName name="С16" localSheetId="1">#REF!</definedName>
    <definedName name="С16" localSheetId="4">#REF!</definedName>
    <definedName name="С16" localSheetId="6">#REF!</definedName>
    <definedName name="С16" localSheetId="7">#REF!</definedName>
    <definedName name="С16">#REF!</definedName>
  </definedNames>
  <calcPr calcId="191029"/>
</workbook>
</file>

<file path=xl/calcChain.xml><?xml version="1.0" encoding="utf-8"?>
<calcChain xmlns="http://schemas.openxmlformats.org/spreadsheetml/2006/main">
  <c r="K200" i="166" l="1"/>
  <c r="I200" i="166"/>
  <c r="O182" i="165" l="1"/>
  <c r="K182" i="165"/>
  <c r="J182" i="165"/>
  <c r="F182" i="165"/>
  <c r="K35" i="165" l="1"/>
  <c r="R35" i="165" s="1"/>
  <c r="F35" i="165"/>
  <c r="O25" i="171" l="1"/>
  <c r="N25" i="171"/>
  <c r="M25" i="171"/>
  <c r="L25" i="171"/>
  <c r="K25" i="171"/>
  <c r="I25" i="171"/>
  <c r="H25" i="171"/>
  <c r="G25" i="171"/>
  <c r="F25" i="171"/>
  <c r="N179" i="171"/>
  <c r="M179" i="171"/>
  <c r="L179" i="171"/>
  <c r="K179" i="171"/>
  <c r="I179" i="171"/>
  <c r="H179" i="171"/>
  <c r="G179" i="171"/>
  <c r="F179" i="171"/>
  <c r="N178" i="171"/>
  <c r="M178" i="171"/>
  <c r="L178" i="171"/>
  <c r="K178" i="171"/>
  <c r="I178" i="171"/>
  <c r="H178" i="171"/>
  <c r="G178" i="171"/>
  <c r="N177" i="171"/>
  <c r="M177" i="171"/>
  <c r="L177" i="171"/>
  <c r="K177" i="171"/>
  <c r="I177" i="171"/>
  <c r="H177" i="171"/>
  <c r="G177" i="171"/>
  <c r="N176" i="171"/>
  <c r="M176" i="171"/>
  <c r="M175" i="171" s="1"/>
  <c r="M174" i="171" s="1"/>
  <c r="L176" i="171"/>
  <c r="K176" i="171"/>
  <c r="K175" i="171" s="1"/>
  <c r="K174" i="171" s="1"/>
  <c r="I176" i="171"/>
  <c r="N173" i="171"/>
  <c r="M173" i="171"/>
  <c r="L173" i="171"/>
  <c r="K173" i="171"/>
  <c r="I173" i="171"/>
  <c r="H173" i="171"/>
  <c r="G173" i="171"/>
  <c r="F173" i="171"/>
  <c r="N172" i="171"/>
  <c r="M172" i="171"/>
  <c r="L172" i="171"/>
  <c r="K172" i="171"/>
  <c r="I172" i="171"/>
  <c r="H172" i="171"/>
  <c r="G172" i="171"/>
  <c r="F172" i="171"/>
  <c r="N171" i="171"/>
  <c r="M171" i="171"/>
  <c r="M170" i="171" s="1"/>
  <c r="M169" i="171" s="1"/>
  <c r="L171" i="171"/>
  <c r="L170" i="171" s="1"/>
  <c r="L169" i="171" s="1"/>
  <c r="K171" i="171"/>
  <c r="I171" i="171"/>
  <c r="N168" i="171"/>
  <c r="M168" i="171"/>
  <c r="K168" i="171"/>
  <c r="I168" i="171"/>
  <c r="H168" i="171"/>
  <c r="G168" i="171"/>
  <c r="F168" i="171"/>
  <c r="E168" i="171"/>
  <c r="N167" i="171"/>
  <c r="M167" i="171"/>
  <c r="L167" i="171"/>
  <c r="K167" i="171"/>
  <c r="I167" i="171"/>
  <c r="H167" i="171"/>
  <c r="G167" i="171"/>
  <c r="F167" i="171"/>
  <c r="N166" i="171"/>
  <c r="M166" i="171"/>
  <c r="L166" i="171"/>
  <c r="K166" i="171"/>
  <c r="I166" i="171"/>
  <c r="H166" i="171"/>
  <c r="G166" i="171"/>
  <c r="F166" i="171"/>
  <c r="N165" i="171"/>
  <c r="M165" i="171"/>
  <c r="K165" i="171"/>
  <c r="I165" i="171"/>
  <c r="H165" i="171"/>
  <c r="G165" i="171"/>
  <c r="F165" i="171"/>
  <c r="N164" i="171"/>
  <c r="M164" i="171"/>
  <c r="L164" i="171"/>
  <c r="K164" i="171"/>
  <c r="I164" i="171"/>
  <c r="H164" i="171"/>
  <c r="G164" i="171"/>
  <c r="N163" i="171"/>
  <c r="M163" i="171"/>
  <c r="L163" i="171"/>
  <c r="K163" i="171"/>
  <c r="I163" i="171"/>
  <c r="N160" i="171"/>
  <c r="M160" i="171"/>
  <c r="L160" i="171"/>
  <c r="K160" i="171"/>
  <c r="I160" i="171"/>
  <c r="H160" i="171"/>
  <c r="G160" i="171"/>
  <c r="F160" i="171"/>
  <c r="N159" i="171"/>
  <c r="M159" i="171"/>
  <c r="L159" i="171"/>
  <c r="L155" i="171" s="1"/>
  <c r="L154" i="171" s="1"/>
  <c r="I159" i="171"/>
  <c r="H159" i="171"/>
  <c r="G159" i="171"/>
  <c r="N158" i="171"/>
  <c r="N155" i="171" s="1"/>
  <c r="N154" i="171" s="1"/>
  <c r="M158" i="171"/>
  <c r="L158" i="171"/>
  <c r="K158" i="171"/>
  <c r="I158" i="171"/>
  <c r="H158" i="171"/>
  <c r="G158" i="171"/>
  <c r="N157" i="171"/>
  <c r="M157" i="171"/>
  <c r="M155" i="171" s="1"/>
  <c r="M154" i="171" s="1"/>
  <c r="L157" i="171"/>
  <c r="K157" i="171"/>
  <c r="I157" i="171"/>
  <c r="H157" i="171"/>
  <c r="H155" i="171" s="1"/>
  <c r="H154" i="171" s="1"/>
  <c r="G157" i="171"/>
  <c r="N153" i="171"/>
  <c r="M153" i="171"/>
  <c r="L153" i="171"/>
  <c r="L150" i="171" s="1"/>
  <c r="L149" i="171" s="1"/>
  <c r="K153" i="171"/>
  <c r="I153" i="171"/>
  <c r="H153" i="171"/>
  <c r="G153" i="171"/>
  <c r="N151" i="171"/>
  <c r="M151" i="171"/>
  <c r="M150" i="171" s="1"/>
  <c r="M149" i="171" s="1"/>
  <c r="L151" i="171"/>
  <c r="K151" i="171"/>
  <c r="R151" i="171" s="1"/>
  <c r="I151" i="171"/>
  <c r="N148" i="171"/>
  <c r="M148" i="171"/>
  <c r="L148" i="171"/>
  <c r="L146" i="171" s="1"/>
  <c r="K148" i="171"/>
  <c r="I148" i="171"/>
  <c r="H148" i="171"/>
  <c r="G148" i="171"/>
  <c r="F148" i="171"/>
  <c r="N147" i="171"/>
  <c r="M147" i="171"/>
  <c r="L147" i="171"/>
  <c r="K147" i="171"/>
  <c r="I147" i="171"/>
  <c r="I146" i="171" s="1"/>
  <c r="I145" i="171" s="1"/>
  <c r="N144" i="171"/>
  <c r="M144" i="171"/>
  <c r="L144" i="171"/>
  <c r="I144" i="171"/>
  <c r="H144" i="171"/>
  <c r="G144" i="171"/>
  <c r="F144" i="171"/>
  <c r="N143" i="171"/>
  <c r="M143" i="171"/>
  <c r="L143" i="171"/>
  <c r="I143" i="171"/>
  <c r="H143" i="171"/>
  <c r="G143" i="171"/>
  <c r="F143" i="171"/>
  <c r="N142" i="171"/>
  <c r="M142" i="171"/>
  <c r="L142" i="171"/>
  <c r="I142" i="171"/>
  <c r="H142" i="171"/>
  <c r="G142" i="171"/>
  <c r="F142" i="171"/>
  <c r="N141" i="171"/>
  <c r="M141" i="171"/>
  <c r="L141" i="171"/>
  <c r="I141" i="171"/>
  <c r="H141" i="171"/>
  <c r="G141" i="171"/>
  <c r="F141" i="171"/>
  <c r="N140" i="171"/>
  <c r="M140" i="171"/>
  <c r="L140" i="171"/>
  <c r="I140" i="171"/>
  <c r="H140" i="171"/>
  <c r="G140" i="171"/>
  <c r="F140" i="171"/>
  <c r="N139" i="171"/>
  <c r="M139" i="171"/>
  <c r="L139" i="171"/>
  <c r="I139" i="171"/>
  <c r="H139" i="171"/>
  <c r="G139" i="171"/>
  <c r="F139" i="171"/>
  <c r="N138" i="171"/>
  <c r="M138" i="171"/>
  <c r="L138" i="171"/>
  <c r="K138" i="171"/>
  <c r="I138" i="171"/>
  <c r="H138" i="171"/>
  <c r="G138" i="171"/>
  <c r="F138" i="171"/>
  <c r="N137" i="171"/>
  <c r="M137" i="171"/>
  <c r="L137" i="171"/>
  <c r="K137" i="171"/>
  <c r="I137" i="171"/>
  <c r="N134" i="171"/>
  <c r="M134" i="171"/>
  <c r="L134" i="171"/>
  <c r="K134" i="171"/>
  <c r="I134" i="171"/>
  <c r="F134" i="171"/>
  <c r="N133" i="171"/>
  <c r="M133" i="171"/>
  <c r="L133" i="171"/>
  <c r="K133" i="171"/>
  <c r="I133" i="171"/>
  <c r="H133" i="171"/>
  <c r="G133" i="171"/>
  <c r="F133" i="171"/>
  <c r="N131" i="171"/>
  <c r="M131" i="171"/>
  <c r="K131" i="171"/>
  <c r="I131" i="171"/>
  <c r="H131" i="171"/>
  <c r="G131" i="171"/>
  <c r="F131" i="171"/>
  <c r="N130" i="171"/>
  <c r="M130" i="171"/>
  <c r="L130" i="171"/>
  <c r="I130" i="171"/>
  <c r="H130" i="171"/>
  <c r="G130" i="171"/>
  <c r="F130" i="171"/>
  <c r="N129" i="171"/>
  <c r="M129" i="171"/>
  <c r="L129" i="171"/>
  <c r="I129" i="171"/>
  <c r="H129" i="171"/>
  <c r="G129" i="171"/>
  <c r="N128" i="171"/>
  <c r="M128" i="171"/>
  <c r="L128" i="171"/>
  <c r="I128" i="171"/>
  <c r="H128" i="171"/>
  <c r="G128" i="171"/>
  <c r="N127" i="171"/>
  <c r="M127" i="171"/>
  <c r="L127" i="171"/>
  <c r="I127" i="171"/>
  <c r="H127" i="171"/>
  <c r="G127" i="171"/>
  <c r="F127" i="171"/>
  <c r="N126" i="171"/>
  <c r="M126" i="171"/>
  <c r="L126" i="171"/>
  <c r="I126" i="171"/>
  <c r="H126" i="171"/>
  <c r="G126" i="171"/>
  <c r="F126" i="171"/>
  <c r="N125" i="171"/>
  <c r="M125" i="171"/>
  <c r="L125" i="171"/>
  <c r="I125" i="171"/>
  <c r="H125" i="171"/>
  <c r="G125" i="171"/>
  <c r="N124" i="171"/>
  <c r="M124" i="171"/>
  <c r="L124" i="171"/>
  <c r="K124" i="171"/>
  <c r="I124" i="171"/>
  <c r="H124" i="171"/>
  <c r="G124" i="171"/>
  <c r="F124" i="171"/>
  <c r="N123" i="171"/>
  <c r="M123" i="171"/>
  <c r="L123" i="171"/>
  <c r="I123" i="171"/>
  <c r="H123" i="171"/>
  <c r="G123" i="171"/>
  <c r="F123" i="171"/>
  <c r="N122" i="171"/>
  <c r="M122" i="171"/>
  <c r="L122" i="171"/>
  <c r="I122" i="171"/>
  <c r="H122" i="171"/>
  <c r="G122" i="171"/>
  <c r="F122" i="171"/>
  <c r="N121" i="171"/>
  <c r="M121" i="171"/>
  <c r="L121" i="171"/>
  <c r="K121" i="171"/>
  <c r="I121" i="171"/>
  <c r="H121" i="171"/>
  <c r="G121" i="171"/>
  <c r="N120" i="171"/>
  <c r="M120" i="171"/>
  <c r="L120" i="171"/>
  <c r="K120" i="171"/>
  <c r="I120" i="171"/>
  <c r="H120" i="171"/>
  <c r="G120" i="171"/>
  <c r="N119" i="171"/>
  <c r="M119" i="171"/>
  <c r="L119" i="171"/>
  <c r="I119" i="171"/>
  <c r="H119" i="171"/>
  <c r="G119" i="171"/>
  <c r="N118" i="171"/>
  <c r="M118" i="171"/>
  <c r="L118" i="171"/>
  <c r="K118" i="171"/>
  <c r="I118" i="171"/>
  <c r="H118" i="171"/>
  <c r="G118" i="171"/>
  <c r="F118" i="171"/>
  <c r="N117" i="171"/>
  <c r="M117" i="171"/>
  <c r="L117" i="171"/>
  <c r="K117" i="171"/>
  <c r="I117" i="171"/>
  <c r="N114" i="171"/>
  <c r="M114" i="171"/>
  <c r="L114" i="171"/>
  <c r="K114" i="171"/>
  <c r="R114" i="171" s="1"/>
  <c r="I114" i="171"/>
  <c r="H114" i="171"/>
  <c r="G114" i="171"/>
  <c r="F114" i="171"/>
  <c r="N113" i="171"/>
  <c r="M113" i="171"/>
  <c r="L113" i="171"/>
  <c r="K113" i="171"/>
  <c r="I113" i="171"/>
  <c r="H113" i="171"/>
  <c r="G113" i="171"/>
  <c r="N112" i="171"/>
  <c r="M112" i="171"/>
  <c r="L112" i="171"/>
  <c r="K112" i="171"/>
  <c r="I112" i="171"/>
  <c r="H112" i="171"/>
  <c r="G112" i="171"/>
  <c r="F112" i="171"/>
  <c r="N110" i="171"/>
  <c r="M110" i="171"/>
  <c r="L110" i="171"/>
  <c r="K110" i="171"/>
  <c r="I110" i="171"/>
  <c r="H110" i="171"/>
  <c r="G110" i="171"/>
  <c r="N109" i="171"/>
  <c r="M109" i="171"/>
  <c r="L109" i="171"/>
  <c r="K109" i="171"/>
  <c r="I109" i="171"/>
  <c r="H109" i="171"/>
  <c r="G109" i="171"/>
  <c r="N108" i="171"/>
  <c r="I108" i="171"/>
  <c r="N107" i="171"/>
  <c r="M107" i="171"/>
  <c r="L107" i="171"/>
  <c r="K107" i="171"/>
  <c r="I107" i="171"/>
  <c r="H107" i="171"/>
  <c r="G107" i="171"/>
  <c r="F107" i="171"/>
  <c r="N106" i="171"/>
  <c r="M106" i="171"/>
  <c r="L106" i="171"/>
  <c r="K106" i="171"/>
  <c r="I106" i="171"/>
  <c r="H106" i="171"/>
  <c r="G106" i="171"/>
  <c r="N105" i="171"/>
  <c r="M105" i="171"/>
  <c r="L105" i="171"/>
  <c r="K105" i="171"/>
  <c r="I105" i="171"/>
  <c r="H105" i="171"/>
  <c r="G105" i="171"/>
  <c r="N104" i="171"/>
  <c r="M104" i="171"/>
  <c r="L104" i="171"/>
  <c r="I104" i="171"/>
  <c r="M103" i="171"/>
  <c r="L103" i="171"/>
  <c r="K103" i="171"/>
  <c r="R103" i="171" s="1"/>
  <c r="I103" i="171"/>
  <c r="N102" i="171"/>
  <c r="M102" i="171"/>
  <c r="L102" i="171"/>
  <c r="K102" i="171"/>
  <c r="I102" i="171"/>
  <c r="N99" i="171"/>
  <c r="M99" i="171"/>
  <c r="L99" i="171"/>
  <c r="K99" i="171"/>
  <c r="I99" i="171"/>
  <c r="H99" i="171"/>
  <c r="G99" i="171"/>
  <c r="N98" i="171"/>
  <c r="M98" i="171"/>
  <c r="L98" i="171"/>
  <c r="K98" i="171"/>
  <c r="I98" i="171"/>
  <c r="N97" i="171"/>
  <c r="M97" i="171"/>
  <c r="L97" i="171"/>
  <c r="K97" i="171"/>
  <c r="I97" i="171"/>
  <c r="N96" i="171"/>
  <c r="M96" i="171"/>
  <c r="L96" i="171"/>
  <c r="I96" i="171"/>
  <c r="N95" i="171"/>
  <c r="M95" i="171"/>
  <c r="L95" i="171"/>
  <c r="K95" i="171"/>
  <c r="I95" i="171"/>
  <c r="N94" i="171"/>
  <c r="M94" i="171"/>
  <c r="L94" i="171"/>
  <c r="K94" i="171"/>
  <c r="I94" i="171"/>
  <c r="H94" i="171"/>
  <c r="G94" i="171"/>
  <c r="N93" i="171"/>
  <c r="M93" i="171"/>
  <c r="L93" i="171"/>
  <c r="I93" i="171"/>
  <c r="N88" i="171"/>
  <c r="M88" i="171"/>
  <c r="K88" i="171"/>
  <c r="I88" i="171"/>
  <c r="H88" i="171"/>
  <c r="G88" i="171"/>
  <c r="F88" i="171"/>
  <c r="N87" i="171"/>
  <c r="M87" i="171"/>
  <c r="L87" i="171"/>
  <c r="I87" i="171"/>
  <c r="H87" i="171"/>
  <c r="G87" i="171"/>
  <c r="F87" i="171"/>
  <c r="N86" i="171"/>
  <c r="M86" i="171"/>
  <c r="L86" i="171"/>
  <c r="I86" i="171"/>
  <c r="H86" i="171"/>
  <c r="G86" i="171"/>
  <c r="F86" i="171"/>
  <c r="N85" i="171"/>
  <c r="M85" i="171"/>
  <c r="L85" i="171"/>
  <c r="I85" i="171"/>
  <c r="H85" i="171"/>
  <c r="G85" i="171"/>
  <c r="F85" i="171"/>
  <c r="N84" i="171"/>
  <c r="M84" i="171"/>
  <c r="L84" i="171"/>
  <c r="K84" i="171"/>
  <c r="I84" i="171"/>
  <c r="H84" i="171"/>
  <c r="G84" i="171"/>
  <c r="M83" i="171"/>
  <c r="L83" i="171"/>
  <c r="I83" i="171"/>
  <c r="P82" i="171"/>
  <c r="O82" i="171"/>
  <c r="N82" i="171"/>
  <c r="M82" i="171"/>
  <c r="L82" i="171"/>
  <c r="K82" i="171"/>
  <c r="J82" i="171"/>
  <c r="I82" i="171"/>
  <c r="H82" i="171"/>
  <c r="G82" i="171"/>
  <c r="F82" i="171"/>
  <c r="E82" i="171"/>
  <c r="P81" i="171"/>
  <c r="O81" i="171"/>
  <c r="N81" i="171"/>
  <c r="M81" i="171"/>
  <c r="L81" i="171"/>
  <c r="K81" i="171"/>
  <c r="J81" i="171"/>
  <c r="I81" i="171"/>
  <c r="H81" i="171"/>
  <c r="G81" i="171"/>
  <c r="F81" i="171"/>
  <c r="E81" i="171"/>
  <c r="N80" i="171"/>
  <c r="M80" i="171"/>
  <c r="L80" i="171"/>
  <c r="K80" i="171"/>
  <c r="I80" i="171"/>
  <c r="H80" i="171"/>
  <c r="G80" i="171"/>
  <c r="F80" i="171"/>
  <c r="P79" i="171"/>
  <c r="O79" i="171"/>
  <c r="N79" i="171"/>
  <c r="M79" i="171"/>
  <c r="L79" i="171"/>
  <c r="K79" i="171"/>
  <c r="J79" i="171"/>
  <c r="I79" i="171"/>
  <c r="H79" i="171"/>
  <c r="G79" i="171"/>
  <c r="F79" i="171"/>
  <c r="P78" i="171"/>
  <c r="O78" i="171"/>
  <c r="N78" i="171"/>
  <c r="M78" i="171"/>
  <c r="L78" i="171"/>
  <c r="K78" i="171"/>
  <c r="J78" i="171"/>
  <c r="I78" i="171"/>
  <c r="H78" i="171"/>
  <c r="G78" i="171"/>
  <c r="F78" i="171"/>
  <c r="P77" i="171"/>
  <c r="O77" i="171"/>
  <c r="N77" i="171"/>
  <c r="M77" i="171"/>
  <c r="L77" i="171"/>
  <c r="K77" i="171"/>
  <c r="J77" i="171"/>
  <c r="I77" i="171"/>
  <c r="H77" i="171"/>
  <c r="G77" i="171"/>
  <c r="F77" i="171"/>
  <c r="N76" i="171"/>
  <c r="M76" i="171"/>
  <c r="L76" i="171"/>
  <c r="K76" i="171"/>
  <c r="I76" i="171"/>
  <c r="H76" i="171"/>
  <c r="G76" i="171"/>
  <c r="F76" i="171"/>
  <c r="P75" i="171"/>
  <c r="O75" i="171"/>
  <c r="N75" i="171"/>
  <c r="M75" i="171"/>
  <c r="L75" i="171"/>
  <c r="K75" i="171"/>
  <c r="J75" i="171"/>
  <c r="I75" i="171"/>
  <c r="H75" i="171"/>
  <c r="G75" i="171"/>
  <c r="F75" i="171"/>
  <c r="E75" i="171"/>
  <c r="P74" i="171"/>
  <c r="O74" i="171"/>
  <c r="N74" i="171"/>
  <c r="M74" i="171"/>
  <c r="L74" i="171"/>
  <c r="K74" i="171"/>
  <c r="J74" i="171"/>
  <c r="I74" i="171"/>
  <c r="H74" i="171"/>
  <c r="G74" i="171"/>
  <c r="F74" i="171"/>
  <c r="E74" i="171"/>
  <c r="N73" i="171"/>
  <c r="M73" i="171"/>
  <c r="L73" i="171"/>
  <c r="K73" i="171"/>
  <c r="I73" i="171"/>
  <c r="H73" i="171"/>
  <c r="G73" i="171"/>
  <c r="F73" i="171"/>
  <c r="N72" i="171"/>
  <c r="M72" i="171"/>
  <c r="L72" i="171"/>
  <c r="K72" i="171"/>
  <c r="I72" i="171"/>
  <c r="H72" i="171"/>
  <c r="G72" i="171"/>
  <c r="F72" i="171"/>
  <c r="N71" i="171"/>
  <c r="M71" i="171"/>
  <c r="L71" i="171"/>
  <c r="K71" i="171"/>
  <c r="I71" i="171"/>
  <c r="H71" i="171"/>
  <c r="G71" i="171"/>
  <c r="N70" i="171"/>
  <c r="M70" i="171"/>
  <c r="L70" i="171"/>
  <c r="K70" i="171"/>
  <c r="I70" i="171"/>
  <c r="H70" i="171"/>
  <c r="G70" i="171"/>
  <c r="N69" i="171"/>
  <c r="M69" i="171"/>
  <c r="L69" i="171"/>
  <c r="K69" i="171"/>
  <c r="I69" i="171"/>
  <c r="H69" i="171"/>
  <c r="G69" i="171"/>
  <c r="N68" i="171"/>
  <c r="M68" i="171"/>
  <c r="L68" i="171"/>
  <c r="K68" i="171"/>
  <c r="I68" i="171"/>
  <c r="H68" i="171"/>
  <c r="G68" i="171"/>
  <c r="N67" i="171"/>
  <c r="M67" i="171"/>
  <c r="L67" i="171"/>
  <c r="I67" i="171"/>
  <c r="M66" i="171"/>
  <c r="L66" i="171"/>
  <c r="K66" i="171"/>
  <c r="I66" i="171"/>
  <c r="H66" i="171"/>
  <c r="G66" i="171"/>
  <c r="N65" i="171"/>
  <c r="M65" i="171"/>
  <c r="L65" i="171"/>
  <c r="K65" i="171"/>
  <c r="I65" i="171"/>
  <c r="H65" i="171"/>
  <c r="G65" i="171"/>
  <c r="F65" i="171"/>
  <c r="N64" i="171"/>
  <c r="M64" i="171"/>
  <c r="L64" i="171"/>
  <c r="K64" i="171"/>
  <c r="I64" i="171"/>
  <c r="H64" i="171"/>
  <c r="G64" i="171"/>
  <c r="F64" i="171"/>
  <c r="N63" i="171"/>
  <c r="M63" i="171"/>
  <c r="L63" i="171"/>
  <c r="K63" i="171"/>
  <c r="I63" i="171"/>
  <c r="H63" i="171"/>
  <c r="G63" i="171"/>
  <c r="N62" i="171"/>
  <c r="M62" i="171"/>
  <c r="L62" i="171"/>
  <c r="K62" i="171"/>
  <c r="I62" i="171"/>
  <c r="H62" i="171"/>
  <c r="G62" i="171"/>
  <c r="N61" i="171"/>
  <c r="M61" i="171"/>
  <c r="L61" i="171"/>
  <c r="K61" i="171"/>
  <c r="I61" i="171"/>
  <c r="H61" i="171"/>
  <c r="G61" i="171"/>
  <c r="N60" i="171"/>
  <c r="M60" i="171"/>
  <c r="L60" i="171"/>
  <c r="K60" i="171"/>
  <c r="I60" i="171"/>
  <c r="H60" i="171"/>
  <c r="G60" i="171"/>
  <c r="N59" i="171"/>
  <c r="M59" i="171"/>
  <c r="L59" i="171"/>
  <c r="I59" i="171"/>
  <c r="H59" i="171"/>
  <c r="G59" i="171"/>
  <c r="N58" i="171"/>
  <c r="M58" i="171"/>
  <c r="L58" i="171"/>
  <c r="I58" i="171"/>
  <c r="N54" i="171"/>
  <c r="M54" i="171"/>
  <c r="L54" i="171"/>
  <c r="I54" i="171"/>
  <c r="H54" i="171"/>
  <c r="G54" i="171"/>
  <c r="F54" i="171"/>
  <c r="N53" i="171"/>
  <c r="M53" i="171"/>
  <c r="L53" i="171"/>
  <c r="K53" i="171"/>
  <c r="I53" i="171"/>
  <c r="H53" i="171"/>
  <c r="G53" i="171"/>
  <c r="N52" i="171"/>
  <c r="M52" i="171"/>
  <c r="L52" i="171"/>
  <c r="K52" i="171"/>
  <c r="I52" i="171"/>
  <c r="H52" i="171"/>
  <c r="G52" i="171"/>
  <c r="N51" i="171"/>
  <c r="M51" i="171"/>
  <c r="L51" i="171"/>
  <c r="K51" i="171"/>
  <c r="I51" i="171"/>
  <c r="H51" i="171"/>
  <c r="G51" i="171"/>
  <c r="N50" i="171"/>
  <c r="M50" i="171"/>
  <c r="L50" i="171"/>
  <c r="K50" i="171"/>
  <c r="I50" i="171"/>
  <c r="H50" i="171"/>
  <c r="G50" i="171"/>
  <c r="N49" i="171"/>
  <c r="M49" i="171"/>
  <c r="L49" i="171"/>
  <c r="K49" i="171"/>
  <c r="I49" i="171"/>
  <c r="H49" i="171"/>
  <c r="G49" i="171"/>
  <c r="N48" i="171"/>
  <c r="M48" i="171"/>
  <c r="L48" i="171"/>
  <c r="K48" i="171"/>
  <c r="I48" i="171"/>
  <c r="H48" i="171"/>
  <c r="G48" i="171"/>
  <c r="N47" i="171"/>
  <c r="M47" i="171"/>
  <c r="L47" i="171"/>
  <c r="K47" i="171"/>
  <c r="I47" i="171"/>
  <c r="H47" i="171"/>
  <c r="G47" i="171"/>
  <c r="O46" i="171"/>
  <c r="N46" i="171"/>
  <c r="M46" i="171"/>
  <c r="L46" i="171"/>
  <c r="K46" i="171"/>
  <c r="I46" i="171"/>
  <c r="H46" i="171"/>
  <c r="G46" i="171"/>
  <c r="N45" i="171"/>
  <c r="M45" i="171"/>
  <c r="L45" i="171"/>
  <c r="I45" i="171"/>
  <c r="H45" i="171"/>
  <c r="G45" i="171"/>
  <c r="N44" i="171"/>
  <c r="M44" i="171"/>
  <c r="L44" i="171"/>
  <c r="K44" i="171"/>
  <c r="I44" i="171"/>
  <c r="N40" i="171"/>
  <c r="M40" i="171"/>
  <c r="L40" i="171"/>
  <c r="K40" i="171"/>
  <c r="I40" i="171"/>
  <c r="H40" i="171"/>
  <c r="G40" i="171"/>
  <c r="N41" i="171"/>
  <c r="M41" i="171"/>
  <c r="L41" i="171"/>
  <c r="K41" i="171"/>
  <c r="R41" i="171" s="1"/>
  <c r="I41" i="171"/>
  <c r="H41" i="171"/>
  <c r="G41" i="171"/>
  <c r="F41" i="171"/>
  <c r="N39" i="171"/>
  <c r="M39" i="171"/>
  <c r="L39" i="171"/>
  <c r="K39" i="171"/>
  <c r="I39" i="171"/>
  <c r="H39" i="171"/>
  <c r="N38" i="171"/>
  <c r="M38" i="171"/>
  <c r="L38" i="171"/>
  <c r="K38" i="171"/>
  <c r="I38" i="171"/>
  <c r="H38" i="171"/>
  <c r="G38" i="171"/>
  <c r="N37" i="171"/>
  <c r="M37" i="171"/>
  <c r="L37" i="171"/>
  <c r="K37" i="171"/>
  <c r="I37" i="171"/>
  <c r="N36" i="171"/>
  <c r="M36" i="171"/>
  <c r="L36" i="171"/>
  <c r="K36" i="171"/>
  <c r="I36" i="171"/>
  <c r="M35" i="171"/>
  <c r="I35" i="171"/>
  <c r="N34" i="171"/>
  <c r="M34" i="171"/>
  <c r="L34" i="171"/>
  <c r="I34" i="171"/>
  <c r="N33" i="171"/>
  <c r="M33" i="171"/>
  <c r="L33" i="171"/>
  <c r="I33" i="171"/>
  <c r="N32" i="171"/>
  <c r="M32" i="171"/>
  <c r="L32" i="171"/>
  <c r="I32" i="171"/>
  <c r="N31" i="171"/>
  <c r="M31" i="171"/>
  <c r="L31" i="171"/>
  <c r="I31" i="171"/>
  <c r="N28" i="171"/>
  <c r="M28" i="171"/>
  <c r="L28" i="171"/>
  <c r="I28" i="171"/>
  <c r="H28" i="171"/>
  <c r="G28" i="171"/>
  <c r="N27" i="171"/>
  <c r="M27" i="171"/>
  <c r="L27" i="171"/>
  <c r="K27" i="171"/>
  <c r="I27" i="171"/>
  <c r="H27" i="171"/>
  <c r="G27" i="171"/>
  <c r="N26" i="171"/>
  <c r="M26" i="171"/>
  <c r="L26" i="171"/>
  <c r="K26" i="171"/>
  <c r="I26" i="171"/>
  <c r="H26" i="171"/>
  <c r="G26" i="171"/>
  <c r="N23" i="171"/>
  <c r="M23" i="171"/>
  <c r="K23" i="171"/>
  <c r="I23" i="171"/>
  <c r="H23" i="171"/>
  <c r="G23" i="171"/>
  <c r="F23" i="171"/>
  <c r="N22" i="171"/>
  <c r="M22" i="171"/>
  <c r="L22" i="171"/>
  <c r="K22" i="171"/>
  <c r="I22" i="171"/>
  <c r="H22" i="171"/>
  <c r="G22" i="171"/>
  <c r="F22" i="171"/>
  <c r="N21" i="171"/>
  <c r="M21" i="171"/>
  <c r="L21" i="171"/>
  <c r="I21" i="171"/>
  <c r="H21" i="171"/>
  <c r="G21" i="171"/>
  <c r="N20" i="171"/>
  <c r="M20" i="171"/>
  <c r="L20" i="171"/>
  <c r="K20" i="171"/>
  <c r="I20" i="171"/>
  <c r="H20" i="171"/>
  <c r="G20" i="171"/>
  <c r="F20" i="171"/>
  <c r="G19" i="171"/>
  <c r="H19" i="171"/>
  <c r="I19" i="171"/>
  <c r="K19" i="171"/>
  <c r="L19" i="171"/>
  <c r="M19" i="171"/>
  <c r="N19" i="171"/>
  <c r="N18" i="171"/>
  <c r="M18" i="171"/>
  <c r="L18" i="171"/>
  <c r="I18" i="171"/>
  <c r="E18" i="170"/>
  <c r="F18" i="170"/>
  <c r="G18" i="170"/>
  <c r="G17" i="170" s="1"/>
  <c r="G16" i="170" s="1"/>
  <c r="H18" i="170"/>
  <c r="K18" i="170"/>
  <c r="O18" i="170" s="1"/>
  <c r="J18" i="170" s="1"/>
  <c r="P18" i="170" s="1"/>
  <c r="F19" i="170"/>
  <c r="E19" i="170" s="1"/>
  <c r="O19" i="170"/>
  <c r="J19" i="170" s="1"/>
  <c r="F20" i="170"/>
  <c r="E20" i="170" s="1"/>
  <c r="K20" i="170"/>
  <c r="O20" i="170" s="1"/>
  <c r="J20" i="170" s="1"/>
  <c r="E21" i="170"/>
  <c r="O21" i="170"/>
  <c r="J21" i="170" s="1"/>
  <c r="P21" i="170" s="1"/>
  <c r="E22" i="170"/>
  <c r="L22" i="170"/>
  <c r="O22" i="170"/>
  <c r="E24" i="170"/>
  <c r="J24" i="170"/>
  <c r="F25" i="170"/>
  <c r="E25" i="170" s="1"/>
  <c r="O25" i="170"/>
  <c r="J25" i="170" s="1"/>
  <c r="E26" i="170"/>
  <c r="F26" i="170"/>
  <c r="O26" i="170"/>
  <c r="J26" i="170" s="1"/>
  <c r="P26" i="170" s="1"/>
  <c r="F27" i="170"/>
  <c r="E27" i="170" s="1"/>
  <c r="K27" i="170"/>
  <c r="O27" i="170" s="1"/>
  <c r="J27" i="170" s="1"/>
  <c r="F31" i="170"/>
  <c r="E31" i="170" s="1"/>
  <c r="G31" i="170"/>
  <c r="H31" i="170"/>
  <c r="K31" i="170"/>
  <c r="O31" i="170" s="1"/>
  <c r="J31" i="170" s="1"/>
  <c r="F32" i="170"/>
  <c r="E32" i="170" s="1"/>
  <c r="K32" i="170"/>
  <c r="O32" i="170" s="1"/>
  <c r="J32" i="170" s="1"/>
  <c r="F33" i="170"/>
  <c r="E33" i="170" s="1"/>
  <c r="G33" i="170"/>
  <c r="K33" i="170"/>
  <c r="O33" i="170" s="1"/>
  <c r="J33" i="170" s="1"/>
  <c r="F34" i="170"/>
  <c r="E34" i="170" s="1"/>
  <c r="H34" i="170"/>
  <c r="L34" i="170"/>
  <c r="N34" i="170"/>
  <c r="O34" i="170"/>
  <c r="E35" i="170"/>
  <c r="O35" i="170"/>
  <c r="J35" i="170" s="1"/>
  <c r="P35" i="170" s="1"/>
  <c r="F36" i="170"/>
  <c r="E36" i="170" s="1"/>
  <c r="J36" i="170"/>
  <c r="O36" i="170"/>
  <c r="F37" i="170"/>
  <c r="E37" i="170" s="1"/>
  <c r="O37" i="170"/>
  <c r="J37" i="170" s="1"/>
  <c r="F38" i="170"/>
  <c r="E38" i="170" s="1"/>
  <c r="P38" i="170" s="1"/>
  <c r="G38" i="170"/>
  <c r="O38" i="170"/>
  <c r="J38" i="170" s="1"/>
  <c r="E39" i="170"/>
  <c r="O39" i="170"/>
  <c r="J39" i="170" s="1"/>
  <c r="E40" i="170"/>
  <c r="O40" i="170"/>
  <c r="J40" i="170" s="1"/>
  <c r="F44" i="170"/>
  <c r="E44" i="170" s="1"/>
  <c r="K44" i="170"/>
  <c r="O44" i="170" s="1"/>
  <c r="J44" i="170" s="1"/>
  <c r="P44" i="170" s="1"/>
  <c r="F45" i="170"/>
  <c r="E45" i="170" s="1"/>
  <c r="P45" i="170" s="1"/>
  <c r="J45" i="170"/>
  <c r="F46" i="170"/>
  <c r="E46" i="170" s="1"/>
  <c r="O46" i="170"/>
  <c r="J46" i="170" s="1"/>
  <c r="F47" i="170"/>
  <c r="E47" i="170" s="1"/>
  <c r="O47" i="170"/>
  <c r="J47" i="170" s="1"/>
  <c r="E48" i="170"/>
  <c r="J48" i="170"/>
  <c r="O48" i="170"/>
  <c r="F49" i="170"/>
  <c r="E49" i="170" s="1"/>
  <c r="O49" i="170"/>
  <c r="J49" i="170" s="1"/>
  <c r="F50" i="170"/>
  <c r="E50" i="170" s="1"/>
  <c r="P50" i="170" s="1"/>
  <c r="O50" i="170"/>
  <c r="J50" i="170" s="1"/>
  <c r="E51" i="170"/>
  <c r="F51" i="170"/>
  <c r="O51" i="170"/>
  <c r="J51" i="170" s="1"/>
  <c r="P51" i="170" s="1"/>
  <c r="F52" i="170"/>
  <c r="E52" i="170" s="1"/>
  <c r="J52" i="170"/>
  <c r="O52" i="170"/>
  <c r="E53" i="170"/>
  <c r="K53" i="170"/>
  <c r="O53" i="170" s="1"/>
  <c r="J53" i="170" s="1"/>
  <c r="E54" i="170"/>
  <c r="O54" i="170"/>
  <c r="J54" i="170" s="1"/>
  <c r="F58" i="170"/>
  <c r="E58" i="170" s="1"/>
  <c r="P58" i="170" s="1"/>
  <c r="K58" i="170"/>
  <c r="O58" i="170"/>
  <c r="J58" i="170" s="1"/>
  <c r="E59" i="170"/>
  <c r="O59" i="170"/>
  <c r="J59" i="170" s="1"/>
  <c r="P59" i="170" s="1"/>
  <c r="F60" i="170"/>
  <c r="E60" i="170" s="1"/>
  <c r="J60" i="170"/>
  <c r="O60" i="170"/>
  <c r="E61" i="170"/>
  <c r="O61" i="170"/>
  <c r="J61" i="170" s="1"/>
  <c r="F62" i="170"/>
  <c r="E62" i="170" s="1"/>
  <c r="J62" i="170"/>
  <c r="O62" i="170"/>
  <c r="E63" i="170"/>
  <c r="O63" i="170"/>
  <c r="J63" i="170" s="1"/>
  <c r="E64" i="170"/>
  <c r="J64" i="170"/>
  <c r="O64" i="170"/>
  <c r="E65" i="170"/>
  <c r="F65" i="170"/>
  <c r="N65" i="170"/>
  <c r="O65" i="170"/>
  <c r="J65" i="170" s="1"/>
  <c r="F66" i="170"/>
  <c r="E66" i="170" s="1"/>
  <c r="P66" i="170" s="1"/>
  <c r="G66" i="170"/>
  <c r="H66" i="170"/>
  <c r="K66" i="170"/>
  <c r="O66" i="170"/>
  <c r="J66" i="170" s="1"/>
  <c r="F67" i="170"/>
  <c r="E67" i="170" s="1"/>
  <c r="O67" i="170"/>
  <c r="J67" i="170" s="1"/>
  <c r="F68" i="170"/>
  <c r="E68" i="170" s="1"/>
  <c r="J68" i="170"/>
  <c r="P68" i="170" s="1"/>
  <c r="O68" i="170"/>
  <c r="E69" i="170"/>
  <c r="O69" i="170"/>
  <c r="J69" i="170" s="1"/>
  <c r="E70" i="170"/>
  <c r="J70" i="170"/>
  <c r="O70" i="170"/>
  <c r="E71" i="170"/>
  <c r="O71" i="170"/>
  <c r="J71" i="170" s="1"/>
  <c r="E72" i="170"/>
  <c r="J72" i="170"/>
  <c r="O72" i="170"/>
  <c r="E75" i="170"/>
  <c r="O75" i="170"/>
  <c r="J75" i="170" s="1"/>
  <c r="E79" i="170"/>
  <c r="J79" i="170"/>
  <c r="O79" i="170"/>
  <c r="F82" i="170"/>
  <c r="E82" i="170" s="1"/>
  <c r="P82" i="170" s="1"/>
  <c r="G82" i="170"/>
  <c r="K82" i="170"/>
  <c r="O82" i="170" s="1"/>
  <c r="J82" i="170" s="1"/>
  <c r="N82" i="170"/>
  <c r="F83" i="170"/>
  <c r="E83" i="170" s="1"/>
  <c r="O83" i="170"/>
  <c r="J83" i="170" s="1"/>
  <c r="E84" i="170"/>
  <c r="K84" i="170"/>
  <c r="O84" i="170" s="1"/>
  <c r="J84" i="170" s="1"/>
  <c r="P84" i="170" s="1"/>
  <c r="E85" i="170"/>
  <c r="J85" i="170"/>
  <c r="O85" i="170"/>
  <c r="E86" i="170"/>
  <c r="K86" i="170"/>
  <c r="O86" i="170" s="1"/>
  <c r="J86" i="170" s="1"/>
  <c r="E87" i="170"/>
  <c r="L87" i="170"/>
  <c r="O87" i="170"/>
  <c r="E89" i="170"/>
  <c r="O89" i="170"/>
  <c r="J89" i="170" s="1"/>
  <c r="P89" i="170" s="1"/>
  <c r="F93" i="170"/>
  <c r="E93" i="170" s="1"/>
  <c r="J93" i="170"/>
  <c r="O93" i="170"/>
  <c r="F94" i="170"/>
  <c r="E94" i="170" s="1"/>
  <c r="P94" i="170" s="1"/>
  <c r="H94" i="170"/>
  <c r="O94" i="170"/>
  <c r="J94" i="170" s="1"/>
  <c r="F95" i="170"/>
  <c r="E95" i="170" s="1"/>
  <c r="P95" i="170" s="1"/>
  <c r="G95" i="170"/>
  <c r="H95" i="170"/>
  <c r="K95" i="170"/>
  <c r="O95" i="170" s="1"/>
  <c r="J95" i="170" s="1"/>
  <c r="E96" i="170"/>
  <c r="H96" i="170"/>
  <c r="O96" i="170"/>
  <c r="J96" i="170" s="1"/>
  <c r="P96" i="170" s="1"/>
  <c r="E97" i="170"/>
  <c r="H97" i="170"/>
  <c r="J97" i="170"/>
  <c r="P97" i="170" s="1"/>
  <c r="O97" i="170"/>
  <c r="F98" i="170"/>
  <c r="E98" i="170" s="1"/>
  <c r="O98" i="170"/>
  <c r="J98" i="170" s="1"/>
  <c r="F102" i="170"/>
  <c r="E102" i="170" s="1"/>
  <c r="H102" i="170"/>
  <c r="O102" i="170"/>
  <c r="J102" i="170" s="1"/>
  <c r="F103" i="170"/>
  <c r="E103" i="170" s="1"/>
  <c r="G103" i="170"/>
  <c r="H103" i="170"/>
  <c r="K103" i="170"/>
  <c r="O103" i="170" s="1"/>
  <c r="J103" i="170" s="1"/>
  <c r="E104" i="170"/>
  <c r="F104" i="170"/>
  <c r="O104" i="170"/>
  <c r="J104" i="170" s="1"/>
  <c r="F105" i="170"/>
  <c r="E105" i="170" s="1"/>
  <c r="O105" i="170"/>
  <c r="J105" i="170" s="1"/>
  <c r="E106" i="170"/>
  <c r="O106" i="170"/>
  <c r="J106" i="170" s="1"/>
  <c r="F107" i="170"/>
  <c r="E107" i="170" s="1"/>
  <c r="G107" i="170"/>
  <c r="H107" i="170"/>
  <c r="K107" i="170"/>
  <c r="O107" i="170"/>
  <c r="J107" i="170" s="1"/>
  <c r="F108" i="170"/>
  <c r="E108" i="170" s="1"/>
  <c r="J108" i="170"/>
  <c r="O108" i="170"/>
  <c r="F109" i="170"/>
  <c r="E109" i="170" s="1"/>
  <c r="O109" i="170"/>
  <c r="J109" i="170" s="1"/>
  <c r="E110" i="170"/>
  <c r="J110" i="170"/>
  <c r="O110" i="170"/>
  <c r="E111" i="170"/>
  <c r="O111" i="170"/>
  <c r="J111" i="170" s="1"/>
  <c r="F112" i="170"/>
  <c r="E112" i="170" s="1"/>
  <c r="O112" i="170"/>
  <c r="J112" i="170" s="1"/>
  <c r="E113" i="170"/>
  <c r="O113" i="170"/>
  <c r="J113" i="170" s="1"/>
  <c r="E117" i="170"/>
  <c r="J117" i="170"/>
  <c r="P117" i="170" s="1"/>
  <c r="O117" i="170"/>
  <c r="F118" i="170"/>
  <c r="E118" i="170" s="1"/>
  <c r="K118" i="170"/>
  <c r="O118" i="170" s="1"/>
  <c r="J118" i="170" s="1"/>
  <c r="E119" i="170"/>
  <c r="F119" i="170"/>
  <c r="O119" i="170"/>
  <c r="J119" i="170" s="1"/>
  <c r="F120" i="170"/>
  <c r="E120" i="170" s="1"/>
  <c r="J120" i="170"/>
  <c r="P120" i="170" s="1"/>
  <c r="O120" i="170"/>
  <c r="E121" i="170"/>
  <c r="K121" i="170"/>
  <c r="O121" i="170" s="1"/>
  <c r="J121" i="170" s="1"/>
  <c r="E122" i="170"/>
  <c r="K122" i="170"/>
  <c r="O122" i="170" s="1"/>
  <c r="J122" i="170" s="1"/>
  <c r="P122" i="170" s="1"/>
  <c r="E123" i="170"/>
  <c r="O123" i="170"/>
  <c r="J123" i="170" s="1"/>
  <c r="P123" i="170" s="1"/>
  <c r="F124" i="170"/>
  <c r="E124" i="170" s="1"/>
  <c r="P124" i="170" s="1"/>
  <c r="K124" i="170"/>
  <c r="O124" i="170" s="1"/>
  <c r="J124" i="170" s="1"/>
  <c r="E125" i="170"/>
  <c r="K125" i="170"/>
  <c r="O125" i="170" s="1"/>
  <c r="J125" i="170" s="1"/>
  <c r="E126" i="170"/>
  <c r="K126" i="170"/>
  <c r="O126" i="170" s="1"/>
  <c r="J126" i="170" s="1"/>
  <c r="E127" i="170"/>
  <c r="F127" i="170"/>
  <c r="K127" i="170"/>
  <c r="O127" i="170" s="1"/>
  <c r="J127" i="170" s="1"/>
  <c r="F128" i="170"/>
  <c r="E128" i="170" s="1"/>
  <c r="J128" i="170"/>
  <c r="O128" i="170"/>
  <c r="E129" i="170"/>
  <c r="K129" i="170"/>
  <c r="O129" i="170" s="1"/>
  <c r="J129" i="170" s="1"/>
  <c r="P129" i="170" s="1"/>
  <c r="E130" i="170"/>
  <c r="L130" i="170"/>
  <c r="J130" i="170" s="1"/>
  <c r="P130" i="170" s="1"/>
  <c r="Q130" i="170" s="1"/>
  <c r="O130" i="170"/>
  <c r="E132" i="170"/>
  <c r="O132" i="170"/>
  <c r="J132" i="170" s="1"/>
  <c r="E133" i="170"/>
  <c r="H133" i="170"/>
  <c r="J133" i="170"/>
  <c r="O133" i="170"/>
  <c r="F134" i="170"/>
  <c r="E137" i="170"/>
  <c r="O137" i="170"/>
  <c r="J137" i="170" s="1"/>
  <c r="E138" i="170"/>
  <c r="K138" i="170"/>
  <c r="O138" i="170" s="1"/>
  <c r="J138" i="170" s="1"/>
  <c r="E139" i="170"/>
  <c r="K139" i="170"/>
  <c r="O139" i="170" s="1"/>
  <c r="J139" i="170" s="1"/>
  <c r="E140" i="170"/>
  <c r="K140" i="170"/>
  <c r="O140" i="170" s="1"/>
  <c r="J140" i="170" s="1"/>
  <c r="E141" i="170"/>
  <c r="K141" i="170"/>
  <c r="O141" i="170"/>
  <c r="J141" i="170" s="1"/>
  <c r="E142" i="170"/>
  <c r="K142" i="170"/>
  <c r="O142" i="170" s="1"/>
  <c r="J142" i="170" s="1"/>
  <c r="E143" i="170"/>
  <c r="K143" i="170"/>
  <c r="O143" i="170" s="1"/>
  <c r="J143" i="170" s="1"/>
  <c r="P143" i="170" s="1"/>
  <c r="E147" i="170"/>
  <c r="O147" i="170"/>
  <c r="J147" i="170" s="1"/>
  <c r="K148" i="170"/>
  <c r="F151" i="170"/>
  <c r="E151" i="170" s="1"/>
  <c r="O151" i="170"/>
  <c r="J151" i="170" s="1"/>
  <c r="F152" i="170"/>
  <c r="E152" i="170" s="1"/>
  <c r="O152" i="170"/>
  <c r="J152" i="170" s="1"/>
  <c r="F157" i="170"/>
  <c r="E157" i="170" s="1"/>
  <c r="J157" i="170"/>
  <c r="O157" i="170"/>
  <c r="E158" i="170"/>
  <c r="F158" i="170"/>
  <c r="K158" i="170"/>
  <c r="O158" i="170" s="1"/>
  <c r="J158" i="170" s="1"/>
  <c r="I160" i="170"/>
  <c r="I159" i="170" s="1"/>
  <c r="K160" i="170"/>
  <c r="K159" i="170" s="1"/>
  <c r="M160" i="170"/>
  <c r="M159" i="170" s="1"/>
  <c r="N160" i="170"/>
  <c r="N159" i="170" s="1"/>
  <c r="E163" i="170"/>
  <c r="L163" i="170"/>
  <c r="O163" i="170"/>
  <c r="E164" i="170"/>
  <c r="J164" i="170"/>
  <c r="O164" i="170"/>
  <c r="E165" i="170"/>
  <c r="O165" i="170"/>
  <c r="J165" i="170" s="1"/>
  <c r="L166" i="170"/>
  <c r="O166" i="170"/>
  <c r="I168" i="170"/>
  <c r="I167" i="170" s="1"/>
  <c r="K168" i="170"/>
  <c r="R168" i="170" s="1"/>
  <c r="L168" i="170"/>
  <c r="L167" i="170" s="1"/>
  <c r="M168" i="170"/>
  <c r="M167" i="170" s="1"/>
  <c r="N168" i="170"/>
  <c r="N167" i="170" s="1"/>
  <c r="E171" i="170"/>
  <c r="O171" i="170"/>
  <c r="J171" i="170" s="1"/>
  <c r="I173" i="170"/>
  <c r="I172" i="170" s="1"/>
  <c r="K173" i="170"/>
  <c r="K172" i="170" s="1"/>
  <c r="L173" i="170"/>
  <c r="L172" i="170" s="1"/>
  <c r="M173" i="170"/>
  <c r="M172" i="170" s="1"/>
  <c r="N173" i="170"/>
  <c r="N172" i="170" s="1"/>
  <c r="F176" i="170"/>
  <c r="E176" i="170" s="1"/>
  <c r="J176" i="170"/>
  <c r="O176" i="170"/>
  <c r="P182" i="171"/>
  <c r="O182" i="171"/>
  <c r="M182" i="171"/>
  <c r="L182" i="171"/>
  <c r="K182" i="171"/>
  <c r="J182" i="171"/>
  <c r="H182" i="171"/>
  <c r="G182" i="171"/>
  <c r="F182" i="171"/>
  <c r="N170" i="171"/>
  <c r="N169" i="171" s="1"/>
  <c r="K170" i="171"/>
  <c r="N162" i="171"/>
  <c r="N161" i="171" s="1"/>
  <c r="K162" i="171"/>
  <c r="K161" i="171" s="1"/>
  <c r="R160" i="171"/>
  <c r="O156" i="171"/>
  <c r="J156" i="171" s="1"/>
  <c r="K156" i="171"/>
  <c r="E156" i="171"/>
  <c r="G155" i="171"/>
  <c r="G154" i="171" s="1"/>
  <c r="N150" i="171"/>
  <c r="N149" i="171" s="1"/>
  <c r="K150" i="171"/>
  <c r="K149" i="171" s="1"/>
  <c r="N146" i="171"/>
  <c r="N145" i="171" s="1"/>
  <c r="M146" i="171"/>
  <c r="M145" i="171" s="1"/>
  <c r="K146" i="171"/>
  <c r="N136" i="171"/>
  <c r="N135" i="171" s="1"/>
  <c r="R134" i="171"/>
  <c r="R117" i="171"/>
  <c r="R109" i="171"/>
  <c r="R102" i="171"/>
  <c r="R97" i="171"/>
  <c r="R95" i="171"/>
  <c r="R90" i="171"/>
  <c r="O90" i="171"/>
  <c r="J90" i="171" s="1"/>
  <c r="E90" i="171"/>
  <c r="R84" i="171"/>
  <c r="R81" i="171"/>
  <c r="O55" i="171"/>
  <c r="J55" i="171" s="1"/>
  <c r="E55" i="171"/>
  <c r="N43" i="171"/>
  <c r="N42" i="171" s="1"/>
  <c r="P180" i="170"/>
  <c r="O180" i="170"/>
  <c r="M180" i="170"/>
  <c r="L180" i="170"/>
  <c r="K180" i="170"/>
  <c r="J180" i="170"/>
  <c r="H180" i="170"/>
  <c r="G180" i="170"/>
  <c r="F180" i="170"/>
  <c r="O177" i="170"/>
  <c r="J177" i="170" s="1"/>
  <c r="E177" i="170"/>
  <c r="O175" i="170"/>
  <c r="J175" i="170" s="1"/>
  <c r="F175" i="170"/>
  <c r="E175" i="170"/>
  <c r="O174" i="170"/>
  <c r="J174" i="170" s="1"/>
  <c r="H174" i="170"/>
  <c r="H173" i="170" s="1"/>
  <c r="H172" i="170" s="1"/>
  <c r="G174" i="170"/>
  <c r="G173" i="170" s="1"/>
  <c r="G172" i="170" s="1"/>
  <c r="F174" i="170"/>
  <c r="E174" i="170" s="1"/>
  <c r="E173" i="170" s="1"/>
  <c r="E172" i="170" s="1"/>
  <c r="O170" i="170"/>
  <c r="J170" i="170" s="1"/>
  <c r="E170" i="170"/>
  <c r="O169" i="170"/>
  <c r="J169" i="170" s="1"/>
  <c r="H169" i="170"/>
  <c r="H168" i="170" s="1"/>
  <c r="H167" i="170" s="1"/>
  <c r="G169" i="170"/>
  <c r="G168" i="170" s="1"/>
  <c r="G167" i="170" s="1"/>
  <c r="F169" i="170"/>
  <c r="E169" i="170" s="1"/>
  <c r="O162" i="170"/>
  <c r="F162" i="170"/>
  <c r="E162" i="170" s="1"/>
  <c r="O161" i="170"/>
  <c r="J161" i="170" s="1"/>
  <c r="H161" i="170"/>
  <c r="H160" i="170" s="1"/>
  <c r="H159" i="170" s="1"/>
  <c r="G161" i="170"/>
  <c r="G160" i="170" s="1"/>
  <c r="G159" i="170" s="1"/>
  <c r="F161" i="170"/>
  <c r="F160" i="170" s="1"/>
  <c r="F159" i="170" s="1"/>
  <c r="O156" i="170"/>
  <c r="J156" i="170" s="1"/>
  <c r="F156" i="170"/>
  <c r="E156" i="170" s="1"/>
  <c r="K155" i="170"/>
  <c r="E155" i="170"/>
  <c r="N154" i="170"/>
  <c r="N153" i="170" s="1"/>
  <c r="M154" i="170"/>
  <c r="M153" i="170" s="1"/>
  <c r="L154" i="170"/>
  <c r="L153" i="170" s="1"/>
  <c r="I154" i="170"/>
  <c r="I153" i="170" s="1"/>
  <c r="H154" i="170"/>
  <c r="H153" i="170" s="1"/>
  <c r="G154" i="170"/>
  <c r="G153" i="170" s="1"/>
  <c r="R150" i="170"/>
  <c r="O150" i="170"/>
  <c r="J150" i="170" s="1"/>
  <c r="H150" i="170"/>
  <c r="H149" i="170" s="1"/>
  <c r="H148" i="170" s="1"/>
  <c r="G150" i="170"/>
  <c r="G149" i="170" s="1"/>
  <c r="G148" i="170" s="1"/>
  <c r="F150" i="170"/>
  <c r="E150" i="170" s="1"/>
  <c r="N149" i="170"/>
  <c r="N148" i="170" s="1"/>
  <c r="M149" i="170"/>
  <c r="M148" i="170" s="1"/>
  <c r="L149" i="170"/>
  <c r="L148" i="170" s="1"/>
  <c r="K149" i="170"/>
  <c r="R149" i="170" s="1"/>
  <c r="I149" i="170"/>
  <c r="I148" i="170" s="1"/>
  <c r="O146" i="170"/>
  <c r="J146" i="170" s="1"/>
  <c r="H146" i="170"/>
  <c r="H145" i="170" s="1"/>
  <c r="H144" i="170" s="1"/>
  <c r="G146" i="170"/>
  <c r="G145" i="170" s="1"/>
  <c r="G144" i="170" s="1"/>
  <c r="F146" i="170"/>
  <c r="E146" i="170" s="1"/>
  <c r="P146" i="170" s="1"/>
  <c r="N145" i="170"/>
  <c r="N144" i="170" s="1"/>
  <c r="M145" i="170"/>
  <c r="M144" i="170" s="1"/>
  <c r="L145" i="170"/>
  <c r="K145" i="170"/>
  <c r="R145" i="170" s="1"/>
  <c r="I145" i="170"/>
  <c r="I144" i="170" s="1"/>
  <c r="O136" i="170"/>
  <c r="J136" i="170" s="1"/>
  <c r="H136" i="170"/>
  <c r="H135" i="170" s="1"/>
  <c r="H134" i="170" s="1"/>
  <c r="G136" i="170"/>
  <c r="G135" i="170" s="1"/>
  <c r="G134" i="170" s="1"/>
  <c r="F136" i="170"/>
  <c r="E136" i="170" s="1"/>
  <c r="N135" i="170"/>
  <c r="N134" i="170" s="1"/>
  <c r="M135" i="170"/>
  <c r="M134" i="170" s="1"/>
  <c r="L135" i="170"/>
  <c r="L134" i="170" s="1"/>
  <c r="I135" i="170"/>
  <c r="I134" i="170" s="1"/>
  <c r="F135" i="170"/>
  <c r="R133" i="170"/>
  <c r="R116" i="170"/>
  <c r="O116" i="170"/>
  <c r="J116" i="170" s="1"/>
  <c r="H116" i="170"/>
  <c r="H115" i="170" s="1"/>
  <c r="H114" i="170" s="1"/>
  <c r="G116" i="170"/>
  <c r="G115" i="170" s="1"/>
  <c r="G114" i="170" s="1"/>
  <c r="F116" i="170"/>
  <c r="E116" i="170" s="1"/>
  <c r="N115" i="170"/>
  <c r="N114" i="170" s="1"/>
  <c r="M115" i="170"/>
  <c r="M114" i="170" s="1"/>
  <c r="I115" i="170"/>
  <c r="I114" i="170" s="1"/>
  <c r="R113" i="170"/>
  <c r="R108" i="170"/>
  <c r="R103" i="170"/>
  <c r="R102" i="170"/>
  <c r="R101" i="170"/>
  <c r="O101" i="170"/>
  <c r="J101" i="170" s="1"/>
  <c r="P101" i="170" s="1"/>
  <c r="H101" i="170"/>
  <c r="G101" i="170"/>
  <c r="G100" i="170" s="1"/>
  <c r="G99" i="170" s="1"/>
  <c r="F101" i="170"/>
  <c r="E101" i="170" s="1"/>
  <c r="N100" i="170"/>
  <c r="N99" i="170" s="1"/>
  <c r="M100" i="170"/>
  <c r="M99" i="170" s="1"/>
  <c r="L100" i="170"/>
  <c r="L99" i="170" s="1"/>
  <c r="I100" i="170"/>
  <c r="I99" i="170" s="1"/>
  <c r="R96" i="170"/>
  <c r="R94" i="170"/>
  <c r="K92" i="170"/>
  <c r="R92" i="170" s="1"/>
  <c r="H92" i="170"/>
  <c r="G92" i="170"/>
  <c r="F92" i="170"/>
  <c r="F91" i="170" s="1"/>
  <c r="E91" i="170" s="1"/>
  <c r="N91" i="170"/>
  <c r="N90" i="170" s="1"/>
  <c r="M91" i="170"/>
  <c r="M90" i="170" s="1"/>
  <c r="L91" i="170"/>
  <c r="L90" i="170" s="1"/>
  <c r="I91" i="170"/>
  <c r="I90" i="170" s="1"/>
  <c r="R89" i="170"/>
  <c r="R85" i="170"/>
  <c r="R83" i="170"/>
  <c r="R82" i="170"/>
  <c r="R80" i="170"/>
  <c r="R66" i="170"/>
  <c r="R58" i="170"/>
  <c r="K57" i="170"/>
  <c r="R57" i="170" s="1"/>
  <c r="H57" i="170"/>
  <c r="H56" i="170" s="1"/>
  <c r="H55" i="170" s="1"/>
  <c r="G57" i="170"/>
  <c r="F57" i="170"/>
  <c r="E57" i="170" s="1"/>
  <c r="M56" i="170"/>
  <c r="M55" i="170" s="1"/>
  <c r="L56" i="170"/>
  <c r="L55" i="170" s="1"/>
  <c r="I56" i="170"/>
  <c r="I55" i="170"/>
  <c r="O43" i="170"/>
  <c r="J43" i="170" s="1"/>
  <c r="H43" i="170"/>
  <c r="G43" i="170"/>
  <c r="G42" i="170" s="1"/>
  <c r="G41" i="170" s="1"/>
  <c r="F43" i="170"/>
  <c r="E43" i="170" s="1"/>
  <c r="N42" i="170"/>
  <c r="N41" i="170" s="1"/>
  <c r="M42" i="170"/>
  <c r="M41" i="170" s="1"/>
  <c r="L42" i="170"/>
  <c r="L41" i="170" s="1"/>
  <c r="I42" i="170"/>
  <c r="I41" i="170" s="1"/>
  <c r="H42" i="170"/>
  <c r="H41" i="170" s="1"/>
  <c r="R40" i="170"/>
  <c r="R32" i="170"/>
  <c r="F29" i="170"/>
  <c r="F28" i="170" s="1"/>
  <c r="K30" i="170"/>
  <c r="O30" i="170" s="1"/>
  <c r="H30" i="170"/>
  <c r="H29" i="170" s="1"/>
  <c r="H28" i="170" s="1"/>
  <c r="G30" i="170"/>
  <c r="G29" i="170" s="1"/>
  <c r="G28" i="170" s="1"/>
  <c r="F30" i="170"/>
  <c r="E30" i="170" s="1"/>
  <c r="N29" i="170"/>
  <c r="N28" i="170" s="1"/>
  <c r="M29" i="170"/>
  <c r="M28" i="170" s="1"/>
  <c r="L29" i="170"/>
  <c r="L28" i="170" s="1"/>
  <c r="I29" i="170"/>
  <c r="I28" i="170" s="1"/>
  <c r="R27" i="170"/>
  <c r="R18" i="170"/>
  <c r="H17" i="170"/>
  <c r="N17" i="170"/>
  <c r="N16" i="170" s="1"/>
  <c r="M17" i="170"/>
  <c r="M16" i="170" s="1"/>
  <c r="I17" i="170"/>
  <c r="I16" i="170" s="1"/>
  <c r="P111" i="170" l="1"/>
  <c r="P86" i="170"/>
  <c r="P63" i="170"/>
  <c r="P49" i="170"/>
  <c r="P19" i="170"/>
  <c r="R20" i="170"/>
  <c r="R95" i="170"/>
  <c r="L115" i="170"/>
  <c r="L114" i="170" s="1"/>
  <c r="P90" i="171"/>
  <c r="P164" i="170"/>
  <c r="O160" i="170"/>
  <c r="O159" i="170" s="1"/>
  <c r="P157" i="170"/>
  <c r="P151" i="170"/>
  <c r="P147" i="170"/>
  <c r="P139" i="170"/>
  <c r="P132" i="170"/>
  <c r="P128" i="170"/>
  <c r="P125" i="170"/>
  <c r="P121" i="170"/>
  <c r="P113" i="170"/>
  <c r="P108" i="170"/>
  <c r="P105" i="170"/>
  <c r="N56" i="170"/>
  <c r="N55" i="170" s="1"/>
  <c r="P72" i="170"/>
  <c r="R73" i="170" s="1"/>
  <c r="P64" i="170"/>
  <c r="P39" i="170"/>
  <c r="L175" i="171"/>
  <c r="L174" i="171" s="1"/>
  <c r="P152" i="170"/>
  <c r="P83" i="170"/>
  <c r="F17" i="170"/>
  <c r="F16" i="170" s="1"/>
  <c r="F154" i="170"/>
  <c r="F153" i="170" s="1"/>
  <c r="R158" i="170"/>
  <c r="P175" i="170"/>
  <c r="J188" i="170"/>
  <c r="P165" i="170"/>
  <c r="P133" i="170"/>
  <c r="P127" i="170"/>
  <c r="P119" i="170"/>
  <c r="P109" i="170"/>
  <c r="P98" i="170"/>
  <c r="P75" i="170"/>
  <c r="P69" i="170"/>
  <c r="P61" i="170"/>
  <c r="P54" i="170"/>
  <c r="J34" i="170"/>
  <c r="P33" i="170"/>
  <c r="M136" i="171"/>
  <c r="M135" i="171" s="1"/>
  <c r="M162" i="171"/>
  <c r="M161" i="171" s="1"/>
  <c r="K167" i="170"/>
  <c r="P126" i="170"/>
  <c r="P118" i="170"/>
  <c r="P71" i="170"/>
  <c r="R33" i="170"/>
  <c r="R84" i="170"/>
  <c r="E92" i="170"/>
  <c r="E161" i="170"/>
  <c r="P161" i="170" s="1"/>
  <c r="P176" i="170"/>
  <c r="P171" i="170"/>
  <c r="J166" i="170"/>
  <c r="P166" i="170" s="1"/>
  <c r="L160" i="170"/>
  <c r="L159" i="170" s="1"/>
  <c r="K144" i="170"/>
  <c r="P112" i="170"/>
  <c r="P110" i="170"/>
  <c r="P106" i="170"/>
  <c r="P102" i="170"/>
  <c r="P93" i="170"/>
  <c r="J87" i="170"/>
  <c r="P87" i="170" s="1"/>
  <c r="Q87" i="170" s="1"/>
  <c r="P85" i="170"/>
  <c r="P79" i="170"/>
  <c r="P70" i="170"/>
  <c r="P65" i="170"/>
  <c r="P62" i="170"/>
  <c r="P53" i="170"/>
  <c r="P46" i="170"/>
  <c r="P40" i="170"/>
  <c r="P27" i="170"/>
  <c r="J22" i="170"/>
  <c r="P22" i="170" s="1"/>
  <c r="M116" i="171"/>
  <c r="M115" i="171" s="1"/>
  <c r="I175" i="171"/>
  <c r="I174" i="171" s="1"/>
  <c r="N175" i="171"/>
  <c r="N174" i="171" s="1"/>
  <c r="P169" i="170"/>
  <c r="E168" i="170"/>
  <c r="E167" i="170" s="1"/>
  <c r="P158" i="170"/>
  <c r="P107" i="170"/>
  <c r="P104" i="170"/>
  <c r="E154" i="170"/>
  <c r="E153" i="170" s="1"/>
  <c r="J160" i="170"/>
  <c r="J159" i="170" s="1"/>
  <c r="P103" i="170"/>
  <c r="F173" i="170"/>
  <c r="F172" i="170" s="1"/>
  <c r="O92" i="170"/>
  <c r="J92" i="170" s="1"/>
  <c r="P92" i="170" s="1"/>
  <c r="H100" i="170"/>
  <c r="H99" i="170" s="1"/>
  <c r="O145" i="170"/>
  <c r="O144" i="170" s="1"/>
  <c r="P150" i="170"/>
  <c r="P170" i="170"/>
  <c r="O168" i="170"/>
  <c r="F168" i="170"/>
  <c r="F167" i="170" s="1"/>
  <c r="J163" i="170"/>
  <c r="P163" i="170" s="1"/>
  <c r="P141" i="170"/>
  <c r="P52" i="170"/>
  <c r="P47" i="170"/>
  <c r="P34" i="170"/>
  <c r="P31" i="170"/>
  <c r="P43" i="170"/>
  <c r="E56" i="170"/>
  <c r="O57" i="170"/>
  <c r="P116" i="170"/>
  <c r="P136" i="170"/>
  <c r="F145" i="170"/>
  <c r="F144" i="170" s="1"/>
  <c r="J145" i="170"/>
  <c r="J144" i="170" s="1"/>
  <c r="O149" i="170"/>
  <c r="O148" i="170" s="1"/>
  <c r="E160" i="170"/>
  <c r="P138" i="170"/>
  <c r="P60" i="170"/>
  <c r="P48" i="170"/>
  <c r="P36" i="170"/>
  <c r="H91" i="170"/>
  <c r="H90" i="170" s="1"/>
  <c r="O173" i="170"/>
  <c r="L144" i="170"/>
  <c r="P142" i="170"/>
  <c r="P67" i="170"/>
  <c r="P25" i="170"/>
  <c r="M30" i="171"/>
  <c r="M29" i="171" s="1"/>
  <c r="M43" i="171"/>
  <c r="M42" i="171" s="1"/>
  <c r="N92" i="171"/>
  <c r="N91" i="171" s="1"/>
  <c r="L136" i="171"/>
  <c r="L135" i="171" s="1"/>
  <c r="P37" i="170"/>
  <c r="P20" i="170"/>
  <c r="L43" i="171"/>
  <c r="L42" i="171" s="1"/>
  <c r="M57" i="171"/>
  <c r="M56" i="171" s="1"/>
  <c r="L92" i="171"/>
  <c r="L91" i="171" s="1"/>
  <c r="I150" i="171"/>
  <c r="I149" i="171" s="1"/>
  <c r="I170" i="171"/>
  <c r="I169" i="171" s="1"/>
  <c r="N116" i="171"/>
  <c r="N115" i="171" s="1"/>
  <c r="P24" i="170"/>
  <c r="I162" i="171"/>
  <c r="I161" i="171" s="1"/>
  <c r="I155" i="171"/>
  <c r="I154" i="171" s="1"/>
  <c r="I136" i="171"/>
  <c r="I135" i="171" s="1"/>
  <c r="I116" i="171"/>
  <c r="I115" i="171" s="1"/>
  <c r="I101" i="171"/>
  <c r="I100" i="171" s="1"/>
  <c r="I92" i="171"/>
  <c r="I91" i="171" s="1"/>
  <c r="M92" i="171"/>
  <c r="M91" i="171" s="1"/>
  <c r="I57" i="171"/>
  <c r="I56" i="171" s="1"/>
  <c r="I43" i="171"/>
  <c r="I42" i="171" s="1"/>
  <c r="I30" i="171"/>
  <c r="I29" i="171" s="1"/>
  <c r="N17" i="171"/>
  <c r="N16" i="171" s="1"/>
  <c r="M17" i="171"/>
  <c r="M16" i="171" s="1"/>
  <c r="I17" i="171"/>
  <c r="I16" i="171" s="1"/>
  <c r="P32" i="170"/>
  <c r="P140" i="170"/>
  <c r="P137" i="170"/>
  <c r="E135" i="170"/>
  <c r="E134" i="170" s="1"/>
  <c r="K169" i="171"/>
  <c r="N178" i="170"/>
  <c r="N187" i="170" s="1"/>
  <c r="P156" i="171"/>
  <c r="P55" i="171"/>
  <c r="L145" i="171"/>
  <c r="K145" i="171"/>
  <c r="E182" i="171"/>
  <c r="J190" i="171"/>
  <c r="E55" i="170"/>
  <c r="H16" i="170"/>
  <c r="Q22" i="170"/>
  <c r="E17" i="170"/>
  <c r="E29" i="170"/>
  <c r="E28" i="170" s="1"/>
  <c r="G56" i="170"/>
  <c r="G55" i="170" s="1"/>
  <c r="E90" i="170"/>
  <c r="F115" i="170"/>
  <c r="F114" i="170" s="1"/>
  <c r="F149" i="170"/>
  <c r="F148" i="170" s="1"/>
  <c r="P174" i="170"/>
  <c r="R44" i="170"/>
  <c r="K42" i="170"/>
  <c r="K41" i="170" s="1"/>
  <c r="R53" i="170"/>
  <c r="J57" i="170"/>
  <c r="P57" i="170" s="1"/>
  <c r="O56" i="170"/>
  <c r="O55" i="170" s="1"/>
  <c r="K17" i="170"/>
  <c r="L17" i="170"/>
  <c r="R30" i="170"/>
  <c r="K29" i="170"/>
  <c r="K28" i="170" s="1"/>
  <c r="R31" i="170"/>
  <c r="R76" i="170"/>
  <c r="G91" i="170"/>
  <c r="G90" i="170" s="1"/>
  <c r="F100" i="170"/>
  <c r="F99" i="170" s="1"/>
  <c r="P156" i="170"/>
  <c r="J162" i="170"/>
  <c r="I178" i="170"/>
  <c r="I187" i="170" s="1"/>
  <c r="M178" i="170"/>
  <c r="M187" i="170" s="1"/>
  <c r="J30" i="170"/>
  <c r="P30" i="170" s="1"/>
  <c r="O29" i="170"/>
  <c r="O28" i="170" s="1"/>
  <c r="E42" i="170"/>
  <c r="E41" i="170" s="1"/>
  <c r="R86" i="170"/>
  <c r="F90" i="170"/>
  <c r="E100" i="170"/>
  <c r="E99" i="170" s="1"/>
  <c r="R107" i="170"/>
  <c r="K100" i="170"/>
  <c r="K99" i="170" s="1"/>
  <c r="F42" i="170"/>
  <c r="F41" i="170" s="1"/>
  <c r="F56" i="170"/>
  <c r="F55" i="170" s="1"/>
  <c r="K91" i="170"/>
  <c r="O91" i="170"/>
  <c r="O135" i="170"/>
  <c r="O134" i="170" s="1"/>
  <c r="R155" i="170"/>
  <c r="K154" i="170"/>
  <c r="K153" i="170" s="1"/>
  <c r="O155" i="170"/>
  <c r="K56" i="170"/>
  <c r="E115" i="170"/>
  <c r="E114" i="170" s="1"/>
  <c r="K115" i="170"/>
  <c r="K114" i="170" s="1"/>
  <c r="P162" i="170"/>
  <c r="P177" i="170"/>
  <c r="K135" i="170"/>
  <c r="K134" i="170" s="1"/>
  <c r="J149" i="170"/>
  <c r="J148" i="170" s="1"/>
  <c r="E180" i="170"/>
  <c r="O115" i="170"/>
  <c r="O114" i="170" s="1"/>
  <c r="E145" i="170"/>
  <c r="E144" i="170" s="1"/>
  <c r="K130" i="165"/>
  <c r="K130" i="171" s="1"/>
  <c r="F128" i="165"/>
  <c r="F128" i="171" s="1"/>
  <c r="J168" i="170" l="1"/>
  <c r="O167" i="170"/>
  <c r="H178" i="170"/>
  <c r="H187" i="170" s="1"/>
  <c r="O172" i="170"/>
  <c r="J173" i="170"/>
  <c r="P160" i="170"/>
  <c r="P159" i="170" s="1"/>
  <c r="E159" i="170"/>
  <c r="I180" i="171"/>
  <c r="I189" i="171" s="1"/>
  <c r="Q182" i="171"/>
  <c r="R29" i="170"/>
  <c r="O17" i="170"/>
  <c r="J17" i="170" s="1"/>
  <c r="R42" i="170"/>
  <c r="J56" i="170"/>
  <c r="E16" i="170"/>
  <c r="K55" i="170"/>
  <c r="R56" i="170"/>
  <c r="J155" i="170"/>
  <c r="P155" i="170" s="1"/>
  <c r="O154" i="170"/>
  <c r="O153" i="170" s="1"/>
  <c r="P145" i="170"/>
  <c r="P144" i="170" s="1"/>
  <c r="R115" i="170"/>
  <c r="Q180" i="170"/>
  <c r="K178" i="170"/>
  <c r="R17" i="170"/>
  <c r="K16" i="170"/>
  <c r="F178" i="170"/>
  <c r="F187" i="170" s="1"/>
  <c r="G178" i="170"/>
  <c r="G187" i="170" s="1"/>
  <c r="J135" i="170"/>
  <c r="J134" i="170" s="1"/>
  <c r="K90" i="170"/>
  <c r="R91" i="170"/>
  <c r="O100" i="170"/>
  <c r="O99" i="170" s="1"/>
  <c r="O42" i="170"/>
  <c r="O41" i="170" s="1"/>
  <c r="R154" i="170"/>
  <c r="J115" i="170"/>
  <c r="R135" i="170"/>
  <c r="O90" i="170"/>
  <c r="J91" i="170"/>
  <c r="R100" i="170"/>
  <c r="J29" i="170"/>
  <c r="J28" i="170" s="1"/>
  <c r="L178" i="170"/>
  <c r="L187" i="170" s="1"/>
  <c r="L16" i="170"/>
  <c r="E149" i="170"/>
  <c r="P29" i="170"/>
  <c r="P28" i="170" s="1"/>
  <c r="P182" i="165"/>
  <c r="F48" i="165"/>
  <c r="F48" i="171" s="1"/>
  <c r="K169" i="166"/>
  <c r="K128" i="165"/>
  <c r="K128" i="171" s="1"/>
  <c r="F125" i="165"/>
  <c r="F125" i="171" s="1"/>
  <c r="J172" i="170" l="1"/>
  <c r="P173" i="170"/>
  <c r="P172" i="170" s="1"/>
  <c r="P168" i="170"/>
  <c r="P167" i="170" s="1"/>
  <c r="J167" i="170"/>
  <c r="P115" i="170"/>
  <c r="P114" i="170" s="1"/>
  <c r="J114" i="170"/>
  <c r="E178" i="170"/>
  <c r="E196" i="170" s="1"/>
  <c r="E148" i="170"/>
  <c r="E187" i="170"/>
  <c r="J100" i="170"/>
  <c r="J99" i="170" s="1"/>
  <c r="Q178" i="170"/>
  <c r="K187" i="170"/>
  <c r="J154" i="170"/>
  <c r="J153" i="170" s="1"/>
  <c r="Q168" i="170"/>
  <c r="O178" i="170"/>
  <c r="O187" i="170" s="1"/>
  <c r="O16" i="170"/>
  <c r="Q115" i="170"/>
  <c r="Q29" i="170"/>
  <c r="P149" i="170"/>
  <c r="P148" i="170" s="1"/>
  <c r="J55" i="170"/>
  <c r="P56" i="170"/>
  <c r="J16" i="170"/>
  <c r="J90" i="170"/>
  <c r="P91" i="170"/>
  <c r="J42" i="170"/>
  <c r="P135" i="170"/>
  <c r="P134" i="170" s="1"/>
  <c r="Q145" i="170"/>
  <c r="P17" i="170"/>
  <c r="J218" i="166"/>
  <c r="J212" i="166"/>
  <c r="J210" i="166"/>
  <c r="J209" i="166"/>
  <c r="K143" i="165"/>
  <c r="K143" i="171" s="1"/>
  <c r="K144" i="165"/>
  <c r="K144" i="171" s="1"/>
  <c r="K140" i="165"/>
  <c r="K140" i="171" s="1"/>
  <c r="F188" i="170" l="1"/>
  <c r="E188" i="170"/>
  <c r="J178" i="170"/>
  <c r="J187" i="170" s="1"/>
  <c r="J41" i="170"/>
  <c r="Q149" i="170"/>
  <c r="P154" i="170"/>
  <c r="P153" i="170" s="1"/>
  <c r="P100" i="170"/>
  <c r="P99" i="170" s="1"/>
  <c r="Q91" i="170"/>
  <c r="P90" i="170"/>
  <c r="P16" i="170"/>
  <c r="Q17" i="170"/>
  <c r="Q173" i="170"/>
  <c r="Q135" i="170"/>
  <c r="Q160" i="170"/>
  <c r="P42" i="170"/>
  <c r="P41" i="170" s="1"/>
  <c r="P55" i="170"/>
  <c r="Q56" i="170"/>
  <c r="F52" i="165"/>
  <c r="F52" i="171" s="1"/>
  <c r="F45" i="165"/>
  <c r="F45" i="171" s="1"/>
  <c r="Q42" i="170" l="1"/>
  <c r="Q100" i="170"/>
  <c r="Q154" i="170"/>
  <c r="P178" i="170"/>
  <c r="J39" i="167"/>
  <c r="I39" i="167"/>
  <c r="H39" i="167"/>
  <c r="J32" i="166"/>
  <c r="K32" i="165"/>
  <c r="K32" i="171" s="1"/>
  <c r="F32" i="165"/>
  <c r="F32" i="171" s="1"/>
  <c r="P187" i="170" l="1"/>
  <c r="F190" i="170"/>
  <c r="P188" i="170"/>
  <c r="F105" i="165"/>
  <c r="F105" i="171" s="1"/>
  <c r="F110" i="165"/>
  <c r="F110" i="171" s="1"/>
  <c r="F51" i="165" l="1"/>
  <c r="F51" i="171" s="1"/>
  <c r="F50" i="165" l="1"/>
  <c r="F50" i="171" s="1"/>
  <c r="F49" i="165"/>
  <c r="F49" i="171" s="1"/>
  <c r="F47" i="165"/>
  <c r="F47" i="171" s="1"/>
  <c r="F46" i="165"/>
  <c r="F46" i="171" s="1"/>
  <c r="F98" i="165"/>
  <c r="F98" i="171" s="1"/>
  <c r="F99" i="165"/>
  <c r="F99" i="171" s="1"/>
  <c r="G182" i="165"/>
  <c r="G137" i="165"/>
  <c r="G137" i="171" s="1"/>
  <c r="G136" i="171" s="1"/>
  <c r="G135" i="171" s="1"/>
  <c r="F137" i="165"/>
  <c r="F137" i="171" s="1"/>
  <c r="F136" i="171" s="1"/>
  <c r="F135" i="171" s="1"/>
  <c r="G151" i="165"/>
  <c r="G151" i="171" s="1"/>
  <c r="G150" i="171" s="1"/>
  <c r="G149" i="171" s="1"/>
  <c r="F151" i="165"/>
  <c r="F151" i="171" s="1"/>
  <c r="F171" i="165"/>
  <c r="F171" i="171" s="1"/>
  <c r="F170" i="171" s="1"/>
  <c r="F169" i="171" s="1"/>
  <c r="G171" i="165"/>
  <c r="G171" i="171" s="1"/>
  <c r="G170" i="171" s="1"/>
  <c r="G169" i="171" s="1"/>
  <c r="H123" i="167"/>
  <c r="H125" i="167"/>
  <c r="K96" i="165"/>
  <c r="K96" i="171" s="1"/>
  <c r="R96" i="171" s="1"/>
  <c r="J114" i="166"/>
  <c r="J171" i="167" l="1"/>
  <c r="I171" i="167"/>
  <c r="G35" i="165"/>
  <c r="G35" i="171" s="1"/>
  <c r="M205" i="167" l="1"/>
  <c r="G205" i="167"/>
  <c r="H32" i="165" l="1"/>
  <c r="H32" i="171" s="1"/>
  <c r="R160" i="165"/>
  <c r="E160" i="165" l="1"/>
  <c r="N155" i="165"/>
  <c r="M155" i="165"/>
  <c r="L155" i="165"/>
  <c r="I155" i="165"/>
  <c r="H155" i="165"/>
  <c r="G155" i="165"/>
  <c r="J104" i="166"/>
  <c r="K87" i="165"/>
  <c r="K87" i="171" s="1"/>
  <c r="F84" i="165"/>
  <c r="F84" i="171" s="1"/>
  <c r="F35" i="171"/>
  <c r="G32" i="165"/>
  <c r="G32" i="171" s="1"/>
  <c r="I193" i="166"/>
  <c r="J166" i="166"/>
  <c r="K129" i="165"/>
  <c r="K129" i="171" s="1"/>
  <c r="F120" i="165"/>
  <c r="F120" i="171" s="1"/>
  <c r="H182" i="165"/>
  <c r="R87" i="171" l="1"/>
  <c r="K205" i="167"/>
  <c r="E160" i="171"/>
  <c r="O160" i="165"/>
  <c r="O160" i="171" s="1"/>
  <c r="G176" i="165"/>
  <c r="G176" i="171" s="1"/>
  <c r="G175" i="171" s="1"/>
  <c r="G174" i="171" s="1"/>
  <c r="F176" i="165"/>
  <c r="F176" i="171" s="1"/>
  <c r="H58" i="165"/>
  <c r="H58" i="171" s="1"/>
  <c r="F58" i="165"/>
  <c r="F58" i="171" s="1"/>
  <c r="K83" i="165"/>
  <c r="K83" i="171" s="1"/>
  <c r="J96" i="166"/>
  <c r="J160" i="165" l="1"/>
  <c r="J160" i="171" s="1"/>
  <c r="G39" i="165"/>
  <c r="G39" i="171" s="1"/>
  <c r="F39" i="165"/>
  <c r="F39" i="171" s="1"/>
  <c r="P160" i="165" l="1"/>
  <c r="P160" i="171" s="1"/>
  <c r="L205" i="167"/>
  <c r="G163" i="165"/>
  <c r="G163" i="171" s="1"/>
  <c r="G162" i="171" s="1"/>
  <c r="G161" i="171" s="1"/>
  <c r="F163" i="165"/>
  <c r="F163" i="171" s="1"/>
  <c r="H151" i="165"/>
  <c r="H151" i="171" s="1"/>
  <c r="H150" i="171" s="1"/>
  <c r="H149" i="171" s="1"/>
  <c r="F147" i="165"/>
  <c r="F147" i="171" s="1"/>
  <c r="F146" i="171" s="1"/>
  <c r="F145" i="171" s="1"/>
  <c r="G117" i="165"/>
  <c r="G117" i="171" s="1"/>
  <c r="F117" i="165"/>
  <c r="F117" i="171" s="1"/>
  <c r="H18" i="165"/>
  <c r="H18" i="171" s="1"/>
  <c r="H17" i="171" s="1"/>
  <c r="G18" i="165"/>
  <c r="G18" i="171" s="1"/>
  <c r="G17" i="171" s="1"/>
  <c r="F18" i="165"/>
  <c r="F18" i="171" s="1"/>
  <c r="N20" i="169"/>
  <c r="M20" i="169"/>
  <c r="L20" i="169"/>
  <c r="K20" i="169"/>
  <c r="I20" i="169"/>
  <c r="H20" i="169"/>
  <c r="G20" i="169"/>
  <c r="F20" i="169"/>
  <c r="O20" i="168"/>
  <c r="J20" i="168" s="1"/>
  <c r="E20" i="168"/>
  <c r="G16" i="171" l="1"/>
  <c r="H16" i="171"/>
  <c r="P20" i="168"/>
  <c r="K86" i="165" l="1"/>
  <c r="K86" i="171" s="1"/>
  <c r="K96" i="166"/>
  <c r="J103" i="166"/>
  <c r="R86" i="171" l="1"/>
  <c r="K63" i="166"/>
  <c r="J16" i="167" l="1"/>
  <c r="I16" i="167"/>
  <c r="F31" i="165"/>
  <c r="F31" i="171" s="1"/>
  <c r="H31" i="165"/>
  <c r="H31" i="171" s="1"/>
  <c r="K31" i="165"/>
  <c r="K31" i="171" s="1"/>
  <c r="J204" i="167"/>
  <c r="I204" i="167"/>
  <c r="H204" i="167"/>
  <c r="K18" i="165" l="1"/>
  <c r="K18" i="171" s="1"/>
  <c r="N178" i="169" l="1"/>
  <c r="M178" i="169"/>
  <c r="L178" i="169"/>
  <c r="K178" i="169"/>
  <c r="I178" i="169"/>
  <c r="H178" i="169"/>
  <c r="G178" i="169"/>
  <c r="F178" i="169"/>
  <c r="N177" i="169"/>
  <c r="M177" i="169"/>
  <c r="L177" i="169"/>
  <c r="K177" i="169"/>
  <c r="I177" i="169"/>
  <c r="H177" i="169"/>
  <c r="G177" i="169"/>
  <c r="N176" i="169"/>
  <c r="M176" i="169"/>
  <c r="L176" i="169"/>
  <c r="K176" i="169"/>
  <c r="I176" i="169"/>
  <c r="H176" i="169"/>
  <c r="G176" i="169"/>
  <c r="N175" i="169"/>
  <c r="M175" i="169"/>
  <c r="L175" i="169"/>
  <c r="K175" i="169"/>
  <c r="I175" i="169"/>
  <c r="N172" i="169"/>
  <c r="M172" i="169"/>
  <c r="L172" i="169"/>
  <c r="K172" i="169"/>
  <c r="I172" i="169"/>
  <c r="H172" i="169"/>
  <c r="G172" i="169"/>
  <c r="F172" i="169"/>
  <c r="N171" i="169"/>
  <c r="M171" i="169"/>
  <c r="L171" i="169"/>
  <c r="K171" i="169"/>
  <c r="I171" i="169"/>
  <c r="H171" i="169"/>
  <c r="G171" i="169"/>
  <c r="F171" i="169"/>
  <c r="N170" i="169"/>
  <c r="N169" i="169" s="1"/>
  <c r="N168" i="169" s="1"/>
  <c r="M170" i="169"/>
  <c r="L170" i="169"/>
  <c r="L169" i="169" s="1"/>
  <c r="L168" i="169" s="1"/>
  <c r="K170" i="169"/>
  <c r="K169" i="169" s="1"/>
  <c r="I170" i="169"/>
  <c r="N167" i="169"/>
  <c r="M167" i="169"/>
  <c r="K167" i="169"/>
  <c r="I167" i="169"/>
  <c r="H167" i="169"/>
  <c r="G167" i="169"/>
  <c r="F167" i="169"/>
  <c r="E167" i="169"/>
  <c r="N166" i="169"/>
  <c r="M166" i="169"/>
  <c r="L166" i="169"/>
  <c r="K166" i="169"/>
  <c r="I166" i="169"/>
  <c r="H166" i="169"/>
  <c r="G166" i="169"/>
  <c r="F166" i="169"/>
  <c r="N165" i="169"/>
  <c r="M165" i="169"/>
  <c r="L165" i="169"/>
  <c r="K165" i="169"/>
  <c r="I165" i="169"/>
  <c r="H165" i="169"/>
  <c r="G165" i="169"/>
  <c r="F165" i="169"/>
  <c r="N164" i="169"/>
  <c r="M164" i="169"/>
  <c r="K164" i="169"/>
  <c r="I164" i="169"/>
  <c r="H164" i="169"/>
  <c r="G164" i="169"/>
  <c r="F164" i="169"/>
  <c r="N163" i="169"/>
  <c r="M163" i="169"/>
  <c r="L163" i="169"/>
  <c r="K163" i="169"/>
  <c r="I163" i="169"/>
  <c r="H163" i="169"/>
  <c r="G163" i="169"/>
  <c r="N162" i="169"/>
  <c r="M162" i="169"/>
  <c r="L162" i="169"/>
  <c r="K162" i="169"/>
  <c r="I162" i="169"/>
  <c r="N159" i="169"/>
  <c r="M159" i="169"/>
  <c r="L159" i="169"/>
  <c r="I159" i="169"/>
  <c r="H159" i="169"/>
  <c r="G159" i="169"/>
  <c r="N158" i="169"/>
  <c r="M158" i="169"/>
  <c r="L158" i="169"/>
  <c r="K158" i="169"/>
  <c r="I158" i="169"/>
  <c r="H158" i="169"/>
  <c r="G158" i="169"/>
  <c r="N157" i="169"/>
  <c r="M157" i="169"/>
  <c r="L157" i="169"/>
  <c r="K157" i="169"/>
  <c r="I157" i="169"/>
  <c r="H157" i="169"/>
  <c r="G157" i="169"/>
  <c r="N153" i="169"/>
  <c r="M153" i="169"/>
  <c r="L153" i="169"/>
  <c r="K153" i="169"/>
  <c r="I153" i="169"/>
  <c r="H153" i="169"/>
  <c r="G153" i="169"/>
  <c r="N152" i="169"/>
  <c r="M152" i="169"/>
  <c r="L152" i="169"/>
  <c r="K152" i="169"/>
  <c r="I152" i="169"/>
  <c r="H152" i="169"/>
  <c r="G152" i="169"/>
  <c r="N151" i="169"/>
  <c r="M151" i="169"/>
  <c r="L151" i="169"/>
  <c r="K151" i="169"/>
  <c r="I151" i="169"/>
  <c r="N148" i="169"/>
  <c r="M148" i="169"/>
  <c r="L148" i="169"/>
  <c r="K148" i="169"/>
  <c r="I148" i="169"/>
  <c r="H148" i="169"/>
  <c r="G148" i="169"/>
  <c r="F148" i="169"/>
  <c r="N147" i="169"/>
  <c r="N146" i="169" s="1"/>
  <c r="N145" i="169" s="1"/>
  <c r="M147" i="169"/>
  <c r="L147" i="169"/>
  <c r="K147" i="169"/>
  <c r="K146" i="169" s="1"/>
  <c r="I147" i="169"/>
  <c r="N144" i="169"/>
  <c r="M144" i="169"/>
  <c r="L144" i="169"/>
  <c r="I144" i="169"/>
  <c r="H144" i="169"/>
  <c r="G144" i="169"/>
  <c r="F144" i="169"/>
  <c r="N143" i="169"/>
  <c r="M143" i="169"/>
  <c r="L143" i="169"/>
  <c r="I143" i="169"/>
  <c r="H143" i="169"/>
  <c r="G143" i="169"/>
  <c r="F143" i="169"/>
  <c r="N142" i="169"/>
  <c r="M142" i="169"/>
  <c r="L142" i="169"/>
  <c r="I142" i="169"/>
  <c r="H142" i="169"/>
  <c r="G142" i="169"/>
  <c r="F142" i="169"/>
  <c r="N141" i="169"/>
  <c r="M141" i="169"/>
  <c r="L141" i="169"/>
  <c r="I141" i="169"/>
  <c r="H141" i="169"/>
  <c r="G141" i="169"/>
  <c r="F141" i="169"/>
  <c r="N140" i="169"/>
  <c r="M140" i="169"/>
  <c r="L140" i="169"/>
  <c r="I140" i="169"/>
  <c r="H140" i="169"/>
  <c r="G140" i="169"/>
  <c r="F140" i="169"/>
  <c r="N139" i="169"/>
  <c r="M139" i="169"/>
  <c r="L139" i="169"/>
  <c r="I139" i="169"/>
  <c r="H139" i="169"/>
  <c r="G139" i="169"/>
  <c r="F139" i="169"/>
  <c r="N138" i="169"/>
  <c r="M138" i="169"/>
  <c r="L138" i="169"/>
  <c r="K138" i="169"/>
  <c r="I138" i="169"/>
  <c r="H138" i="169"/>
  <c r="G138" i="169"/>
  <c r="F138" i="169"/>
  <c r="N137" i="169"/>
  <c r="M137" i="169"/>
  <c r="L137" i="169"/>
  <c r="K137" i="169"/>
  <c r="I137" i="169"/>
  <c r="N134" i="169"/>
  <c r="M134" i="169"/>
  <c r="L134" i="169"/>
  <c r="K134" i="169"/>
  <c r="I134" i="169"/>
  <c r="F134" i="169"/>
  <c r="N133" i="169"/>
  <c r="M133" i="169"/>
  <c r="L133" i="169"/>
  <c r="K133" i="169"/>
  <c r="I133" i="169"/>
  <c r="H133" i="169"/>
  <c r="G133" i="169"/>
  <c r="F133" i="169"/>
  <c r="P132" i="169"/>
  <c r="O132" i="169"/>
  <c r="N132" i="169"/>
  <c r="M132" i="169"/>
  <c r="L132" i="169"/>
  <c r="K132" i="169"/>
  <c r="J132" i="169"/>
  <c r="I132" i="169"/>
  <c r="H132" i="169"/>
  <c r="G132" i="169"/>
  <c r="F132" i="169"/>
  <c r="N131" i="169"/>
  <c r="M131" i="169"/>
  <c r="K131" i="169"/>
  <c r="I131" i="169"/>
  <c r="H131" i="169"/>
  <c r="G131" i="169"/>
  <c r="F131" i="169"/>
  <c r="N130" i="169"/>
  <c r="M130" i="169"/>
  <c r="L130" i="169"/>
  <c r="I130" i="169"/>
  <c r="H130" i="169"/>
  <c r="G130" i="169"/>
  <c r="F130" i="169"/>
  <c r="N129" i="169"/>
  <c r="M129" i="169"/>
  <c r="L129" i="169"/>
  <c r="K129" i="169"/>
  <c r="I129" i="169"/>
  <c r="H129" i="169"/>
  <c r="G129" i="169"/>
  <c r="N128" i="169"/>
  <c r="M128" i="169"/>
  <c r="L128" i="169"/>
  <c r="I128" i="169"/>
  <c r="H128" i="169"/>
  <c r="G128" i="169"/>
  <c r="N127" i="169"/>
  <c r="M127" i="169"/>
  <c r="L127" i="169"/>
  <c r="I127" i="169"/>
  <c r="H127" i="169"/>
  <c r="G127" i="169"/>
  <c r="F127" i="169"/>
  <c r="N126" i="169"/>
  <c r="M126" i="169"/>
  <c r="L126" i="169"/>
  <c r="I126" i="169"/>
  <c r="H126" i="169"/>
  <c r="G126" i="169"/>
  <c r="F126" i="169"/>
  <c r="N125" i="169"/>
  <c r="M125" i="169"/>
  <c r="L125" i="169"/>
  <c r="I125" i="169"/>
  <c r="H125" i="169"/>
  <c r="G125" i="169"/>
  <c r="N124" i="169"/>
  <c r="M124" i="169"/>
  <c r="L124" i="169"/>
  <c r="K124" i="169"/>
  <c r="I124" i="169"/>
  <c r="H124" i="169"/>
  <c r="G124" i="169"/>
  <c r="F124" i="169"/>
  <c r="N123" i="169"/>
  <c r="M123" i="169"/>
  <c r="L123" i="169"/>
  <c r="I123" i="169"/>
  <c r="H123" i="169"/>
  <c r="G123" i="169"/>
  <c r="F123" i="169"/>
  <c r="N122" i="169"/>
  <c r="M122" i="169"/>
  <c r="L122" i="169"/>
  <c r="I122" i="169"/>
  <c r="H122" i="169"/>
  <c r="G122" i="169"/>
  <c r="F122" i="169"/>
  <c r="N121" i="169"/>
  <c r="M121" i="169"/>
  <c r="L121" i="169"/>
  <c r="K121" i="169"/>
  <c r="I121" i="169"/>
  <c r="H121" i="169"/>
  <c r="G121" i="169"/>
  <c r="N120" i="169"/>
  <c r="M120" i="169"/>
  <c r="L120" i="169"/>
  <c r="K120" i="169"/>
  <c r="I120" i="169"/>
  <c r="H120" i="169"/>
  <c r="G120" i="169"/>
  <c r="N119" i="169"/>
  <c r="M119" i="169"/>
  <c r="L119" i="169"/>
  <c r="I119" i="169"/>
  <c r="H119" i="169"/>
  <c r="G119" i="169"/>
  <c r="N118" i="169"/>
  <c r="M118" i="169"/>
  <c r="L118" i="169"/>
  <c r="K118" i="169"/>
  <c r="I118" i="169"/>
  <c r="H118" i="169"/>
  <c r="G118" i="169"/>
  <c r="F118" i="169"/>
  <c r="N117" i="169"/>
  <c r="M117" i="169"/>
  <c r="L117" i="169"/>
  <c r="K117" i="169"/>
  <c r="R117" i="169" s="1"/>
  <c r="I117" i="169"/>
  <c r="N114" i="169"/>
  <c r="M114" i="169"/>
  <c r="L114" i="169"/>
  <c r="K114" i="169"/>
  <c r="I114" i="169"/>
  <c r="H114" i="169"/>
  <c r="G114" i="169"/>
  <c r="F114" i="169"/>
  <c r="N113" i="169"/>
  <c r="M113" i="169"/>
  <c r="L113" i="169"/>
  <c r="K113" i="169"/>
  <c r="I113" i="169"/>
  <c r="H113" i="169"/>
  <c r="G113" i="169"/>
  <c r="N112" i="169"/>
  <c r="M112" i="169"/>
  <c r="L112" i="169"/>
  <c r="K112" i="169"/>
  <c r="I112" i="169"/>
  <c r="H112" i="169"/>
  <c r="G112" i="169"/>
  <c r="F112" i="169"/>
  <c r="N111" i="169"/>
  <c r="M111" i="169"/>
  <c r="L111" i="169"/>
  <c r="K111" i="169"/>
  <c r="I111" i="169"/>
  <c r="H111" i="169"/>
  <c r="G111" i="169"/>
  <c r="F111" i="169"/>
  <c r="N110" i="169"/>
  <c r="M110" i="169"/>
  <c r="L110" i="169"/>
  <c r="K110" i="169"/>
  <c r="I110" i="169"/>
  <c r="H110" i="169"/>
  <c r="G110" i="169"/>
  <c r="N109" i="169"/>
  <c r="M109" i="169"/>
  <c r="L109" i="169"/>
  <c r="K109" i="169"/>
  <c r="R109" i="169" s="1"/>
  <c r="I109" i="169"/>
  <c r="H109" i="169"/>
  <c r="G109" i="169"/>
  <c r="N108" i="169"/>
  <c r="I108" i="169"/>
  <c r="N107" i="169"/>
  <c r="M107" i="169"/>
  <c r="L107" i="169"/>
  <c r="K107" i="169"/>
  <c r="I107" i="169"/>
  <c r="H107" i="169"/>
  <c r="G107" i="169"/>
  <c r="F107" i="169"/>
  <c r="N106" i="169"/>
  <c r="M106" i="169"/>
  <c r="L106" i="169"/>
  <c r="K106" i="169"/>
  <c r="I106" i="169"/>
  <c r="H106" i="169"/>
  <c r="G106" i="169"/>
  <c r="N105" i="169"/>
  <c r="M105" i="169"/>
  <c r="L105" i="169"/>
  <c r="K105" i="169"/>
  <c r="I105" i="169"/>
  <c r="H105" i="169"/>
  <c r="G105" i="169"/>
  <c r="N104" i="169"/>
  <c r="M104" i="169"/>
  <c r="L104" i="169"/>
  <c r="I104" i="169"/>
  <c r="M103" i="169"/>
  <c r="L103" i="169"/>
  <c r="K103" i="169"/>
  <c r="I103" i="169"/>
  <c r="N102" i="169"/>
  <c r="M102" i="169"/>
  <c r="L102" i="169"/>
  <c r="K102" i="169"/>
  <c r="R102" i="169" s="1"/>
  <c r="I102" i="169"/>
  <c r="N99" i="169"/>
  <c r="M99" i="169"/>
  <c r="L99" i="169"/>
  <c r="K99" i="169"/>
  <c r="I99" i="169"/>
  <c r="H99" i="169"/>
  <c r="G99" i="169"/>
  <c r="N98" i="169"/>
  <c r="M98" i="169"/>
  <c r="L98" i="169"/>
  <c r="K98" i="169"/>
  <c r="I98" i="169"/>
  <c r="N97" i="169"/>
  <c r="M97" i="169"/>
  <c r="L97" i="169"/>
  <c r="K97" i="169"/>
  <c r="R97" i="169" s="1"/>
  <c r="I97" i="169"/>
  <c r="N96" i="169"/>
  <c r="M96" i="169"/>
  <c r="L96" i="169"/>
  <c r="I96" i="169"/>
  <c r="N95" i="169"/>
  <c r="M95" i="169"/>
  <c r="L95" i="169"/>
  <c r="K95" i="169"/>
  <c r="R95" i="169" s="1"/>
  <c r="I95" i="169"/>
  <c r="N94" i="169"/>
  <c r="M94" i="169"/>
  <c r="L94" i="169"/>
  <c r="K94" i="169"/>
  <c r="I94" i="169"/>
  <c r="H94" i="169"/>
  <c r="G94" i="169"/>
  <c r="N93" i="169"/>
  <c r="M93" i="169"/>
  <c r="L93" i="169"/>
  <c r="I93" i="169"/>
  <c r="N88" i="169"/>
  <c r="M88" i="169"/>
  <c r="K88" i="169"/>
  <c r="I88" i="169"/>
  <c r="H88" i="169"/>
  <c r="G88" i="169"/>
  <c r="F88" i="169"/>
  <c r="N87" i="169"/>
  <c r="M87" i="169"/>
  <c r="L87" i="169"/>
  <c r="I87" i="169"/>
  <c r="H87" i="169"/>
  <c r="G87" i="169"/>
  <c r="F87" i="169"/>
  <c r="N86" i="169"/>
  <c r="M86" i="169"/>
  <c r="L86" i="169"/>
  <c r="I86" i="169"/>
  <c r="H86" i="169"/>
  <c r="G86" i="169"/>
  <c r="F86" i="169"/>
  <c r="N85" i="169"/>
  <c r="M85" i="169"/>
  <c r="L85" i="169"/>
  <c r="I85" i="169"/>
  <c r="H85" i="169"/>
  <c r="G85" i="169"/>
  <c r="F85" i="169"/>
  <c r="N84" i="169"/>
  <c r="M84" i="169"/>
  <c r="L84" i="169"/>
  <c r="K84" i="169"/>
  <c r="R84" i="169" s="1"/>
  <c r="I84" i="169"/>
  <c r="H84" i="169"/>
  <c r="G84" i="169"/>
  <c r="M83" i="169"/>
  <c r="L83" i="169"/>
  <c r="I83" i="169"/>
  <c r="N80" i="169"/>
  <c r="M80" i="169"/>
  <c r="L80" i="169"/>
  <c r="K80" i="169"/>
  <c r="R81" i="169" s="1"/>
  <c r="I80" i="169"/>
  <c r="H80" i="169"/>
  <c r="G80" i="169"/>
  <c r="F80" i="169"/>
  <c r="P79" i="169"/>
  <c r="O79" i="169"/>
  <c r="N79" i="169"/>
  <c r="M79" i="169"/>
  <c r="L79" i="169"/>
  <c r="K79" i="169"/>
  <c r="J79" i="169"/>
  <c r="I79" i="169"/>
  <c r="H79" i="169"/>
  <c r="G79" i="169"/>
  <c r="F79" i="169"/>
  <c r="P78" i="169"/>
  <c r="O78" i="169"/>
  <c r="N78" i="169"/>
  <c r="M78" i="169"/>
  <c r="L78" i="169"/>
  <c r="K78" i="169"/>
  <c r="J78" i="169"/>
  <c r="I78" i="169"/>
  <c r="H78" i="169"/>
  <c r="G78" i="169"/>
  <c r="F78" i="169"/>
  <c r="P77" i="169"/>
  <c r="O77" i="169"/>
  <c r="N77" i="169"/>
  <c r="M77" i="169"/>
  <c r="L77" i="169"/>
  <c r="K77" i="169"/>
  <c r="J77" i="169"/>
  <c r="I77" i="169"/>
  <c r="H77" i="169"/>
  <c r="G77" i="169"/>
  <c r="F77" i="169"/>
  <c r="N76" i="169"/>
  <c r="M76" i="169"/>
  <c r="L76" i="169"/>
  <c r="K76" i="169"/>
  <c r="I76" i="169"/>
  <c r="H76" i="169"/>
  <c r="G76" i="169"/>
  <c r="F76" i="169"/>
  <c r="P75" i="169"/>
  <c r="O75" i="169"/>
  <c r="N75" i="169"/>
  <c r="M75" i="169"/>
  <c r="L75" i="169"/>
  <c r="K75" i="169"/>
  <c r="J75" i="169"/>
  <c r="I75" i="169"/>
  <c r="H75" i="169"/>
  <c r="G75" i="169"/>
  <c r="F75" i="169"/>
  <c r="P74" i="169"/>
  <c r="O74" i="169"/>
  <c r="N74" i="169"/>
  <c r="M74" i="169"/>
  <c r="L74" i="169"/>
  <c r="K74" i="169"/>
  <c r="J74" i="169"/>
  <c r="I74" i="169"/>
  <c r="H74" i="169"/>
  <c r="G74" i="169"/>
  <c r="F74" i="169"/>
  <c r="N73" i="169"/>
  <c r="M73" i="169"/>
  <c r="L73" i="169"/>
  <c r="K73" i="169"/>
  <c r="I73" i="169"/>
  <c r="H73" i="169"/>
  <c r="G73" i="169"/>
  <c r="F73" i="169"/>
  <c r="N72" i="169"/>
  <c r="M72" i="169"/>
  <c r="L72" i="169"/>
  <c r="K72" i="169"/>
  <c r="I72" i="169"/>
  <c r="H72" i="169"/>
  <c r="G72" i="169"/>
  <c r="F72" i="169"/>
  <c r="N71" i="169"/>
  <c r="M71" i="169"/>
  <c r="L71" i="169"/>
  <c r="K71" i="169"/>
  <c r="I71" i="169"/>
  <c r="H71" i="169"/>
  <c r="G71" i="169"/>
  <c r="N70" i="169"/>
  <c r="M70" i="169"/>
  <c r="L70" i="169"/>
  <c r="K70" i="169"/>
  <c r="I70" i="169"/>
  <c r="H70" i="169"/>
  <c r="G70" i="169"/>
  <c r="N69" i="169"/>
  <c r="M69" i="169"/>
  <c r="L69" i="169"/>
  <c r="K69" i="169"/>
  <c r="I69" i="169"/>
  <c r="H69" i="169"/>
  <c r="G69" i="169"/>
  <c r="N68" i="169"/>
  <c r="M68" i="169"/>
  <c r="L68" i="169"/>
  <c r="K68" i="169"/>
  <c r="I68" i="169"/>
  <c r="H68" i="169"/>
  <c r="G68" i="169"/>
  <c r="N67" i="169"/>
  <c r="M67" i="169"/>
  <c r="L67" i="169"/>
  <c r="I67" i="169"/>
  <c r="M66" i="169"/>
  <c r="L66" i="169"/>
  <c r="K66" i="169"/>
  <c r="I66" i="169"/>
  <c r="H66" i="169"/>
  <c r="G66" i="169"/>
  <c r="N65" i="169"/>
  <c r="M65" i="169"/>
  <c r="L65" i="169"/>
  <c r="K65" i="169"/>
  <c r="I65" i="169"/>
  <c r="H65" i="169"/>
  <c r="G65" i="169"/>
  <c r="F65" i="169"/>
  <c r="N64" i="169"/>
  <c r="M64" i="169"/>
  <c r="L64" i="169"/>
  <c r="K64" i="169"/>
  <c r="I64" i="169"/>
  <c r="H64" i="169"/>
  <c r="G64" i="169"/>
  <c r="F64" i="169"/>
  <c r="N63" i="169"/>
  <c r="M63" i="169"/>
  <c r="L63" i="169"/>
  <c r="K63" i="169"/>
  <c r="I63" i="169"/>
  <c r="H63" i="169"/>
  <c r="G63" i="169"/>
  <c r="N62" i="169"/>
  <c r="M62" i="169"/>
  <c r="L62" i="169"/>
  <c r="K62" i="169"/>
  <c r="I62" i="169"/>
  <c r="H62" i="169"/>
  <c r="G62" i="169"/>
  <c r="N61" i="169"/>
  <c r="M61" i="169"/>
  <c r="L61" i="169"/>
  <c r="K61" i="169"/>
  <c r="I61" i="169"/>
  <c r="H61" i="169"/>
  <c r="G61" i="169"/>
  <c r="N60" i="169"/>
  <c r="M60" i="169"/>
  <c r="L60" i="169"/>
  <c r="K60" i="169"/>
  <c r="I60" i="169"/>
  <c r="H60" i="169"/>
  <c r="G60" i="169"/>
  <c r="N59" i="169"/>
  <c r="M59" i="169"/>
  <c r="L59" i="169"/>
  <c r="I59" i="169"/>
  <c r="H59" i="169"/>
  <c r="G59" i="169"/>
  <c r="N58" i="169"/>
  <c r="M58" i="169"/>
  <c r="L58" i="169"/>
  <c r="I58" i="169"/>
  <c r="N54" i="169"/>
  <c r="M54" i="169"/>
  <c r="L54" i="169"/>
  <c r="I54" i="169"/>
  <c r="H54" i="169"/>
  <c r="G54" i="169"/>
  <c r="F54" i="169"/>
  <c r="N53" i="169"/>
  <c r="M53" i="169"/>
  <c r="L53" i="169"/>
  <c r="K53" i="169"/>
  <c r="I53" i="169"/>
  <c r="H53" i="169"/>
  <c r="G53" i="169"/>
  <c r="N52" i="169"/>
  <c r="M52" i="169"/>
  <c r="L52" i="169"/>
  <c r="K52" i="169"/>
  <c r="I52" i="169"/>
  <c r="H52" i="169"/>
  <c r="G52" i="169"/>
  <c r="N51" i="169"/>
  <c r="M51" i="169"/>
  <c r="L51" i="169"/>
  <c r="K51" i="169"/>
  <c r="I51" i="169"/>
  <c r="H51" i="169"/>
  <c r="G51" i="169"/>
  <c r="N50" i="169"/>
  <c r="M50" i="169"/>
  <c r="L50" i="169"/>
  <c r="K50" i="169"/>
  <c r="I50" i="169"/>
  <c r="H50" i="169"/>
  <c r="G50" i="169"/>
  <c r="N49" i="169"/>
  <c r="M49" i="169"/>
  <c r="L49" i="169"/>
  <c r="K49" i="169"/>
  <c r="I49" i="169"/>
  <c r="H49" i="169"/>
  <c r="G49" i="169"/>
  <c r="F49" i="169"/>
  <c r="N48" i="169"/>
  <c r="M48" i="169"/>
  <c r="L48" i="169"/>
  <c r="K48" i="169"/>
  <c r="I48" i="169"/>
  <c r="H48" i="169"/>
  <c r="G48" i="169"/>
  <c r="N47" i="169"/>
  <c r="M47" i="169"/>
  <c r="L47" i="169"/>
  <c r="K47" i="169"/>
  <c r="I47" i="169"/>
  <c r="H47" i="169"/>
  <c r="G47" i="169"/>
  <c r="O46" i="169"/>
  <c r="N46" i="169"/>
  <c r="M46" i="169"/>
  <c r="L46" i="169"/>
  <c r="K46" i="169"/>
  <c r="I46" i="169"/>
  <c r="H46" i="169"/>
  <c r="G46" i="169"/>
  <c r="N45" i="169"/>
  <c r="M45" i="169"/>
  <c r="L45" i="169"/>
  <c r="I45" i="169"/>
  <c r="H45" i="169"/>
  <c r="G45" i="169"/>
  <c r="N44" i="169"/>
  <c r="M44" i="169"/>
  <c r="L44" i="169"/>
  <c r="K44" i="169"/>
  <c r="I44" i="169"/>
  <c r="N41" i="169"/>
  <c r="M41" i="169"/>
  <c r="L41" i="169"/>
  <c r="K41" i="169"/>
  <c r="I41" i="169"/>
  <c r="H41" i="169"/>
  <c r="G41" i="169"/>
  <c r="F41" i="169"/>
  <c r="N40" i="169"/>
  <c r="M40" i="169"/>
  <c r="L40" i="169"/>
  <c r="K40" i="169"/>
  <c r="I40" i="169"/>
  <c r="H40" i="169"/>
  <c r="G40" i="169"/>
  <c r="N39" i="169"/>
  <c r="M39" i="169"/>
  <c r="L39" i="169"/>
  <c r="K39" i="169"/>
  <c r="I39" i="169"/>
  <c r="H39" i="169"/>
  <c r="N38" i="169"/>
  <c r="M38" i="169"/>
  <c r="L38" i="169"/>
  <c r="K38" i="169"/>
  <c r="I38" i="169"/>
  <c r="H38" i="169"/>
  <c r="G38" i="169"/>
  <c r="N37" i="169"/>
  <c r="M37" i="169"/>
  <c r="L37" i="169"/>
  <c r="K37" i="169"/>
  <c r="I37" i="169"/>
  <c r="N36" i="169"/>
  <c r="M36" i="169"/>
  <c r="L36" i="169"/>
  <c r="K36" i="169"/>
  <c r="I36" i="169"/>
  <c r="M35" i="169"/>
  <c r="I35" i="169"/>
  <c r="N34" i="169"/>
  <c r="M34" i="169"/>
  <c r="L34" i="169"/>
  <c r="I34" i="169"/>
  <c r="N33" i="169"/>
  <c r="M33" i="169"/>
  <c r="L33" i="169"/>
  <c r="I33" i="169"/>
  <c r="N32" i="169"/>
  <c r="M32" i="169"/>
  <c r="L32" i="169"/>
  <c r="I32" i="169"/>
  <c r="N31" i="169"/>
  <c r="M31" i="169"/>
  <c r="L31" i="169"/>
  <c r="I31" i="169"/>
  <c r="N28" i="169"/>
  <c r="M28" i="169"/>
  <c r="L28" i="169"/>
  <c r="I28" i="169"/>
  <c r="H28" i="169"/>
  <c r="G28" i="169"/>
  <c r="N27" i="169"/>
  <c r="M27" i="169"/>
  <c r="L27" i="169"/>
  <c r="K27" i="169"/>
  <c r="I27" i="169"/>
  <c r="H27" i="169"/>
  <c r="G27" i="169"/>
  <c r="N26" i="169"/>
  <c r="M26" i="169"/>
  <c r="L26" i="169"/>
  <c r="K26" i="169"/>
  <c r="I26" i="169"/>
  <c r="H26" i="169"/>
  <c r="G26" i="169"/>
  <c r="N23" i="169"/>
  <c r="M23" i="169"/>
  <c r="K23" i="169"/>
  <c r="I23" i="169"/>
  <c r="H23" i="169"/>
  <c r="G23" i="169"/>
  <c r="F23" i="169"/>
  <c r="N22" i="169"/>
  <c r="M22" i="169"/>
  <c r="L22" i="169"/>
  <c r="K22" i="169"/>
  <c r="I22" i="169"/>
  <c r="H22" i="169"/>
  <c r="G22" i="169"/>
  <c r="F22" i="169"/>
  <c r="N21" i="169"/>
  <c r="M21" i="169"/>
  <c r="L21" i="169"/>
  <c r="I21" i="169"/>
  <c r="H21" i="169"/>
  <c r="G21" i="169"/>
  <c r="N19" i="169"/>
  <c r="M19" i="169"/>
  <c r="L19" i="169"/>
  <c r="K19" i="169"/>
  <c r="I19" i="169"/>
  <c r="H19" i="169"/>
  <c r="G19" i="169"/>
  <c r="N18" i="169"/>
  <c r="M18" i="169"/>
  <c r="L18" i="169"/>
  <c r="I18" i="169"/>
  <c r="F176" i="168"/>
  <c r="E176" i="168" s="1"/>
  <c r="O176" i="168"/>
  <c r="J176" i="168" s="1"/>
  <c r="F177" i="168"/>
  <c r="E177" i="168" s="1"/>
  <c r="O177" i="168"/>
  <c r="J177" i="168" s="1"/>
  <c r="E178" i="168"/>
  <c r="O178" i="168"/>
  <c r="J178" i="168" s="1"/>
  <c r="E171" i="168"/>
  <c r="O171" i="168"/>
  <c r="J171" i="168" s="1"/>
  <c r="E172" i="168"/>
  <c r="O172" i="168"/>
  <c r="J172" i="168" s="1"/>
  <c r="F163" i="168"/>
  <c r="E163" i="168" s="1"/>
  <c r="O163" i="168"/>
  <c r="J163" i="168" s="1"/>
  <c r="E164" i="168"/>
  <c r="L164" i="168"/>
  <c r="O164" i="168"/>
  <c r="E165" i="168"/>
  <c r="O165" i="168"/>
  <c r="J165" i="168" s="1"/>
  <c r="E166" i="168"/>
  <c r="O166" i="168"/>
  <c r="J166" i="168" s="1"/>
  <c r="L167" i="168"/>
  <c r="O167" i="168"/>
  <c r="F158" i="168"/>
  <c r="E158" i="168" s="1"/>
  <c r="O158" i="168"/>
  <c r="J158" i="168" s="1"/>
  <c r="F159" i="168"/>
  <c r="E159" i="168" s="1"/>
  <c r="K159" i="168"/>
  <c r="O159" i="168" s="1"/>
  <c r="J159" i="168" s="1"/>
  <c r="F152" i="168"/>
  <c r="E152" i="168" s="1"/>
  <c r="O152" i="168"/>
  <c r="J152" i="168" s="1"/>
  <c r="F153" i="168"/>
  <c r="E153" i="168" s="1"/>
  <c r="O153" i="168"/>
  <c r="J153" i="168" s="1"/>
  <c r="E148" i="168"/>
  <c r="O148" i="168"/>
  <c r="J148" i="168" s="1"/>
  <c r="E138" i="168"/>
  <c r="O138" i="168"/>
  <c r="J138" i="168" s="1"/>
  <c r="E139" i="168"/>
  <c r="K139" i="168"/>
  <c r="O139" i="168" s="1"/>
  <c r="J139" i="168" s="1"/>
  <c r="E140" i="168"/>
  <c r="K140" i="168"/>
  <c r="O140" i="168" s="1"/>
  <c r="J140" i="168" s="1"/>
  <c r="E141" i="168"/>
  <c r="K141" i="168"/>
  <c r="O141" i="168" s="1"/>
  <c r="J141" i="168" s="1"/>
  <c r="P141" i="168" s="1"/>
  <c r="E142" i="168"/>
  <c r="K142" i="168"/>
  <c r="O142" i="168" s="1"/>
  <c r="J142" i="168" s="1"/>
  <c r="E143" i="168"/>
  <c r="K143" i="168"/>
  <c r="O143" i="168" s="1"/>
  <c r="J143" i="168" s="1"/>
  <c r="E144" i="168"/>
  <c r="K144" i="168"/>
  <c r="O144" i="168" s="1"/>
  <c r="J144" i="168" s="1"/>
  <c r="E118" i="168"/>
  <c r="O118" i="168"/>
  <c r="J118" i="168" s="1"/>
  <c r="F119" i="168"/>
  <c r="E119" i="168" s="1"/>
  <c r="K119" i="168"/>
  <c r="O119" i="168" s="1"/>
  <c r="J119" i="168" s="1"/>
  <c r="F120" i="168"/>
  <c r="E120" i="168" s="1"/>
  <c r="O120" i="168"/>
  <c r="J120" i="168" s="1"/>
  <c r="F121" i="168"/>
  <c r="E121" i="168" s="1"/>
  <c r="O121" i="168"/>
  <c r="J121" i="168" s="1"/>
  <c r="E122" i="168"/>
  <c r="K122" i="168"/>
  <c r="O122" i="168" s="1"/>
  <c r="J122" i="168" s="1"/>
  <c r="E123" i="168"/>
  <c r="K123" i="168"/>
  <c r="O123" i="168" s="1"/>
  <c r="J123" i="168" s="1"/>
  <c r="E124" i="168"/>
  <c r="O124" i="168"/>
  <c r="J124" i="168" s="1"/>
  <c r="P124" i="168" s="1"/>
  <c r="F125" i="168"/>
  <c r="E125" i="168" s="1"/>
  <c r="K125" i="168"/>
  <c r="O125" i="168" s="1"/>
  <c r="J125" i="168" s="1"/>
  <c r="E126" i="168"/>
  <c r="K126" i="168"/>
  <c r="O126" i="168" s="1"/>
  <c r="J126" i="168" s="1"/>
  <c r="E127" i="168"/>
  <c r="K127" i="168"/>
  <c r="O127" i="168" s="1"/>
  <c r="J127" i="168" s="1"/>
  <c r="F128" i="168"/>
  <c r="E128" i="168" s="1"/>
  <c r="K128" i="168"/>
  <c r="O128" i="168" s="1"/>
  <c r="J128" i="168" s="1"/>
  <c r="P128" i="168" s="1"/>
  <c r="F129" i="168"/>
  <c r="E129" i="168" s="1"/>
  <c r="O129" i="168"/>
  <c r="J129" i="168" s="1"/>
  <c r="E130" i="168"/>
  <c r="K130" i="168"/>
  <c r="O130" i="168" s="1"/>
  <c r="J130" i="168" s="1"/>
  <c r="P130" i="168" s="1"/>
  <c r="E131" i="168"/>
  <c r="L131" i="168"/>
  <c r="O131" i="168"/>
  <c r="E133" i="168"/>
  <c r="O133" i="168"/>
  <c r="J133" i="168" s="1"/>
  <c r="E134" i="168"/>
  <c r="H134" i="168"/>
  <c r="O134" i="168"/>
  <c r="J134" i="168" s="1"/>
  <c r="F104" i="168"/>
  <c r="E104" i="168" s="1"/>
  <c r="G104" i="168"/>
  <c r="H104" i="168"/>
  <c r="K104" i="168"/>
  <c r="O104" i="168" s="1"/>
  <c r="J104" i="168" s="1"/>
  <c r="F105" i="168"/>
  <c r="E105" i="168" s="1"/>
  <c r="O105" i="168"/>
  <c r="J105" i="168" s="1"/>
  <c r="F106" i="168"/>
  <c r="E106" i="168" s="1"/>
  <c r="O106" i="168"/>
  <c r="J106" i="168" s="1"/>
  <c r="E107" i="168"/>
  <c r="O107" i="168"/>
  <c r="J107" i="168" s="1"/>
  <c r="F108" i="168"/>
  <c r="E108" i="168" s="1"/>
  <c r="G108" i="168"/>
  <c r="H108" i="168"/>
  <c r="K108" i="168"/>
  <c r="O108" i="168" s="1"/>
  <c r="J108" i="168" s="1"/>
  <c r="F109" i="168"/>
  <c r="E109" i="168" s="1"/>
  <c r="O109" i="168"/>
  <c r="J109" i="168" s="1"/>
  <c r="F110" i="168"/>
  <c r="E110" i="168" s="1"/>
  <c r="O110" i="168"/>
  <c r="J110" i="168" s="1"/>
  <c r="E111" i="168"/>
  <c r="O111" i="168"/>
  <c r="J111" i="168" s="1"/>
  <c r="E112" i="168"/>
  <c r="O112" i="168"/>
  <c r="J112" i="168" s="1"/>
  <c r="F113" i="168"/>
  <c r="E113" i="168" s="1"/>
  <c r="O113" i="168"/>
  <c r="J113" i="168" s="1"/>
  <c r="E114" i="168"/>
  <c r="O114" i="168"/>
  <c r="J114" i="168" s="1"/>
  <c r="F103" i="168"/>
  <c r="E103" i="168" s="1"/>
  <c r="H103" i="168"/>
  <c r="N103" i="168"/>
  <c r="O103" i="168"/>
  <c r="J103" i="168" s="1"/>
  <c r="F94" i="168"/>
  <c r="E94" i="168" s="1"/>
  <c r="O94" i="168"/>
  <c r="J94" i="168" s="1"/>
  <c r="F95" i="168"/>
  <c r="E95" i="168" s="1"/>
  <c r="H95" i="168"/>
  <c r="O95" i="168"/>
  <c r="J95" i="168" s="1"/>
  <c r="F96" i="168"/>
  <c r="E96" i="168" s="1"/>
  <c r="G96" i="168"/>
  <c r="H96" i="168"/>
  <c r="K96" i="168"/>
  <c r="O96" i="168" s="1"/>
  <c r="J96" i="168" s="1"/>
  <c r="E97" i="168"/>
  <c r="H97" i="168"/>
  <c r="O97" i="168"/>
  <c r="J97" i="168" s="1"/>
  <c r="E98" i="168"/>
  <c r="H98" i="168"/>
  <c r="O98" i="168"/>
  <c r="J98" i="168" s="1"/>
  <c r="F99" i="168"/>
  <c r="E99" i="168" s="1"/>
  <c r="O99" i="168"/>
  <c r="J99" i="168" s="1"/>
  <c r="F59" i="168"/>
  <c r="E59" i="168" s="1"/>
  <c r="K59" i="168"/>
  <c r="O59" i="168" s="1"/>
  <c r="J59" i="168" s="1"/>
  <c r="E60" i="168"/>
  <c r="O60" i="168"/>
  <c r="J60" i="168" s="1"/>
  <c r="F61" i="168"/>
  <c r="E61" i="168" s="1"/>
  <c r="O61" i="168"/>
  <c r="J61" i="168" s="1"/>
  <c r="E62" i="168"/>
  <c r="O62" i="168"/>
  <c r="J62" i="168" s="1"/>
  <c r="F63" i="168"/>
  <c r="E63" i="168" s="1"/>
  <c r="O63" i="168"/>
  <c r="J63" i="168" s="1"/>
  <c r="E64" i="168"/>
  <c r="O64" i="168"/>
  <c r="J64" i="168" s="1"/>
  <c r="E65" i="168"/>
  <c r="O65" i="168"/>
  <c r="J65" i="168" s="1"/>
  <c r="F66" i="168"/>
  <c r="E66" i="168" s="1"/>
  <c r="N66" i="168"/>
  <c r="O66" i="168"/>
  <c r="J66" i="168" s="1"/>
  <c r="F67" i="168"/>
  <c r="E67" i="168" s="1"/>
  <c r="G67" i="168"/>
  <c r="H67" i="168"/>
  <c r="K67" i="168"/>
  <c r="O67" i="168" s="1"/>
  <c r="J67" i="168" s="1"/>
  <c r="F68" i="168"/>
  <c r="E68" i="168" s="1"/>
  <c r="O68" i="168"/>
  <c r="J68" i="168" s="1"/>
  <c r="F69" i="168"/>
  <c r="E69" i="168" s="1"/>
  <c r="O69" i="168"/>
  <c r="J69" i="168" s="1"/>
  <c r="E70" i="168"/>
  <c r="O70" i="168"/>
  <c r="J70" i="168" s="1"/>
  <c r="E71" i="168"/>
  <c r="O71" i="168"/>
  <c r="J71" i="168" s="1"/>
  <c r="E72" i="168"/>
  <c r="O72" i="168"/>
  <c r="J72" i="168" s="1"/>
  <c r="E73" i="168"/>
  <c r="O73" i="168"/>
  <c r="J73" i="168" s="1"/>
  <c r="E76" i="168"/>
  <c r="O76" i="168"/>
  <c r="J76" i="168" s="1"/>
  <c r="E80" i="168"/>
  <c r="O80" i="168"/>
  <c r="J80" i="168" s="1"/>
  <c r="F83" i="168"/>
  <c r="E83" i="168" s="1"/>
  <c r="G83" i="168"/>
  <c r="K83" i="168"/>
  <c r="O83" i="168" s="1"/>
  <c r="J83" i="168" s="1"/>
  <c r="N83" i="168"/>
  <c r="F84" i="168"/>
  <c r="E84" i="168" s="1"/>
  <c r="O84" i="168"/>
  <c r="J84" i="168" s="1"/>
  <c r="E85" i="168"/>
  <c r="K85" i="168"/>
  <c r="O85" i="168" s="1"/>
  <c r="J85" i="168" s="1"/>
  <c r="E86" i="168"/>
  <c r="K86" i="168"/>
  <c r="O86" i="168" s="1"/>
  <c r="J86" i="168" s="1"/>
  <c r="E87" i="168"/>
  <c r="K87" i="168"/>
  <c r="O87" i="168" s="1"/>
  <c r="J87" i="168" s="1"/>
  <c r="P87" i="168" s="1"/>
  <c r="E88" i="168"/>
  <c r="L88" i="168"/>
  <c r="O88" i="168"/>
  <c r="E90" i="168"/>
  <c r="O90" i="168"/>
  <c r="J90" i="168" s="1"/>
  <c r="F45" i="168"/>
  <c r="E45" i="168" s="1"/>
  <c r="K45" i="168"/>
  <c r="O45" i="168" s="1"/>
  <c r="J45" i="168" s="1"/>
  <c r="F46" i="168"/>
  <c r="E46" i="168" s="1"/>
  <c r="J46" i="168"/>
  <c r="F47" i="168"/>
  <c r="E47" i="168" s="1"/>
  <c r="O47" i="168"/>
  <c r="J47" i="168" s="1"/>
  <c r="F48" i="168"/>
  <c r="E48" i="168" s="1"/>
  <c r="O48" i="168"/>
  <c r="J48" i="168" s="1"/>
  <c r="E49" i="168"/>
  <c r="O49" i="168"/>
  <c r="J49" i="168" s="1"/>
  <c r="F50" i="168"/>
  <c r="E50" i="168" s="1"/>
  <c r="O50" i="168"/>
  <c r="J50" i="168" s="1"/>
  <c r="F51" i="168"/>
  <c r="E51" i="168" s="1"/>
  <c r="O51" i="168"/>
  <c r="J51" i="168" s="1"/>
  <c r="F52" i="168"/>
  <c r="E52" i="168" s="1"/>
  <c r="O52" i="168"/>
  <c r="J52" i="168" s="1"/>
  <c r="F53" i="168"/>
  <c r="E53" i="168" s="1"/>
  <c r="O53" i="168"/>
  <c r="J53" i="168" s="1"/>
  <c r="E54" i="168"/>
  <c r="K54" i="168"/>
  <c r="O54" i="168" s="1"/>
  <c r="J54" i="168" s="1"/>
  <c r="E55" i="168"/>
  <c r="O55" i="168"/>
  <c r="J55" i="168" s="1"/>
  <c r="F32" i="168"/>
  <c r="E32" i="168" s="1"/>
  <c r="G32" i="168"/>
  <c r="H32" i="168"/>
  <c r="K32" i="168"/>
  <c r="O32" i="168" s="1"/>
  <c r="J32" i="168" s="1"/>
  <c r="F33" i="168"/>
  <c r="E33" i="168" s="1"/>
  <c r="K33" i="168"/>
  <c r="O33" i="168" s="1"/>
  <c r="J33" i="168" s="1"/>
  <c r="F34" i="168"/>
  <c r="E34" i="168" s="1"/>
  <c r="G34" i="168"/>
  <c r="K34" i="168"/>
  <c r="O34" i="168" s="1"/>
  <c r="J34" i="168" s="1"/>
  <c r="F35" i="168"/>
  <c r="E35" i="168" s="1"/>
  <c r="H35" i="168"/>
  <c r="L35" i="168"/>
  <c r="N35" i="168"/>
  <c r="O35" i="168"/>
  <c r="E36" i="168"/>
  <c r="O36" i="168"/>
  <c r="J36" i="168" s="1"/>
  <c r="F37" i="168"/>
  <c r="E37" i="168" s="1"/>
  <c r="O37" i="168"/>
  <c r="J37" i="168" s="1"/>
  <c r="F38" i="168"/>
  <c r="E38" i="168" s="1"/>
  <c r="O38" i="168"/>
  <c r="J38" i="168" s="1"/>
  <c r="F39" i="168"/>
  <c r="E39" i="168" s="1"/>
  <c r="G39" i="168"/>
  <c r="O39" i="168"/>
  <c r="J39" i="168" s="1"/>
  <c r="E40" i="168"/>
  <c r="O40" i="168"/>
  <c r="J40" i="168" s="1"/>
  <c r="E41" i="168"/>
  <c r="O41" i="168"/>
  <c r="J41" i="168" s="1"/>
  <c r="F18" i="168"/>
  <c r="E18" i="168" s="1"/>
  <c r="G18" i="168"/>
  <c r="H18" i="168"/>
  <c r="K18" i="168"/>
  <c r="O18" i="168" s="1"/>
  <c r="J18" i="168" s="1"/>
  <c r="F19" i="168"/>
  <c r="E19" i="168" s="1"/>
  <c r="O19" i="168"/>
  <c r="J19" i="168" s="1"/>
  <c r="F21" i="168"/>
  <c r="E21" i="168" s="1"/>
  <c r="K21" i="168"/>
  <c r="O21" i="168" s="1"/>
  <c r="J21" i="168" s="1"/>
  <c r="E22" i="168"/>
  <c r="O22" i="168"/>
  <c r="J22" i="168" s="1"/>
  <c r="E23" i="168"/>
  <c r="L23" i="168"/>
  <c r="O23" i="168"/>
  <c r="E25" i="168"/>
  <c r="J25" i="168"/>
  <c r="F26" i="168"/>
  <c r="E26" i="168" s="1"/>
  <c r="O26" i="168"/>
  <c r="J26" i="168" s="1"/>
  <c r="F27" i="168"/>
  <c r="E27" i="168" s="1"/>
  <c r="O27" i="168"/>
  <c r="J27" i="168" s="1"/>
  <c r="F28" i="168"/>
  <c r="E28" i="168" s="1"/>
  <c r="K28" i="168"/>
  <c r="O28" i="168" s="1"/>
  <c r="J28" i="168" s="1"/>
  <c r="M169" i="169"/>
  <c r="M168" i="169" s="1"/>
  <c r="K156" i="169"/>
  <c r="E156" i="169"/>
  <c r="R151" i="169"/>
  <c r="L146" i="169"/>
  <c r="L145" i="169" s="1"/>
  <c r="R134" i="169"/>
  <c r="R114" i="169"/>
  <c r="R103" i="169"/>
  <c r="R90" i="169"/>
  <c r="O90" i="169"/>
  <c r="J90" i="169" s="1"/>
  <c r="E90" i="169"/>
  <c r="O55" i="169"/>
  <c r="J55" i="169" s="1"/>
  <c r="E55" i="169"/>
  <c r="R41" i="169"/>
  <c r="L182" i="165"/>
  <c r="J190" i="165" s="1"/>
  <c r="G34" i="165"/>
  <c r="G34" i="171" s="1"/>
  <c r="L150" i="169" l="1"/>
  <c r="L149" i="169" s="1"/>
  <c r="L155" i="169"/>
  <c r="L154" i="169" s="1"/>
  <c r="N155" i="169"/>
  <c r="N154" i="169" s="1"/>
  <c r="K161" i="169"/>
  <c r="K160" i="169" s="1"/>
  <c r="L174" i="169"/>
  <c r="L173" i="169" s="1"/>
  <c r="I169" i="169"/>
  <c r="I168" i="169" s="1"/>
  <c r="K150" i="169"/>
  <c r="K149" i="169" s="1"/>
  <c r="P159" i="168"/>
  <c r="G34" i="169"/>
  <c r="P123" i="168"/>
  <c r="J164" i="168"/>
  <c r="P164" i="168" s="1"/>
  <c r="L43" i="169"/>
  <c r="L42" i="169" s="1"/>
  <c r="N92" i="169"/>
  <c r="N91" i="169" s="1"/>
  <c r="N136" i="169"/>
  <c r="N135" i="169" s="1"/>
  <c r="L136" i="169"/>
  <c r="L135" i="169" s="1"/>
  <c r="G155" i="169"/>
  <c r="G154" i="169" s="1"/>
  <c r="H155" i="169"/>
  <c r="H154" i="169" s="1"/>
  <c r="I174" i="169"/>
  <c r="I173" i="169" s="1"/>
  <c r="N174" i="169"/>
  <c r="N173" i="169" s="1"/>
  <c r="K174" i="169"/>
  <c r="K173" i="169" s="1"/>
  <c r="I136" i="169"/>
  <c r="I135" i="169" s="1"/>
  <c r="N150" i="169"/>
  <c r="N149" i="169" s="1"/>
  <c r="P86" i="168"/>
  <c r="P127" i="168"/>
  <c r="M43" i="169"/>
  <c r="M42" i="169" s="1"/>
  <c r="I43" i="169"/>
  <c r="I42" i="169" s="1"/>
  <c r="M92" i="169"/>
  <c r="M91" i="169" s="1"/>
  <c r="L92" i="169"/>
  <c r="L91" i="169" s="1"/>
  <c r="N116" i="169"/>
  <c r="N115" i="169" s="1"/>
  <c r="P134" i="168"/>
  <c r="P97" i="168"/>
  <c r="J131" i="168"/>
  <c r="P131" i="168" s="1"/>
  <c r="P166" i="168"/>
  <c r="N43" i="169"/>
  <c r="N42" i="169" s="1"/>
  <c r="N161" i="169"/>
  <c r="N160" i="169" s="1"/>
  <c r="F18" i="169"/>
  <c r="P28" i="168"/>
  <c r="P26" i="168"/>
  <c r="P36" i="168"/>
  <c r="P144" i="168"/>
  <c r="J167" i="168"/>
  <c r="P167" i="168" s="1"/>
  <c r="P165" i="168"/>
  <c r="P122" i="168"/>
  <c r="M174" i="169"/>
  <c r="M173" i="169" s="1"/>
  <c r="M30" i="169"/>
  <c r="M29" i="169" s="1"/>
  <c r="P33" i="168"/>
  <c r="P47" i="168"/>
  <c r="P45" i="168"/>
  <c r="P118" i="168"/>
  <c r="P143" i="168"/>
  <c r="M150" i="169"/>
  <c r="M149" i="169" s="1"/>
  <c r="P163" i="168"/>
  <c r="F32" i="169"/>
  <c r="P55" i="168"/>
  <c r="P83" i="168"/>
  <c r="P105" i="168"/>
  <c r="P120" i="168"/>
  <c r="P139" i="168"/>
  <c r="N17" i="169"/>
  <c r="N16" i="169" s="1"/>
  <c r="I150" i="169"/>
  <c r="I149" i="169" s="1"/>
  <c r="P140" i="168"/>
  <c r="P54" i="168"/>
  <c r="P49" i="168"/>
  <c r="J88" i="168"/>
  <c r="P88" i="168" s="1"/>
  <c r="P85" i="168"/>
  <c r="P121" i="168"/>
  <c r="P119" i="168"/>
  <c r="I161" i="169"/>
  <c r="I160" i="169" s="1"/>
  <c r="M161" i="169"/>
  <c r="M160" i="169" s="1"/>
  <c r="I92" i="169"/>
  <c r="I91" i="169" s="1"/>
  <c r="I101" i="169"/>
  <c r="I100" i="169" s="1"/>
  <c r="M136" i="169"/>
  <c r="M135" i="169" s="1"/>
  <c r="I146" i="169"/>
  <c r="I145" i="169" s="1"/>
  <c r="M146" i="169"/>
  <c r="M145" i="169" s="1"/>
  <c r="I155" i="169"/>
  <c r="I154" i="169" s="1"/>
  <c r="M155" i="169"/>
  <c r="M154" i="169" s="1"/>
  <c r="I116" i="169"/>
  <c r="I115" i="169" s="1"/>
  <c r="M116" i="169"/>
  <c r="M115" i="169" s="1"/>
  <c r="M57" i="169"/>
  <c r="M56" i="169" s="1"/>
  <c r="I57" i="169"/>
  <c r="I56" i="169" s="1"/>
  <c r="I30" i="169"/>
  <c r="I29" i="169" s="1"/>
  <c r="M17" i="169"/>
  <c r="M16" i="169" s="1"/>
  <c r="I17" i="169"/>
  <c r="I16" i="169" s="1"/>
  <c r="P55" i="169"/>
  <c r="K145" i="169"/>
  <c r="P90" i="169"/>
  <c r="P158" i="168"/>
  <c r="P21" i="168"/>
  <c r="P37" i="168"/>
  <c r="P103" i="168"/>
  <c r="P95" i="168"/>
  <c r="P104" i="168"/>
  <c r="P25" i="168"/>
  <c r="P22" i="168"/>
  <c r="P53" i="168"/>
  <c r="P51" i="168"/>
  <c r="P46" i="168"/>
  <c r="P90" i="168"/>
  <c r="P84" i="168"/>
  <c r="P80" i="168"/>
  <c r="P73" i="168"/>
  <c r="P71" i="168"/>
  <c r="P65" i="168"/>
  <c r="P63" i="168"/>
  <c r="P60" i="168"/>
  <c r="P94" i="168"/>
  <c r="P114" i="168"/>
  <c r="P152" i="168"/>
  <c r="P176" i="168"/>
  <c r="J35" i="168"/>
  <c r="P35" i="168" s="1"/>
  <c r="P52" i="168"/>
  <c r="P50" i="168"/>
  <c r="P99" i="168"/>
  <c r="P109" i="168"/>
  <c r="P126" i="168"/>
  <c r="P125" i="168"/>
  <c r="P142" i="168"/>
  <c r="P148" i="168"/>
  <c r="J23" i="168"/>
  <c r="P23" i="168" s="1"/>
  <c r="P40" i="168"/>
  <c r="P48" i="168"/>
  <c r="P68" i="168"/>
  <c r="P66" i="168"/>
  <c r="P62" i="168"/>
  <c r="P61" i="168"/>
  <c r="P112" i="168"/>
  <c r="P110" i="168"/>
  <c r="P106" i="168"/>
  <c r="P177" i="168"/>
  <c r="P178" i="168"/>
  <c r="P172" i="168"/>
  <c r="P171" i="168"/>
  <c r="P153" i="168"/>
  <c r="P138" i="168"/>
  <c r="P133" i="168"/>
  <c r="P129" i="168"/>
  <c r="P113" i="168"/>
  <c r="P111" i="168"/>
  <c r="P107" i="168"/>
  <c r="P108" i="168"/>
  <c r="P98" i="168"/>
  <c r="P96" i="168"/>
  <c r="P76" i="168"/>
  <c r="P72" i="168"/>
  <c r="P70" i="168"/>
  <c r="P67" i="168"/>
  <c r="P64" i="168"/>
  <c r="P69" i="168"/>
  <c r="P59" i="168"/>
  <c r="P41" i="168"/>
  <c r="P38" i="168"/>
  <c r="P34" i="168"/>
  <c r="P39" i="168"/>
  <c r="P32" i="168"/>
  <c r="P18" i="168"/>
  <c r="P19" i="168"/>
  <c r="P27" i="168"/>
  <c r="K168" i="169"/>
  <c r="O156" i="169"/>
  <c r="I179" i="169" l="1"/>
  <c r="J156" i="169"/>
  <c r="P156" i="169" s="1"/>
  <c r="J236" i="166" l="1"/>
  <c r="K159" i="165"/>
  <c r="H200" i="167"/>
  <c r="F159" i="165"/>
  <c r="F157" i="165"/>
  <c r="F157" i="171" s="1"/>
  <c r="J144" i="167"/>
  <c r="H144" i="167"/>
  <c r="F105" i="169"/>
  <c r="F109" i="165"/>
  <c r="G104" i="165"/>
  <c r="F104" i="165"/>
  <c r="H103" i="165"/>
  <c r="G103" i="165"/>
  <c r="F103" i="165"/>
  <c r="J126" i="166"/>
  <c r="H125" i="166"/>
  <c r="J125" i="166"/>
  <c r="K108" i="165"/>
  <c r="K108" i="171" s="1"/>
  <c r="L108" i="165"/>
  <c r="M108" i="165"/>
  <c r="H108" i="165"/>
  <c r="G108" i="165"/>
  <c r="F108" i="165"/>
  <c r="F99" i="169"/>
  <c r="H98" i="165"/>
  <c r="G98" i="165"/>
  <c r="F98" i="169"/>
  <c r="H96" i="165"/>
  <c r="G96" i="165"/>
  <c r="F96" i="165"/>
  <c r="H97" i="165"/>
  <c r="G97" i="165"/>
  <c r="F97" i="165"/>
  <c r="H93" i="165"/>
  <c r="H93" i="171" s="1"/>
  <c r="G93" i="165"/>
  <c r="G93" i="171" s="1"/>
  <c r="F93" i="165"/>
  <c r="F93" i="171" s="1"/>
  <c r="H95" i="165"/>
  <c r="G95" i="165"/>
  <c r="F95" i="165"/>
  <c r="J95" i="166"/>
  <c r="K83" i="169"/>
  <c r="H83" i="165"/>
  <c r="F83" i="165"/>
  <c r="K67" i="165"/>
  <c r="K67" i="171" s="1"/>
  <c r="R67" i="171" s="1"/>
  <c r="J84" i="166"/>
  <c r="G93" i="167"/>
  <c r="F67" i="165"/>
  <c r="F66" i="165"/>
  <c r="K87" i="169"/>
  <c r="R87" i="169" s="1"/>
  <c r="F63" i="165"/>
  <c r="F71" i="165"/>
  <c r="F61" i="165"/>
  <c r="F62" i="165"/>
  <c r="F60" i="165"/>
  <c r="F70" i="165"/>
  <c r="F84" i="169"/>
  <c r="J73" i="166"/>
  <c r="K54" i="165"/>
  <c r="F52" i="169"/>
  <c r="F46" i="169"/>
  <c r="F48" i="169"/>
  <c r="F45" i="169"/>
  <c r="F40" i="165"/>
  <c r="H37" i="165"/>
  <c r="G37" i="165"/>
  <c r="F37" i="165"/>
  <c r="H36" i="165"/>
  <c r="G36" i="165"/>
  <c r="F36" i="165"/>
  <c r="H35" i="165"/>
  <c r="G35" i="169"/>
  <c r="F35" i="169"/>
  <c r="H34" i="165"/>
  <c r="F34" i="165"/>
  <c r="J56" i="166"/>
  <c r="K33" i="165"/>
  <c r="H33" i="165"/>
  <c r="G33" i="165"/>
  <c r="F33" i="165"/>
  <c r="J37" i="166"/>
  <c r="J38" i="166"/>
  <c r="J48" i="166"/>
  <c r="J46" i="166"/>
  <c r="J54" i="166"/>
  <c r="J55" i="166"/>
  <c r="J45" i="166"/>
  <c r="J51" i="166"/>
  <c r="H37" i="169" l="1"/>
  <c r="H37" i="171"/>
  <c r="F61" i="169"/>
  <c r="F61" i="171"/>
  <c r="G97" i="169"/>
  <c r="G97" i="171"/>
  <c r="M108" i="169"/>
  <c r="M101" i="169" s="1"/>
  <c r="M100" i="169" s="1"/>
  <c r="M108" i="171"/>
  <c r="M101" i="171" s="1"/>
  <c r="H103" i="169"/>
  <c r="H103" i="171"/>
  <c r="F34" i="169"/>
  <c r="F34" i="171"/>
  <c r="H36" i="169"/>
  <c r="H36" i="171"/>
  <c r="F40" i="169"/>
  <c r="F40" i="171"/>
  <c r="F70" i="169"/>
  <c r="F70" i="171"/>
  <c r="F71" i="169"/>
  <c r="F71" i="171"/>
  <c r="F67" i="169"/>
  <c r="F67" i="171"/>
  <c r="F83" i="169"/>
  <c r="F83" i="171"/>
  <c r="F95" i="169"/>
  <c r="F95" i="171"/>
  <c r="H97" i="169"/>
  <c r="H97" i="171"/>
  <c r="F108" i="169"/>
  <c r="F108" i="171"/>
  <c r="L108" i="169"/>
  <c r="L101" i="169" s="1"/>
  <c r="L100" i="169" s="1"/>
  <c r="L108" i="171"/>
  <c r="L101" i="171" s="1"/>
  <c r="F104" i="169"/>
  <c r="F104" i="171"/>
  <c r="H96" i="169"/>
  <c r="H96" i="171"/>
  <c r="G33" i="169"/>
  <c r="G33" i="171"/>
  <c r="H33" i="169"/>
  <c r="H33" i="171"/>
  <c r="H34" i="169"/>
  <c r="H34" i="171"/>
  <c r="K35" i="169"/>
  <c r="R35" i="169" s="1"/>
  <c r="K35" i="171"/>
  <c r="R35" i="171" s="1"/>
  <c r="F37" i="169"/>
  <c r="F37" i="171"/>
  <c r="K54" i="169"/>
  <c r="K54" i="171"/>
  <c r="F60" i="169"/>
  <c r="F60" i="171"/>
  <c r="F63" i="169"/>
  <c r="F63" i="171"/>
  <c r="H83" i="169"/>
  <c r="H83" i="171"/>
  <c r="G95" i="169"/>
  <c r="G95" i="171"/>
  <c r="F96" i="169"/>
  <c r="F96" i="171"/>
  <c r="G98" i="169"/>
  <c r="G98" i="171"/>
  <c r="G108" i="169"/>
  <c r="G108" i="171"/>
  <c r="F103" i="169"/>
  <c r="F103" i="171"/>
  <c r="G104" i="169"/>
  <c r="G104" i="171"/>
  <c r="K159" i="169"/>
  <c r="R159" i="169" s="1"/>
  <c r="K159" i="171"/>
  <c r="F33" i="169"/>
  <c r="F33" i="171"/>
  <c r="G36" i="169"/>
  <c r="G36" i="171"/>
  <c r="F66" i="169"/>
  <c r="F66" i="171"/>
  <c r="F159" i="169"/>
  <c r="F159" i="171"/>
  <c r="H35" i="169"/>
  <c r="H35" i="171"/>
  <c r="K33" i="169"/>
  <c r="R33" i="169" s="1"/>
  <c r="K33" i="171"/>
  <c r="F36" i="169"/>
  <c r="F36" i="171"/>
  <c r="G37" i="169"/>
  <c r="G37" i="171"/>
  <c r="F62" i="169"/>
  <c r="F62" i="171"/>
  <c r="H95" i="169"/>
  <c r="H95" i="171"/>
  <c r="F97" i="169"/>
  <c r="F97" i="171"/>
  <c r="G96" i="169"/>
  <c r="G96" i="171"/>
  <c r="G92" i="171" s="1"/>
  <c r="G91" i="171" s="1"/>
  <c r="H98" i="169"/>
  <c r="H98" i="171"/>
  <c r="H108" i="169"/>
  <c r="H108" i="171"/>
  <c r="G103" i="169"/>
  <c r="G103" i="171"/>
  <c r="F109" i="169"/>
  <c r="F109" i="171"/>
  <c r="O108" i="165"/>
  <c r="K108" i="169"/>
  <c r="K67" i="169"/>
  <c r="R67" i="169" s="1"/>
  <c r="M179" i="169"/>
  <c r="K32" i="169"/>
  <c r="H32" i="169"/>
  <c r="G32" i="169"/>
  <c r="J26" i="166"/>
  <c r="J31" i="166"/>
  <c r="G31" i="165"/>
  <c r="G31" i="171" s="1"/>
  <c r="K155" i="169" l="1"/>
  <c r="H92" i="171"/>
  <c r="H91" i="171" s="1"/>
  <c r="K155" i="171"/>
  <c r="R159" i="171"/>
  <c r="O108" i="169"/>
  <c r="O108" i="171"/>
  <c r="H30" i="171"/>
  <c r="L100" i="171"/>
  <c r="G30" i="171"/>
  <c r="R33" i="171"/>
  <c r="M100" i="171"/>
  <c r="M180" i="171"/>
  <c r="K154" i="169"/>
  <c r="G30" i="167"/>
  <c r="M192" i="171" l="1"/>
  <c r="M189" i="171"/>
  <c r="H29" i="171"/>
  <c r="G29" i="171"/>
  <c r="K154" i="171"/>
  <c r="F28" i="165"/>
  <c r="O20" i="165"/>
  <c r="E20" i="165"/>
  <c r="H18" i="169"/>
  <c r="G18" i="169"/>
  <c r="G17" i="169" s="1"/>
  <c r="G134" i="165"/>
  <c r="F164" i="165"/>
  <c r="F153" i="165"/>
  <c r="L88" i="165"/>
  <c r="L23" i="165"/>
  <c r="D29" i="108"/>
  <c r="D26" i="108"/>
  <c r="D24" i="108"/>
  <c r="M182" i="165"/>
  <c r="K144" i="169"/>
  <c r="K140" i="169"/>
  <c r="J151" i="166"/>
  <c r="F163" i="169" l="1"/>
  <c r="F164" i="171"/>
  <c r="F162" i="171" s="1"/>
  <c r="F161" i="171" s="1"/>
  <c r="E20" i="169"/>
  <c r="E20" i="171"/>
  <c r="F153" i="169"/>
  <c r="F153" i="171"/>
  <c r="F150" i="171" s="1"/>
  <c r="F149" i="171" s="1"/>
  <c r="L23" i="169"/>
  <c r="L17" i="169" s="1"/>
  <c r="L23" i="171"/>
  <c r="L17" i="171" s="1"/>
  <c r="G134" i="169"/>
  <c r="G134" i="171"/>
  <c r="G116" i="171" s="1"/>
  <c r="G115" i="171" s="1"/>
  <c r="O20" i="169"/>
  <c r="O20" i="171"/>
  <c r="L88" i="169"/>
  <c r="L57" i="169" s="1"/>
  <c r="L88" i="171"/>
  <c r="L57" i="171" s="1"/>
  <c r="F28" i="169"/>
  <c r="F28" i="171"/>
  <c r="L56" i="169"/>
  <c r="J20" i="165"/>
  <c r="G16" i="169"/>
  <c r="L16" i="169"/>
  <c r="H17" i="169"/>
  <c r="R134" i="165"/>
  <c r="L16" i="171" l="1"/>
  <c r="J20" i="169"/>
  <c r="J20" i="171"/>
  <c r="L56" i="171"/>
  <c r="P20" i="165"/>
  <c r="H16" i="169"/>
  <c r="K119" i="165"/>
  <c r="J186" i="166"/>
  <c r="J134" i="166"/>
  <c r="K130" i="169"/>
  <c r="K128" i="169"/>
  <c r="K126" i="165"/>
  <c r="K125" i="165"/>
  <c r="K122" i="165"/>
  <c r="F128" i="169"/>
  <c r="F125" i="169"/>
  <c r="F120" i="169"/>
  <c r="F119" i="165"/>
  <c r="J226" i="166"/>
  <c r="K226" i="166" s="1"/>
  <c r="I226" i="166"/>
  <c r="J225" i="166"/>
  <c r="I225" i="166"/>
  <c r="K222" i="166"/>
  <c r="I222" i="166"/>
  <c r="J221" i="166"/>
  <c r="K221" i="166" s="1"/>
  <c r="I221" i="166"/>
  <c r="J220" i="166"/>
  <c r="K220" i="166" s="1"/>
  <c r="I220" i="166"/>
  <c r="K219" i="166"/>
  <c r="I219" i="166"/>
  <c r="I218" i="166"/>
  <c r="J217" i="166"/>
  <c r="K217" i="166" s="1"/>
  <c r="I217" i="166"/>
  <c r="J216" i="166"/>
  <c r="K216" i="166" s="1"/>
  <c r="I216" i="166"/>
  <c r="K215" i="166"/>
  <c r="I215" i="166"/>
  <c r="J214" i="166"/>
  <c r="K214" i="166" s="1"/>
  <c r="I214" i="166"/>
  <c r="H212" i="166"/>
  <c r="I212" i="166" s="1"/>
  <c r="J211" i="166"/>
  <c r="H211" i="166"/>
  <c r="I211" i="166" s="1"/>
  <c r="H210" i="166"/>
  <c r="I210" i="166" s="1"/>
  <c r="K209" i="166"/>
  <c r="I209" i="166"/>
  <c r="J208" i="166"/>
  <c r="H208" i="166"/>
  <c r="I208" i="166" s="1"/>
  <c r="L207" i="166"/>
  <c r="K204" i="166"/>
  <c r="J197" i="166"/>
  <c r="K197" i="166" s="1"/>
  <c r="K192" i="166"/>
  <c r="J191" i="166"/>
  <c r="I191" i="166"/>
  <c r="J190" i="166"/>
  <c r="K189" i="166"/>
  <c r="I189" i="166"/>
  <c r="K188" i="166"/>
  <c r="K187" i="166"/>
  <c r="K186" i="166"/>
  <c r="K185" i="166"/>
  <c r="J184" i="166"/>
  <c r="K184" i="166" s="1"/>
  <c r="I184" i="166"/>
  <c r="J183" i="166"/>
  <c r="H183" i="166"/>
  <c r="I183" i="166" s="1"/>
  <c r="J177" i="166"/>
  <c r="J175" i="166"/>
  <c r="K175" i="166" s="1"/>
  <c r="J174" i="166"/>
  <c r="J173" i="166"/>
  <c r="J172" i="166"/>
  <c r="J171" i="166"/>
  <c r="J170" i="166"/>
  <c r="L168" i="166"/>
  <c r="J167" i="166"/>
  <c r="K167" i="166" s="1"/>
  <c r="J165" i="166"/>
  <c r="J163" i="166"/>
  <c r="J162" i="166"/>
  <c r="K162" i="166" s="1"/>
  <c r="I162" i="166"/>
  <c r="J159" i="166"/>
  <c r="J158" i="166"/>
  <c r="K158" i="166" s="1"/>
  <c r="J157" i="166"/>
  <c r="K157" i="166" s="1"/>
  <c r="I157" i="166"/>
  <c r="J156" i="166"/>
  <c r="L155" i="166"/>
  <c r="J153" i="166"/>
  <c r="K150" i="166"/>
  <c r="J149" i="166"/>
  <c r="K148" i="166"/>
  <c r="J147" i="166"/>
  <c r="K147" i="166" s="1"/>
  <c r="J146" i="166"/>
  <c r="J145" i="166"/>
  <c r="J144" i="166"/>
  <c r="K144" i="166" s="1"/>
  <c r="J143" i="166"/>
  <c r="J142" i="166"/>
  <c r="J141" i="166"/>
  <c r="L140" i="166"/>
  <c r="K138" i="166"/>
  <c r="J137" i="166"/>
  <c r="J135" i="166" s="1"/>
  <c r="J133" i="166"/>
  <c r="K122" i="169" l="1"/>
  <c r="K122" i="171"/>
  <c r="K125" i="169"/>
  <c r="K125" i="171"/>
  <c r="P20" i="169"/>
  <c r="P20" i="171"/>
  <c r="F119" i="169"/>
  <c r="F119" i="171"/>
  <c r="K126" i="169"/>
  <c r="K126" i="171"/>
  <c r="K119" i="169"/>
  <c r="K119" i="171"/>
  <c r="J168" i="166"/>
  <c r="K170" i="166"/>
  <c r="K191" i="166"/>
  <c r="L130" i="166"/>
  <c r="J155" i="166"/>
  <c r="J164" i="166"/>
  <c r="K208" i="166"/>
  <c r="K210" i="166"/>
  <c r="K212" i="166"/>
  <c r="J140" i="166"/>
  <c r="K211" i="166"/>
  <c r="J207" i="166"/>
  <c r="J206" i="166" s="1"/>
  <c r="J131" i="166" l="1"/>
  <c r="J130" i="166" s="1"/>
  <c r="P181" i="168"/>
  <c r="O181" i="168"/>
  <c r="M181" i="168"/>
  <c r="L181" i="168"/>
  <c r="K181" i="168"/>
  <c r="J181" i="168"/>
  <c r="H181" i="168"/>
  <c r="G181" i="168"/>
  <c r="F181" i="168"/>
  <c r="O175" i="168"/>
  <c r="J175" i="168" s="1"/>
  <c r="H175" i="168"/>
  <c r="H174" i="168" s="1"/>
  <c r="G175" i="168"/>
  <c r="F175" i="168"/>
  <c r="N174" i="168"/>
  <c r="M174" i="168"/>
  <c r="L174" i="168"/>
  <c r="K174" i="168"/>
  <c r="I174" i="168"/>
  <c r="O170" i="168"/>
  <c r="J170" i="168" s="1"/>
  <c r="H170" i="168"/>
  <c r="H169" i="168" s="1"/>
  <c r="H168" i="168" s="1"/>
  <c r="G170" i="168"/>
  <c r="F170" i="168"/>
  <c r="N169" i="168"/>
  <c r="N168" i="168" s="1"/>
  <c r="M169" i="168"/>
  <c r="M168" i="168" s="1"/>
  <c r="L169" i="168"/>
  <c r="L168" i="168" s="1"/>
  <c r="K169" i="168"/>
  <c r="K168" i="168" s="1"/>
  <c r="I169" i="168"/>
  <c r="I168" i="168" s="1"/>
  <c r="O162" i="168"/>
  <c r="J162" i="168" s="1"/>
  <c r="H162" i="168"/>
  <c r="H161" i="168" s="1"/>
  <c r="H160" i="168" s="1"/>
  <c r="G162" i="168"/>
  <c r="F162" i="168"/>
  <c r="F162" i="169" s="1"/>
  <c r="F161" i="169" s="1"/>
  <c r="F160" i="169" s="1"/>
  <c r="N161" i="168"/>
  <c r="N160" i="168" s="1"/>
  <c r="M161" i="168"/>
  <c r="M160" i="168" s="1"/>
  <c r="K161" i="168"/>
  <c r="K160" i="168" s="1"/>
  <c r="I161" i="168"/>
  <c r="I160" i="168" s="1"/>
  <c r="O157" i="168"/>
  <c r="J157" i="168" s="1"/>
  <c r="F157" i="168"/>
  <c r="K156" i="168"/>
  <c r="E156" i="168"/>
  <c r="N155" i="168"/>
  <c r="N154" i="168" s="1"/>
  <c r="M155" i="168"/>
  <c r="M154" i="168" s="1"/>
  <c r="L155" i="168"/>
  <c r="L154" i="168" s="1"/>
  <c r="I155" i="168"/>
  <c r="I154" i="168" s="1"/>
  <c r="H155" i="168"/>
  <c r="H154" i="168" s="1"/>
  <c r="G155" i="168"/>
  <c r="G154" i="168" s="1"/>
  <c r="R151" i="168"/>
  <c r="O151" i="168"/>
  <c r="H151" i="168"/>
  <c r="H151" i="169" s="1"/>
  <c r="H150" i="169" s="1"/>
  <c r="H149" i="169" s="1"/>
  <c r="G151" i="168"/>
  <c r="F151" i="168"/>
  <c r="F151" i="169" s="1"/>
  <c r="N150" i="168"/>
  <c r="N149" i="168" s="1"/>
  <c r="M150" i="168"/>
  <c r="M149" i="168" s="1"/>
  <c r="L150" i="168"/>
  <c r="L149" i="168" s="1"/>
  <c r="K150" i="168"/>
  <c r="K149" i="168" s="1"/>
  <c r="I150" i="168"/>
  <c r="I149" i="168" s="1"/>
  <c r="H150" i="168"/>
  <c r="H149" i="168" s="1"/>
  <c r="O147" i="168"/>
  <c r="J147" i="168" s="1"/>
  <c r="H147" i="168"/>
  <c r="H146" i="168" s="1"/>
  <c r="H145" i="168" s="1"/>
  <c r="G147" i="168"/>
  <c r="G146" i="168" s="1"/>
  <c r="G145" i="168" s="1"/>
  <c r="F147" i="168"/>
  <c r="O146" i="168"/>
  <c r="O145" i="168" s="1"/>
  <c r="N146" i="168"/>
  <c r="N145" i="168" s="1"/>
  <c r="M146" i="168"/>
  <c r="M145" i="168" s="1"/>
  <c r="L146" i="168"/>
  <c r="L145" i="168" s="1"/>
  <c r="K146" i="168"/>
  <c r="K145" i="168" s="1"/>
  <c r="I146" i="168"/>
  <c r="I145" i="168" s="1"/>
  <c r="O137" i="168"/>
  <c r="H137" i="168"/>
  <c r="H136" i="168" s="1"/>
  <c r="H135" i="168" s="1"/>
  <c r="G137" i="168"/>
  <c r="F137" i="168"/>
  <c r="F137" i="169" s="1"/>
  <c r="F136" i="169" s="1"/>
  <c r="F135" i="169" s="1"/>
  <c r="N136" i="168"/>
  <c r="N135" i="168" s="1"/>
  <c r="M136" i="168"/>
  <c r="M135" i="168" s="1"/>
  <c r="L136" i="168"/>
  <c r="L135" i="168" s="1"/>
  <c r="I136" i="168"/>
  <c r="I135" i="168" s="1"/>
  <c r="R134" i="168"/>
  <c r="R117" i="168"/>
  <c r="O117" i="168"/>
  <c r="H117" i="168"/>
  <c r="H116" i="168" s="1"/>
  <c r="H115" i="168" s="1"/>
  <c r="G117" i="168"/>
  <c r="F117" i="168"/>
  <c r="F117" i="169" s="1"/>
  <c r="N116" i="168"/>
  <c r="N115" i="168" s="1"/>
  <c r="M116" i="168"/>
  <c r="M115" i="168" s="1"/>
  <c r="L116" i="168"/>
  <c r="L115" i="168" s="1"/>
  <c r="I116" i="168"/>
  <c r="I115" i="168" s="1"/>
  <c r="R114" i="168"/>
  <c r="R109" i="168"/>
  <c r="R104" i="168"/>
  <c r="R103" i="168"/>
  <c r="R102" i="168"/>
  <c r="O102" i="168"/>
  <c r="J102" i="168" s="1"/>
  <c r="H102" i="168"/>
  <c r="G102" i="168"/>
  <c r="G101" i="168" s="1"/>
  <c r="G100" i="168" s="1"/>
  <c r="F102" i="168"/>
  <c r="E102" i="168" s="1"/>
  <c r="N101" i="168"/>
  <c r="N100" i="168" s="1"/>
  <c r="M101" i="168"/>
  <c r="M100" i="168" s="1"/>
  <c r="L101" i="168"/>
  <c r="L100" i="168" s="1"/>
  <c r="I101" i="168"/>
  <c r="I100" i="168" s="1"/>
  <c r="R97" i="168"/>
  <c r="R95" i="168"/>
  <c r="K93" i="168"/>
  <c r="O93" i="168" s="1"/>
  <c r="J93" i="168" s="1"/>
  <c r="H93" i="168"/>
  <c r="H93" i="169" s="1"/>
  <c r="H92" i="169" s="1"/>
  <c r="H91" i="169" s="1"/>
  <c r="G93" i="168"/>
  <c r="G93" i="169" s="1"/>
  <c r="G92" i="169" s="1"/>
  <c r="G91" i="169" s="1"/>
  <c r="F93" i="168"/>
  <c r="N92" i="168"/>
  <c r="N91" i="168" s="1"/>
  <c r="M92" i="168"/>
  <c r="M91" i="168" s="1"/>
  <c r="L92" i="168"/>
  <c r="L91" i="168" s="1"/>
  <c r="I92" i="168"/>
  <c r="I91" i="168" s="1"/>
  <c r="R90" i="168"/>
  <c r="R84" i="168"/>
  <c r="R81" i="168"/>
  <c r="R77" i="168"/>
  <c r="K58" i="168"/>
  <c r="O58" i="168" s="1"/>
  <c r="J58" i="168" s="1"/>
  <c r="H58" i="168"/>
  <c r="G58" i="168"/>
  <c r="G57" i="168" s="1"/>
  <c r="G56" i="168" s="1"/>
  <c r="F58" i="168"/>
  <c r="N57" i="168"/>
  <c r="N56" i="168" s="1"/>
  <c r="M57" i="168"/>
  <c r="M56" i="168" s="1"/>
  <c r="L57" i="168"/>
  <c r="L56" i="168" s="1"/>
  <c r="I57" i="168"/>
  <c r="I56" i="168" s="1"/>
  <c r="O44" i="168"/>
  <c r="J44" i="168" s="1"/>
  <c r="H44" i="168"/>
  <c r="H43" i="168" s="1"/>
  <c r="H42" i="168" s="1"/>
  <c r="G44" i="168"/>
  <c r="G43" i="168" s="1"/>
  <c r="G42" i="168" s="1"/>
  <c r="F44" i="168"/>
  <c r="E44" i="168" s="1"/>
  <c r="N43" i="168"/>
  <c r="N42" i="168" s="1"/>
  <c r="M43" i="168"/>
  <c r="M42" i="168" s="1"/>
  <c r="L43" i="168"/>
  <c r="L42" i="168" s="1"/>
  <c r="K43" i="168"/>
  <c r="K42" i="168" s="1"/>
  <c r="I43" i="168"/>
  <c r="I42" i="168" s="1"/>
  <c r="R41" i="168"/>
  <c r="K31" i="168"/>
  <c r="K30" i="168" s="1"/>
  <c r="K29" i="168" s="1"/>
  <c r="H31" i="168"/>
  <c r="G31" i="168"/>
  <c r="G31" i="169" s="1"/>
  <c r="F31" i="168"/>
  <c r="N30" i="168"/>
  <c r="N29" i="168" s="1"/>
  <c r="M30" i="168"/>
  <c r="M29" i="168" s="1"/>
  <c r="L30" i="168"/>
  <c r="L29" i="168" s="1"/>
  <c r="I30" i="168"/>
  <c r="I29" i="168" s="1"/>
  <c r="L17" i="168"/>
  <c r="L16" i="168" s="1"/>
  <c r="F17" i="168"/>
  <c r="N17" i="168"/>
  <c r="N16" i="168" s="1"/>
  <c r="M17" i="168"/>
  <c r="M16" i="168" s="1"/>
  <c r="I17" i="168"/>
  <c r="I16" i="168" s="1"/>
  <c r="H17" i="168"/>
  <c r="H16" i="168" s="1"/>
  <c r="G17" i="168"/>
  <c r="G16" i="168" s="1"/>
  <c r="J146" i="168" l="1"/>
  <c r="J145" i="168" s="1"/>
  <c r="K92" i="168"/>
  <c r="K91" i="168" s="1"/>
  <c r="H30" i="168"/>
  <c r="H29" i="168" s="1"/>
  <c r="H31" i="169"/>
  <c r="H30" i="169" s="1"/>
  <c r="G136" i="168"/>
  <c r="G135" i="168" s="1"/>
  <c r="G137" i="169"/>
  <c r="G136" i="169" s="1"/>
  <c r="G135" i="169" s="1"/>
  <c r="E170" i="168"/>
  <c r="E169" i="168" s="1"/>
  <c r="E168" i="168" s="1"/>
  <c r="F170" i="169"/>
  <c r="F169" i="169" s="1"/>
  <c r="F168" i="169" s="1"/>
  <c r="O31" i="168"/>
  <c r="J31" i="168" s="1"/>
  <c r="K31" i="169"/>
  <c r="E58" i="168"/>
  <c r="F58" i="169"/>
  <c r="G150" i="168"/>
  <c r="G149" i="168" s="1"/>
  <c r="G151" i="169"/>
  <c r="G150" i="169" s="1"/>
  <c r="G149" i="169" s="1"/>
  <c r="E157" i="168"/>
  <c r="P157" i="168" s="1"/>
  <c r="F157" i="169"/>
  <c r="G169" i="168"/>
  <c r="G168" i="168" s="1"/>
  <c r="G170" i="169"/>
  <c r="G169" i="169" s="1"/>
  <c r="G168" i="169" s="1"/>
  <c r="G161" i="168"/>
  <c r="G160" i="168" s="1"/>
  <c r="G162" i="169"/>
  <c r="G161" i="169" s="1"/>
  <c r="G160" i="169" s="1"/>
  <c r="E31" i="168"/>
  <c r="E30" i="168" s="1"/>
  <c r="E29" i="168" s="1"/>
  <c r="F31" i="169"/>
  <c r="E93" i="168"/>
  <c r="P93" i="168" s="1"/>
  <c r="F93" i="169"/>
  <c r="G116" i="168"/>
  <c r="G115" i="168" s="1"/>
  <c r="G117" i="169"/>
  <c r="G116" i="169" s="1"/>
  <c r="G115" i="169" s="1"/>
  <c r="E147" i="168"/>
  <c r="E146" i="168" s="1"/>
  <c r="E145" i="168" s="1"/>
  <c r="F147" i="169"/>
  <c r="F146" i="169" s="1"/>
  <c r="F145" i="169" s="1"/>
  <c r="E175" i="168"/>
  <c r="P175" i="168" s="1"/>
  <c r="F175" i="169"/>
  <c r="H57" i="168"/>
  <c r="H56" i="168" s="1"/>
  <c r="H58" i="169"/>
  <c r="G174" i="168"/>
  <c r="G173" i="168" s="1"/>
  <c r="G175" i="169"/>
  <c r="G174" i="169" s="1"/>
  <c r="G173" i="169" s="1"/>
  <c r="P44" i="168"/>
  <c r="F30" i="168"/>
  <c r="F29" i="168" s="1"/>
  <c r="R93" i="168"/>
  <c r="J189" i="168"/>
  <c r="O43" i="168"/>
  <c r="O42" i="168" s="1"/>
  <c r="F169" i="168"/>
  <c r="F168" i="168" s="1"/>
  <c r="E181" i="168"/>
  <c r="L173" i="168"/>
  <c r="H173" i="168"/>
  <c r="I179" i="168"/>
  <c r="I188" i="168" s="1"/>
  <c r="I173" i="168"/>
  <c r="N179" i="168"/>
  <c r="N188" i="168" s="1"/>
  <c r="N173" i="168"/>
  <c r="M173" i="168"/>
  <c r="M179" i="168"/>
  <c r="M188" i="168" s="1"/>
  <c r="K173" i="168"/>
  <c r="E57" i="168"/>
  <c r="E56" i="168" s="1"/>
  <c r="G30" i="168"/>
  <c r="G29" i="168" s="1"/>
  <c r="Q88" i="168"/>
  <c r="E101" i="168"/>
  <c r="E100" i="168" s="1"/>
  <c r="P102" i="168"/>
  <c r="K17" i="168"/>
  <c r="K16" i="168" s="1"/>
  <c r="F43" i="168"/>
  <c r="F42" i="168" s="1"/>
  <c r="R74" i="168"/>
  <c r="R86" i="168"/>
  <c r="O101" i="168"/>
  <c r="O100" i="168" s="1"/>
  <c r="F101" i="168"/>
  <c r="F100" i="168" s="1"/>
  <c r="F146" i="168"/>
  <c r="F145" i="168" s="1"/>
  <c r="F57" i="168"/>
  <c r="F56" i="168" s="1"/>
  <c r="K57" i="168"/>
  <c r="K56" i="168" s="1"/>
  <c r="O92" i="168"/>
  <c r="O91" i="168" s="1"/>
  <c r="Q131" i="168"/>
  <c r="E17" i="168"/>
  <c r="E16" i="168" s="1"/>
  <c r="G92" i="168"/>
  <c r="G91" i="168" s="1"/>
  <c r="F16" i="168"/>
  <c r="Q23" i="168"/>
  <c r="O17" i="168"/>
  <c r="J17" i="168" s="1"/>
  <c r="O30" i="168"/>
  <c r="O29" i="168" s="1"/>
  <c r="E137" i="168"/>
  <c r="F136" i="168"/>
  <c r="F135" i="168" s="1"/>
  <c r="P58" i="168"/>
  <c r="F92" i="168"/>
  <c r="K101" i="168"/>
  <c r="K100" i="168" s="1"/>
  <c r="J151" i="168"/>
  <c r="O150" i="168"/>
  <c r="O149" i="168" s="1"/>
  <c r="L161" i="168"/>
  <c r="L160" i="168" s="1"/>
  <c r="Q181" i="168"/>
  <c r="J137" i="168"/>
  <c r="O136" i="168"/>
  <c r="O135" i="168" s="1"/>
  <c r="E117" i="168"/>
  <c r="E116" i="168" s="1"/>
  <c r="E115" i="168" s="1"/>
  <c r="F116" i="168"/>
  <c r="F115" i="168" s="1"/>
  <c r="E162" i="168"/>
  <c r="F161" i="168"/>
  <c r="F160" i="168" s="1"/>
  <c r="E43" i="168"/>
  <c r="E42" i="168" s="1"/>
  <c r="H92" i="168"/>
  <c r="H91" i="168" s="1"/>
  <c r="H101" i="168"/>
  <c r="H100" i="168" s="1"/>
  <c r="F155" i="168"/>
  <c r="F154" i="168" s="1"/>
  <c r="P170" i="168"/>
  <c r="K136" i="168"/>
  <c r="K135" i="168" s="1"/>
  <c r="E151" i="168"/>
  <c r="F150" i="168"/>
  <c r="F149" i="168" s="1"/>
  <c r="O161" i="168"/>
  <c r="O160" i="168" s="1"/>
  <c r="J117" i="168"/>
  <c r="O116" i="168"/>
  <c r="O115" i="168" s="1"/>
  <c r="K155" i="168"/>
  <c r="K154" i="168" s="1"/>
  <c r="O156" i="168"/>
  <c r="O174" i="168"/>
  <c r="O169" i="168"/>
  <c r="O168" i="168" s="1"/>
  <c r="F174" i="168"/>
  <c r="K116" i="168"/>
  <c r="K115" i="168" s="1"/>
  <c r="N103" i="165"/>
  <c r="N103" i="169" l="1"/>
  <c r="N101" i="169" s="1"/>
  <c r="N100" i="169" s="1"/>
  <c r="N103" i="171"/>
  <c r="N101" i="171" s="1"/>
  <c r="N100" i="171" s="1"/>
  <c r="P147" i="168"/>
  <c r="P31" i="168"/>
  <c r="J43" i="168"/>
  <c r="J42" i="168" s="1"/>
  <c r="G179" i="168"/>
  <c r="G188" i="168" s="1"/>
  <c r="P17" i="168"/>
  <c r="P16" i="168" s="1"/>
  <c r="J101" i="168"/>
  <c r="J100" i="168" s="1"/>
  <c r="H29" i="169"/>
  <c r="K179" i="168"/>
  <c r="K188" i="168" s="1"/>
  <c r="L179" i="168"/>
  <c r="L188" i="168" s="1"/>
  <c r="J92" i="168"/>
  <c r="J91" i="168" s="1"/>
  <c r="H179" i="168"/>
  <c r="H188" i="168" s="1"/>
  <c r="O173" i="168"/>
  <c r="F179" i="168"/>
  <c r="F188" i="168" s="1"/>
  <c r="F173" i="168"/>
  <c r="J174" i="168"/>
  <c r="J136" i="168"/>
  <c r="J135" i="168" s="1"/>
  <c r="J150" i="168"/>
  <c r="J149" i="168" s="1"/>
  <c r="E136" i="168"/>
  <c r="E135" i="168" s="1"/>
  <c r="P137" i="168"/>
  <c r="J169" i="168"/>
  <c r="J168" i="168" s="1"/>
  <c r="R136" i="168"/>
  <c r="O57" i="168"/>
  <c r="R116" i="168"/>
  <c r="O155" i="168"/>
  <c r="O154" i="168" s="1"/>
  <c r="J156" i="168"/>
  <c r="P156" i="168" s="1"/>
  <c r="J116" i="168"/>
  <c r="J115" i="168" s="1"/>
  <c r="E161" i="168"/>
  <c r="E160" i="168" s="1"/>
  <c r="P162" i="168"/>
  <c r="P146" i="168"/>
  <c r="P145" i="168" s="1"/>
  <c r="E155" i="168"/>
  <c r="E154" i="168" s="1"/>
  <c r="J30" i="168"/>
  <c r="J29" i="168" s="1"/>
  <c r="P117" i="168"/>
  <c r="P151" i="168"/>
  <c r="E150" i="168"/>
  <c r="E149" i="168" s="1"/>
  <c r="J16" i="168"/>
  <c r="J161" i="168"/>
  <c r="J160" i="168" s="1"/>
  <c r="E92" i="168"/>
  <c r="F91" i="168"/>
  <c r="E174" i="168"/>
  <c r="O16" i="168"/>
  <c r="K86" i="169"/>
  <c r="R86" i="169" s="1"/>
  <c r="O23" i="165"/>
  <c r="O23" i="169" l="1"/>
  <c r="O23" i="171"/>
  <c r="P43" i="168"/>
  <c r="P42" i="168" s="1"/>
  <c r="O179" i="168"/>
  <c r="O188" i="168" s="1"/>
  <c r="Q17" i="168"/>
  <c r="P101" i="168"/>
  <c r="P100" i="168" s="1"/>
  <c r="E179" i="168"/>
  <c r="E173" i="168"/>
  <c r="J173" i="168"/>
  <c r="P169" i="168"/>
  <c r="P168" i="168" s="1"/>
  <c r="P116" i="168"/>
  <c r="P115" i="168" s="1"/>
  <c r="P150" i="168"/>
  <c r="P149" i="168" s="1"/>
  <c r="P136" i="168"/>
  <c r="P135" i="168" s="1"/>
  <c r="O56" i="168"/>
  <c r="J57" i="168"/>
  <c r="P30" i="168"/>
  <c r="P29" i="168" s="1"/>
  <c r="Q146" i="168"/>
  <c r="P161" i="168"/>
  <c r="P160" i="168" s="1"/>
  <c r="J155" i="168"/>
  <c r="J154" i="168" s="1"/>
  <c r="P174" i="168"/>
  <c r="E91" i="168"/>
  <c r="P92" i="168"/>
  <c r="H163" i="165"/>
  <c r="H162" i="169" l="1"/>
  <c r="H161" i="169" s="1"/>
  <c r="H160" i="169" s="1"/>
  <c r="H163" i="171"/>
  <c r="H162" i="171" s="1"/>
  <c r="H161" i="171" s="1"/>
  <c r="Q43" i="168"/>
  <c r="Q101" i="168"/>
  <c r="Q169" i="168"/>
  <c r="Q116" i="168"/>
  <c r="J179" i="168"/>
  <c r="J188" i="168" s="1"/>
  <c r="E189" i="168"/>
  <c r="F189" i="168"/>
  <c r="E197" i="168"/>
  <c r="E188" i="168"/>
  <c r="P173" i="168"/>
  <c r="P155" i="168"/>
  <c r="P154" i="168" s="1"/>
  <c r="Q92" i="168"/>
  <c r="P91" i="168"/>
  <c r="Q174" i="168"/>
  <c r="Q161" i="168"/>
  <c r="Q30" i="168"/>
  <c r="Q136" i="168"/>
  <c r="J56" i="168"/>
  <c r="P57" i="168"/>
  <c r="Q150" i="168"/>
  <c r="Q155" i="168" l="1"/>
  <c r="Q57" i="168"/>
  <c r="P56" i="168"/>
  <c r="P179" i="168" s="1"/>
  <c r="F191" i="168" l="1"/>
  <c r="P188" i="168"/>
  <c r="P189" i="168"/>
  <c r="J217" i="167"/>
  <c r="J216" i="167"/>
  <c r="G215" i="167"/>
  <c r="J212" i="167"/>
  <c r="H212" i="167"/>
  <c r="J211" i="167"/>
  <c r="J210" i="167"/>
  <c r="J209" i="167"/>
  <c r="J208" i="167"/>
  <c r="G204" i="167"/>
  <c r="H203" i="167"/>
  <c r="G203" i="167" s="1"/>
  <c r="M202" i="167"/>
  <c r="H202" i="167"/>
  <c r="G201" i="167"/>
  <c r="M200" i="167"/>
  <c r="G200" i="167"/>
  <c r="J199" i="167"/>
  <c r="J198" i="167" s="1"/>
  <c r="I199" i="167"/>
  <c r="J195" i="167"/>
  <c r="J194" i="167"/>
  <c r="G193" i="167"/>
  <c r="J190" i="167"/>
  <c r="J189" i="167" s="1"/>
  <c r="J188" i="167" s="1"/>
  <c r="J181" i="167"/>
  <c r="J178" i="167"/>
  <c r="J177" i="167"/>
  <c r="J175" i="167"/>
  <c r="G172" i="167"/>
  <c r="G171" i="167"/>
  <c r="G170" i="167"/>
  <c r="J169" i="167"/>
  <c r="I169" i="167"/>
  <c r="H169" i="167"/>
  <c r="H165" i="167"/>
  <c r="G165" i="167" s="1"/>
  <c r="J161" i="167"/>
  <c r="J160" i="167"/>
  <c r="I160" i="167"/>
  <c r="G160" i="167" s="1"/>
  <c r="J157" i="167"/>
  <c r="J156" i="167"/>
  <c r="J150" i="167"/>
  <c r="G149" i="167"/>
  <c r="J146" i="167"/>
  <c r="J143" i="167"/>
  <c r="J142" i="167"/>
  <c r="J141" i="167"/>
  <c r="J140" i="167"/>
  <c r="J139" i="167"/>
  <c r="J138" i="167"/>
  <c r="I138" i="167"/>
  <c r="H138" i="167"/>
  <c r="J136" i="167"/>
  <c r="J135" i="167"/>
  <c r="J134" i="167"/>
  <c r="H133" i="167"/>
  <c r="G133" i="167" s="1"/>
  <c r="J131" i="167"/>
  <c r="J130" i="167" s="1"/>
  <c r="I131" i="167"/>
  <c r="G131" i="167" s="1"/>
  <c r="J129" i="167"/>
  <c r="G126" i="167"/>
  <c r="G125" i="167"/>
  <c r="J124" i="167"/>
  <c r="G123" i="167"/>
  <c r="J122" i="167"/>
  <c r="J121" i="167"/>
  <c r="J120" i="167" s="1"/>
  <c r="I121" i="167"/>
  <c r="G121" i="167" s="1"/>
  <c r="H119" i="167"/>
  <c r="G119" i="167" s="1"/>
  <c r="J117" i="167"/>
  <c r="J116" i="167" s="1"/>
  <c r="I117" i="167"/>
  <c r="H117" i="167"/>
  <c r="J115" i="167"/>
  <c r="J114" i="167"/>
  <c r="I114" i="167"/>
  <c r="G114" i="167" s="1"/>
  <c r="J110" i="167"/>
  <c r="J108" i="167"/>
  <c r="M108" i="167" s="1"/>
  <c r="J106" i="167"/>
  <c r="H104" i="167"/>
  <c r="G104" i="167" s="1"/>
  <c r="H103" i="167"/>
  <c r="G103" i="167" s="1"/>
  <c r="J102" i="167"/>
  <c r="J101" i="167"/>
  <c r="I101" i="167"/>
  <c r="G101" i="167" s="1"/>
  <c r="J99" i="167"/>
  <c r="J98" i="167"/>
  <c r="H97" i="167"/>
  <c r="G97" i="167" s="1"/>
  <c r="J96" i="167"/>
  <c r="J95" i="167"/>
  <c r="J94" i="167"/>
  <c r="J92" i="167"/>
  <c r="J91" i="167" s="1"/>
  <c r="I92" i="167"/>
  <c r="G92" i="167" s="1"/>
  <c r="J90" i="167"/>
  <c r="J89" i="167"/>
  <c r="J88" i="167"/>
  <c r="J87" i="167"/>
  <c r="J86" i="167"/>
  <c r="J85" i="167"/>
  <c r="J84" i="167"/>
  <c r="J82" i="167"/>
  <c r="I82" i="167"/>
  <c r="J79" i="167"/>
  <c r="H79" i="167"/>
  <c r="J78" i="167"/>
  <c r="I78" i="167"/>
  <c r="G78" i="167" s="1"/>
  <c r="J74" i="167"/>
  <c r="J72" i="167"/>
  <c r="J70" i="167"/>
  <c r="J68" i="167"/>
  <c r="G67" i="167"/>
  <c r="J65" i="167"/>
  <c r="H64" i="167"/>
  <c r="G64" i="167" s="1"/>
  <c r="J62" i="167"/>
  <c r="H61" i="167"/>
  <c r="G61" i="167" s="1"/>
  <c r="J59" i="167"/>
  <c r="J57" i="167"/>
  <c r="H56" i="167"/>
  <c r="G56" i="167" s="1"/>
  <c r="J51" i="167"/>
  <c r="J50" i="167"/>
  <c r="J49" i="167"/>
  <c r="H48" i="167"/>
  <c r="G48" i="167" s="1"/>
  <c r="J47" i="167"/>
  <c r="J46" i="167"/>
  <c r="J45" i="167"/>
  <c r="J44" i="167"/>
  <c r="G43" i="167"/>
  <c r="G41" i="167"/>
  <c r="G38" i="167"/>
  <c r="G33" i="167"/>
  <c r="J32" i="167"/>
  <c r="I32" i="167"/>
  <c r="G32" i="167" s="1"/>
  <c r="J31" i="167"/>
  <c r="I31" i="167"/>
  <c r="G31" i="167" s="1"/>
  <c r="G29" i="167"/>
  <c r="H28" i="167"/>
  <c r="J27" i="167"/>
  <c r="M27" i="167" s="1"/>
  <c r="J26" i="167"/>
  <c r="M26" i="167" s="1"/>
  <c r="J25" i="167"/>
  <c r="M25" i="167" s="1"/>
  <c r="J23" i="167"/>
  <c r="M23" i="167" s="1"/>
  <c r="G22" i="167"/>
  <c r="G20" i="167"/>
  <c r="G19" i="167"/>
  <c r="H18" i="167"/>
  <c r="M17" i="167"/>
  <c r="H17" i="167"/>
  <c r="G17" i="167" s="1"/>
  <c r="H16" i="167"/>
  <c r="J239" i="166"/>
  <c r="J238" i="166" s="1"/>
  <c r="R170" i="171" s="1"/>
  <c r="R159" i="168"/>
  <c r="J235" i="166"/>
  <c r="J231" i="166"/>
  <c r="J230" i="166" s="1"/>
  <c r="R150" i="171" s="1"/>
  <c r="J228" i="166"/>
  <c r="J227" i="166" s="1"/>
  <c r="R146" i="171" s="1"/>
  <c r="J124" i="166"/>
  <c r="R108" i="171" s="1"/>
  <c r="J123" i="166"/>
  <c r="K122" i="166"/>
  <c r="I122" i="166"/>
  <c r="K116" i="166"/>
  <c r="I116" i="166"/>
  <c r="R96" i="168"/>
  <c r="I114" i="166"/>
  <c r="H111" i="166"/>
  <c r="K111" i="166" s="1"/>
  <c r="K110" i="166"/>
  <c r="K109" i="166"/>
  <c r="I104" i="166"/>
  <c r="J102" i="166"/>
  <c r="R85" i="168" s="1"/>
  <c r="H99" i="166"/>
  <c r="I99" i="166" s="1"/>
  <c r="J98" i="166"/>
  <c r="K98" i="166" s="1"/>
  <c r="J97" i="166"/>
  <c r="R83" i="171" s="1"/>
  <c r="R67" i="168"/>
  <c r="J82" i="166"/>
  <c r="R59" i="168" s="1"/>
  <c r="J80" i="166"/>
  <c r="R58" i="168" s="1"/>
  <c r="J77" i="166"/>
  <c r="J76" i="166"/>
  <c r="K75" i="166"/>
  <c r="K74" i="166"/>
  <c r="J72" i="166"/>
  <c r="J71" i="166"/>
  <c r="I71" i="166"/>
  <c r="K70" i="166"/>
  <c r="J69" i="166"/>
  <c r="J68" i="166"/>
  <c r="I65" i="166"/>
  <c r="I63" i="166"/>
  <c r="K59" i="166"/>
  <c r="J58" i="166"/>
  <c r="I58" i="166"/>
  <c r="R33" i="168"/>
  <c r="K55" i="166"/>
  <c r="I54" i="166"/>
  <c r="J53" i="166"/>
  <c r="K53" i="166" s="1"/>
  <c r="J50" i="166"/>
  <c r="K50" i="166" s="1"/>
  <c r="J49" i="166"/>
  <c r="K49" i="166" s="1"/>
  <c r="I48" i="166"/>
  <c r="J47" i="166"/>
  <c r="K47" i="166" s="1"/>
  <c r="I47" i="166"/>
  <c r="I45" i="166"/>
  <c r="J44" i="166"/>
  <c r="J39" i="166"/>
  <c r="K39" i="166" s="1"/>
  <c r="I39" i="166"/>
  <c r="K36" i="166"/>
  <c r="I36" i="166"/>
  <c r="J35" i="166"/>
  <c r="J34" i="166"/>
  <c r="I34" i="166"/>
  <c r="I30" i="166"/>
  <c r="K28" i="166"/>
  <c r="K26" i="166"/>
  <c r="I26" i="166"/>
  <c r="K25" i="166"/>
  <c r="I25" i="166"/>
  <c r="J24" i="166"/>
  <c r="J19" i="166"/>
  <c r="R28" i="168" s="1"/>
  <c r="J18" i="166"/>
  <c r="R21" i="168" s="1"/>
  <c r="J16" i="166"/>
  <c r="K16" i="166" s="1"/>
  <c r="J15" i="166"/>
  <c r="K15" i="166" s="1"/>
  <c r="J14" i="166"/>
  <c r="J13" i="166"/>
  <c r="E182" i="165"/>
  <c r="O179" i="165"/>
  <c r="E179" i="165"/>
  <c r="E179" i="171" s="1"/>
  <c r="O178" i="165"/>
  <c r="F178" i="165"/>
  <c r="O177" i="165"/>
  <c r="F177" i="165"/>
  <c r="O176" i="165"/>
  <c r="O176" i="171" s="1"/>
  <c r="H176" i="165"/>
  <c r="G175" i="165"/>
  <c r="G174" i="165" s="1"/>
  <c r="E176" i="165"/>
  <c r="N175" i="165"/>
  <c r="N174" i="165" s="1"/>
  <c r="M175" i="165"/>
  <c r="M174" i="165" s="1"/>
  <c r="L175" i="165"/>
  <c r="L174" i="165" s="1"/>
  <c r="K175" i="165"/>
  <c r="K174" i="165" s="1"/>
  <c r="I175" i="165"/>
  <c r="H175" i="165"/>
  <c r="H174" i="165" s="1"/>
  <c r="I174" i="165"/>
  <c r="O173" i="165"/>
  <c r="O173" i="171" s="1"/>
  <c r="E173" i="165"/>
  <c r="E173" i="171" s="1"/>
  <c r="O172" i="165"/>
  <c r="O172" i="171" s="1"/>
  <c r="E172" i="165"/>
  <c r="E172" i="171" s="1"/>
  <c r="O171" i="165"/>
  <c r="O171" i="171" s="1"/>
  <c r="O170" i="171" s="1"/>
  <c r="H171" i="165"/>
  <c r="H171" i="171" s="1"/>
  <c r="H170" i="171" s="1"/>
  <c r="H169" i="171" s="1"/>
  <c r="G170" i="165"/>
  <c r="G169" i="165" s="1"/>
  <c r="E171" i="165"/>
  <c r="E171" i="171" s="1"/>
  <c r="E170" i="171" s="1"/>
  <c r="N170" i="165"/>
  <c r="N169" i="165" s="1"/>
  <c r="M170" i="165"/>
  <c r="M169" i="165" s="1"/>
  <c r="L170" i="165"/>
  <c r="K170" i="165"/>
  <c r="K169" i="165" s="1"/>
  <c r="I170" i="165"/>
  <c r="I169" i="165" s="1"/>
  <c r="F170" i="165"/>
  <c r="F169" i="165" s="1"/>
  <c r="L169" i="165"/>
  <c r="O168" i="165"/>
  <c r="L168" i="165"/>
  <c r="O167" i="165"/>
  <c r="E167" i="165"/>
  <c r="O166" i="165"/>
  <c r="E166" i="165"/>
  <c r="O165" i="165"/>
  <c r="L165" i="165"/>
  <c r="E165" i="165"/>
  <c r="E165" i="171" s="1"/>
  <c r="O164" i="165"/>
  <c r="O164" i="171" s="1"/>
  <c r="E164" i="165"/>
  <c r="O163" i="165"/>
  <c r="O163" i="171" s="1"/>
  <c r="N162" i="165"/>
  <c r="N161" i="165" s="1"/>
  <c r="M162" i="165"/>
  <c r="M161" i="165" s="1"/>
  <c r="K162" i="165"/>
  <c r="K161" i="165" s="1"/>
  <c r="I162" i="165"/>
  <c r="I161" i="165" s="1"/>
  <c r="H162" i="165"/>
  <c r="H161" i="165" s="1"/>
  <c r="G162" i="165"/>
  <c r="G161" i="165" s="1"/>
  <c r="O159" i="165"/>
  <c r="O159" i="171" s="1"/>
  <c r="M203" i="167"/>
  <c r="O158" i="165"/>
  <c r="F158" i="165"/>
  <c r="O157" i="165"/>
  <c r="O157" i="171" s="1"/>
  <c r="E157" i="165"/>
  <c r="K156" i="165"/>
  <c r="K155" i="165" s="1"/>
  <c r="E156" i="165"/>
  <c r="N154" i="165"/>
  <c r="M154" i="165"/>
  <c r="I154" i="165"/>
  <c r="H154" i="165"/>
  <c r="G154" i="165"/>
  <c r="L154" i="165"/>
  <c r="O153" i="165"/>
  <c r="O153" i="171" s="1"/>
  <c r="E153" i="165"/>
  <c r="O152" i="165"/>
  <c r="O152" i="169" s="1"/>
  <c r="F152" i="165"/>
  <c r="R151" i="165"/>
  <c r="O151" i="165"/>
  <c r="G150" i="165"/>
  <c r="G149" i="165" s="1"/>
  <c r="N150" i="165"/>
  <c r="N149" i="165" s="1"/>
  <c r="M150" i="165"/>
  <c r="M149" i="165" s="1"/>
  <c r="L150" i="165"/>
  <c r="K150" i="165"/>
  <c r="K149" i="165" s="1"/>
  <c r="I150" i="165"/>
  <c r="I149" i="165" s="1"/>
  <c r="H150" i="165"/>
  <c r="H149" i="165" s="1"/>
  <c r="O148" i="165"/>
  <c r="O148" i="171" s="1"/>
  <c r="E148" i="165"/>
  <c r="E148" i="171" s="1"/>
  <c r="O147" i="165"/>
  <c r="O147" i="171" s="1"/>
  <c r="H147" i="165"/>
  <c r="H147" i="171" s="1"/>
  <c r="H146" i="171" s="1"/>
  <c r="H145" i="171" s="1"/>
  <c r="G147" i="165"/>
  <c r="G147" i="171" s="1"/>
  <c r="G146" i="171" s="1"/>
  <c r="G145" i="171" s="1"/>
  <c r="E147" i="165"/>
  <c r="E147" i="171" s="1"/>
  <c r="E146" i="171" s="1"/>
  <c r="N146" i="165"/>
  <c r="N145" i="165" s="1"/>
  <c r="M146" i="165"/>
  <c r="M145" i="165" s="1"/>
  <c r="L146" i="165"/>
  <c r="L145" i="165" s="1"/>
  <c r="K146" i="165"/>
  <c r="I146" i="165"/>
  <c r="I145" i="165" s="1"/>
  <c r="F146" i="165"/>
  <c r="F145" i="165" s="1"/>
  <c r="K145" i="165"/>
  <c r="E144" i="165"/>
  <c r="E144" i="171" s="1"/>
  <c r="K143" i="169"/>
  <c r="E143" i="165"/>
  <c r="E143" i="171" s="1"/>
  <c r="K142" i="165"/>
  <c r="E142" i="165"/>
  <c r="E142" i="171" s="1"/>
  <c r="K141" i="165"/>
  <c r="E141" i="165"/>
  <c r="E141" i="171" s="1"/>
  <c r="O140" i="165"/>
  <c r="O140" i="171" s="1"/>
  <c r="E140" i="165"/>
  <c r="E140" i="171" s="1"/>
  <c r="K139" i="165"/>
  <c r="E139" i="165"/>
  <c r="E139" i="171" s="1"/>
  <c r="O138" i="165"/>
  <c r="O138" i="171" s="1"/>
  <c r="E138" i="165"/>
  <c r="E138" i="171" s="1"/>
  <c r="O137" i="165"/>
  <c r="H137" i="165"/>
  <c r="G136" i="165"/>
  <c r="G135" i="165" s="1"/>
  <c r="N136" i="165"/>
  <c r="N135" i="165" s="1"/>
  <c r="M136" i="165"/>
  <c r="M135" i="165" s="1"/>
  <c r="L136" i="165"/>
  <c r="L135" i="165" s="1"/>
  <c r="I136" i="165"/>
  <c r="I135" i="165" s="1"/>
  <c r="O134" i="165"/>
  <c r="H134" i="165"/>
  <c r="E134" i="165"/>
  <c r="E134" i="171" s="1"/>
  <c r="O133" i="165"/>
  <c r="E133" i="165"/>
  <c r="E133" i="171" s="1"/>
  <c r="O131" i="165"/>
  <c r="L131" i="165"/>
  <c r="E131" i="165"/>
  <c r="E131" i="171" s="1"/>
  <c r="O130" i="165"/>
  <c r="O130" i="171" s="1"/>
  <c r="J173" i="167"/>
  <c r="E130" i="165"/>
  <c r="E130" i="171" s="1"/>
  <c r="O129" i="165"/>
  <c r="F129" i="165"/>
  <c r="F129" i="171" s="1"/>
  <c r="J168" i="167"/>
  <c r="E128" i="165"/>
  <c r="E128" i="171" s="1"/>
  <c r="K127" i="165"/>
  <c r="E127" i="165"/>
  <c r="E127" i="171" s="1"/>
  <c r="E126" i="165"/>
  <c r="E126" i="171" s="1"/>
  <c r="J163" i="167"/>
  <c r="E125" i="165"/>
  <c r="O124" i="165"/>
  <c r="O124" i="171" s="1"/>
  <c r="E124" i="165"/>
  <c r="K123" i="165"/>
  <c r="E123" i="165"/>
  <c r="E123" i="171" s="1"/>
  <c r="E122" i="165"/>
  <c r="E122" i="171" s="1"/>
  <c r="O121" i="165"/>
  <c r="O121" i="171" s="1"/>
  <c r="F121" i="165"/>
  <c r="F121" i="171" s="1"/>
  <c r="F116" i="171" s="1"/>
  <c r="F115" i="171" s="1"/>
  <c r="O120" i="165"/>
  <c r="O120" i="171" s="1"/>
  <c r="E120" i="165"/>
  <c r="E120" i="171" s="1"/>
  <c r="O119" i="165"/>
  <c r="O119" i="171" s="1"/>
  <c r="J151" i="167"/>
  <c r="E119" i="165"/>
  <c r="E119" i="171" s="1"/>
  <c r="O118" i="165"/>
  <c r="O118" i="171" s="1"/>
  <c r="E118" i="165"/>
  <c r="E118" i="171" s="1"/>
  <c r="R117" i="165"/>
  <c r="O117" i="165"/>
  <c r="H117" i="165"/>
  <c r="H116" i="165" s="1"/>
  <c r="H115" i="165" s="1"/>
  <c r="G116" i="165"/>
  <c r="G115" i="165" s="1"/>
  <c r="N116" i="165"/>
  <c r="N115" i="165" s="1"/>
  <c r="M116" i="165"/>
  <c r="M115" i="165" s="1"/>
  <c r="I116" i="165"/>
  <c r="I115" i="165" s="1"/>
  <c r="R114" i="165"/>
  <c r="O114" i="165"/>
  <c r="E114" i="165"/>
  <c r="O113" i="165"/>
  <c r="F113" i="165"/>
  <c r="F113" i="171" s="1"/>
  <c r="O112" i="165"/>
  <c r="O112" i="171" s="1"/>
  <c r="E112" i="165"/>
  <c r="E112" i="171" s="1"/>
  <c r="O111" i="165"/>
  <c r="O111" i="169" s="1"/>
  <c r="E111" i="165"/>
  <c r="O110" i="165"/>
  <c r="R109" i="165"/>
  <c r="O109" i="165"/>
  <c r="O109" i="171" s="1"/>
  <c r="J108" i="165"/>
  <c r="J108" i="171" s="1"/>
  <c r="E108" i="165"/>
  <c r="O107" i="165"/>
  <c r="E107" i="165"/>
  <c r="E107" i="171" s="1"/>
  <c r="O106" i="165"/>
  <c r="F106" i="165"/>
  <c r="F106" i="171" s="1"/>
  <c r="O105" i="165"/>
  <c r="O105" i="171" s="1"/>
  <c r="E105" i="165"/>
  <c r="K104" i="165"/>
  <c r="H104" i="165"/>
  <c r="E104" i="165"/>
  <c r="R103" i="165"/>
  <c r="O103" i="165"/>
  <c r="O103" i="171" s="1"/>
  <c r="E103" i="165"/>
  <c r="R102" i="165"/>
  <c r="O102" i="165"/>
  <c r="H102" i="165"/>
  <c r="H102" i="171" s="1"/>
  <c r="G102" i="165"/>
  <c r="F102" i="165"/>
  <c r="N101" i="165"/>
  <c r="N100" i="165" s="1"/>
  <c r="M101" i="165"/>
  <c r="M100" i="165" s="1"/>
  <c r="L101" i="165"/>
  <c r="L100" i="165" s="1"/>
  <c r="I101" i="165"/>
  <c r="I100" i="165" s="1"/>
  <c r="O99" i="165"/>
  <c r="O99" i="171" s="1"/>
  <c r="E99" i="165"/>
  <c r="O98" i="165"/>
  <c r="O98" i="171" s="1"/>
  <c r="E98" i="165"/>
  <c r="E98" i="171" s="1"/>
  <c r="R97" i="165"/>
  <c r="O97" i="165"/>
  <c r="E97" i="165"/>
  <c r="E97" i="171" s="1"/>
  <c r="O96" i="165"/>
  <c r="O96" i="171" s="1"/>
  <c r="E96" i="165"/>
  <c r="E96" i="171" s="1"/>
  <c r="R95" i="165"/>
  <c r="O95" i="165"/>
  <c r="O95" i="171" s="1"/>
  <c r="E95" i="165"/>
  <c r="O94" i="165"/>
  <c r="F94" i="165"/>
  <c r="K93" i="165"/>
  <c r="H92" i="165"/>
  <c r="H91" i="165" s="1"/>
  <c r="E93" i="165"/>
  <c r="E93" i="171" s="1"/>
  <c r="N92" i="165"/>
  <c r="N91" i="165" s="1"/>
  <c r="M92" i="165"/>
  <c r="M91" i="165" s="1"/>
  <c r="L92" i="165"/>
  <c r="L91" i="165" s="1"/>
  <c r="I92" i="165"/>
  <c r="I91" i="165" s="1"/>
  <c r="G92" i="165"/>
  <c r="G91" i="165" s="1"/>
  <c r="R90" i="165"/>
  <c r="O90" i="165"/>
  <c r="J90" i="165" s="1"/>
  <c r="I110" i="167" s="1"/>
  <c r="E90" i="165"/>
  <c r="H110" i="167" s="1"/>
  <c r="O88" i="165"/>
  <c r="E88" i="165"/>
  <c r="E88" i="171" s="1"/>
  <c r="O87" i="165"/>
  <c r="O87" i="171" s="1"/>
  <c r="E87" i="165"/>
  <c r="E87" i="171" s="1"/>
  <c r="R86" i="165"/>
  <c r="O86" i="165"/>
  <c r="O86" i="171" s="1"/>
  <c r="E86" i="165"/>
  <c r="E86" i="171" s="1"/>
  <c r="K85" i="165"/>
  <c r="K85" i="171" s="1"/>
  <c r="R85" i="171" s="1"/>
  <c r="E85" i="165"/>
  <c r="E85" i="171" s="1"/>
  <c r="R84" i="165"/>
  <c r="O84" i="165"/>
  <c r="O84" i="171" s="1"/>
  <c r="E84" i="165"/>
  <c r="N83" i="165"/>
  <c r="G83" i="165"/>
  <c r="E83" i="165"/>
  <c r="R81" i="165"/>
  <c r="O80" i="165"/>
  <c r="E80" i="165"/>
  <c r="O76" i="165"/>
  <c r="O76" i="171" s="1"/>
  <c r="E76" i="165"/>
  <c r="O73" i="165"/>
  <c r="O73" i="171" s="1"/>
  <c r="E73" i="165"/>
  <c r="E73" i="171" s="1"/>
  <c r="O72" i="165"/>
  <c r="O72" i="171" s="1"/>
  <c r="E72" i="165"/>
  <c r="O71" i="165"/>
  <c r="O71" i="171" s="1"/>
  <c r="E71" i="165"/>
  <c r="E71" i="171" s="1"/>
  <c r="O70" i="165"/>
  <c r="O70" i="171" s="1"/>
  <c r="E70" i="165"/>
  <c r="E70" i="171" s="1"/>
  <c r="O69" i="165"/>
  <c r="O69" i="171" s="1"/>
  <c r="F69" i="165"/>
  <c r="F69" i="171" s="1"/>
  <c r="O68" i="165"/>
  <c r="F68" i="165"/>
  <c r="F68" i="171" s="1"/>
  <c r="O67" i="165"/>
  <c r="O67" i="171" s="1"/>
  <c r="H67" i="165"/>
  <c r="G67" i="165"/>
  <c r="E67" i="165"/>
  <c r="E67" i="171" s="1"/>
  <c r="O66" i="165"/>
  <c r="O66" i="171" s="1"/>
  <c r="N66" i="165"/>
  <c r="E66" i="165"/>
  <c r="E66" i="171" s="1"/>
  <c r="O65" i="165"/>
  <c r="E65" i="165"/>
  <c r="O64" i="165"/>
  <c r="E64" i="165"/>
  <c r="O63" i="165"/>
  <c r="E63" i="165"/>
  <c r="O62" i="165"/>
  <c r="E62" i="165"/>
  <c r="E62" i="171" s="1"/>
  <c r="O61" i="165"/>
  <c r="O61" i="171" s="1"/>
  <c r="E61" i="165"/>
  <c r="O60" i="165"/>
  <c r="O60" i="171" s="1"/>
  <c r="E60" i="165"/>
  <c r="E60" i="171" s="1"/>
  <c r="K59" i="165"/>
  <c r="K59" i="171" s="1"/>
  <c r="R59" i="171" s="1"/>
  <c r="F59" i="165"/>
  <c r="K58" i="165"/>
  <c r="G58" i="165"/>
  <c r="G58" i="171" s="1"/>
  <c r="E58" i="165"/>
  <c r="M57" i="165"/>
  <c r="M56" i="165" s="1"/>
  <c r="L57" i="165"/>
  <c r="L56" i="165" s="1"/>
  <c r="I57" i="165"/>
  <c r="I56" i="165" s="1"/>
  <c r="O55" i="165"/>
  <c r="J55" i="165" s="1"/>
  <c r="I79" i="167" s="1"/>
  <c r="E55" i="165"/>
  <c r="E54" i="165"/>
  <c r="O53" i="165"/>
  <c r="O53" i="171" s="1"/>
  <c r="F53" i="165"/>
  <c r="O52" i="165"/>
  <c r="O52" i="171" s="1"/>
  <c r="E52" i="165"/>
  <c r="E52" i="171" s="1"/>
  <c r="O51" i="165"/>
  <c r="O50" i="165"/>
  <c r="O50" i="171" s="1"/>
  <c r="O49" i="165"/>
  <c r="O49" i="171" s="1"/>
  <c r="E49" i="165"/>
  <c r="E49" i="171" s="1"/>
  <c r="O48" i="165"/>
  <c r="O48" i="171" s="1"/>
  <c r="E48" i="165"/>
  <c r="O47" i="165"/>
  <c r="O47" i="171" s="1"/>
  <c r="F47" i="169"/>
  <c r="J46" i="165"/>
  <c r="J46" i="171" s="1"/>
  <c r="E46" i="165"/>
  <c r="K45" i="165"/>
  <c r="E45" i="165"/>
  <c r="O44" i="165"/>
  <c r="H44" i="165"/>
  <c r="H44" i="171" s="1"/>
  <c r="H43" i="171" s="1"/>
  <c r="H42" i="171" s="1"/>
  <c r="G44" i="165"/>
  <c r="G44" i="171" s="1"/>
  <c r="G43" i="171" s="1"/>
  <c r="G42" i="171" s="1"/>
  <c r="F44" i="165"/>
  <c r="N43" i="165"/>
  <c r="N42" i="165" s="1"/>
  <c r="M43" i="165"/>
  <c r="M42" i="165" s="1"/>
  <c r="L43" i="165"/>
  <c r="L42" i="165" s="1"/>
  <c r="I43" i="165"/>
  <c r="I42" i="165" s="1"/>
  <c r="R41" i="165"/>
  <c r="O41" i="165"/>
  <c r="E41" i="165"/>
  <c r="E41" i="171" s="1"/>
  <c r="O40" i="165"/>
  <c r="O40" i="171" s="1"/>
  <c r="E40" i="165"/>
  <c r="E40" i="171" s="1"/>
  <c r="O39" i="165"/>
  <c r="O39" i="171" s="1"/>
  <c r="G39" i="169"/>
  <c r="G30" i="169" s="1"/>
  <c r="F39" i="169"/>
  <c r="O38" i="165"/>
  <c r="F38" i="165"/>
  <c r="F38" i="171" s="1"/>
  <c r="F30" i="171" s="1"/>
  <c r="F29" i="171" s="1"/>
  <c r="O37" i="165"/>
  <c r="E37" i="165"/>
  <c r="O36" i="165"/>
  <c r="E36" i="165"/>
  <c r="E36" i="171" s="1"/>
  <c r="O35" i="165"/>
  <c r="O35" i="171" s="1"/>
  <c r="N35" i="165"/>
  <c r="L35" i="165"/>
  <c r="E35" i="165"/>
  <c r="K34" i="165"/>
  <c r="E34" i="165"/>
  <c r="E34" i="171" s="1"/>
  <c r="O33" i="165"/>
  <c r="O33" i="171" s="1"/>
  <c r="J40" i="167"/>
  <c r="E33" i="165"/>
  <c r="E33" i="171" s="1"/>
  <c r="E32" i="165"/>
  <c r="O31" i="165"/>
  <c r="J36" i="167"/>
  <c r="E31" i="165"/>
  <c r="E31" i="171" s="1"/>
  <c r="M30" i="165"/>
  <c r="M29" i="165" s="1"/>
  <c r="I30" i="165"/>
  <c r="I29" i="165" s="1"/>
  <c r="K28" i="165"/>
  <c r="K28" i="171" s="1"/>
  <c r="E28" i="165"/>
  <c r="O27" i="165"/>
  <c r="F27" i="165"/>
  <c r="F27" i="171" s="1"/>
  <c r="O26" i="165"/>
  <c r="F26" i="165"/>
  <c r="F26" i="171" s="1"/>
  <c r="J25" i="165"/>
  <c r="E25" i="165"/>
  <c r="E25" i="171" s="1"/>
  <c r="E23" i="165"/>
  <c r="E23" i="171" s="1"/>
  <c r="O22" i="165"/>
  <c r="O22" i="171" s="1"/>
  <c r="E22" i="165"/>
  <c r="K21" i="165"/>
  <c r="K21" i="171" s="1"/>
  <c r="F21" i="165"/>
  <c r="F21" i="171" s="1"/>
  <c r="O19" i="165"/>
  <c r="F19" i="165"/>
  <c r="H17" i="165"/>
  <c r="E18" i="165"/>
  <c r="N17" i="165"/>
  <c r="N16" i="165" s="1"/>
  <c r="M17" i="165"/>
  <c r="M16" i="165" s="1"/>
  <c r="I17" i="165"/>
  <c r="I16" i="165" s="1"/>
  <c r="G17" i="165"/>
  <c r="G16" i="165" s="1"/>
  <c r="R54" i="171" l="1"/>
  <c r="J23" i="166"/>
  <c r="E22" i="169"/>
  <c r="E22" i="171"/>
  <c r="O27" i="169"/>
  <c r="O27" i="171"/>
  <c r="E37" i="169"/>
  <c r="E37" i="171"/>
  <c r="E45" i="169"/>
  <c r="E45" i="171"/>
  <c r="E54" i="169"/>
  <c r="E54" i="171"/>
  <c r="O58" i="165"/>
  <c r="K58" i="171"/>
  <c r="O62" i="169"/>
  <c r="O62" i="171"/>
  <c r="H67" i="169"/>
  <c r="H57" i="169" s="1"/>
  <c r="H56" i="169" s="1"/>
  <c r="H67" i="171"/>
  <c r="H57" i="171" s="1"/>
  <c r="H56" i="171" s="1"/>
  <c r="R93" i="165"/>
  <c r="K93" i="171"/>
  <c r="E103" i="169"/>
  <c r="E103" i="171"/>
  <c r="O117" i="169"/>
  <c r="O117" i="171"/>
  <c r="O151" i="169"/>
  <c r="O151" i="171"/>
  <c r="O150" i="171" s="1"/>
  <c r="F155" i="165"/>
  <c r="F158" i="171"/>
  <c r="F155" i="171" s="1"/>
  <c r="F154" i="171" s="1"/>
  <c r="O169" i="171"/>
  <c r="J170" i="171"/>
  <c r="J169" i="171" s="1"/>
  <c r="E175" i="169"/>
  <c r="E176" i="171"/>
  <c r="O19" i="169"/>
  <c r="O19" i="171"/>
  <c r="E28" i="169"/>
  <c r="E28" i="171"/>
  <c r="R34" i="165"/>
  <c r="K34" i="171"/>
  <c r="O37" i="169"/>
  <c r="O37" i="171"/>
  <c r="K45" i="169"/>
  <c r="R45" i="169" s="1"/>
  <c r="K45" i="171"/>
  <c r="F59" i="169"/>
  <c r="F59" i="171"/>
  <c r="F57" i="171" s="1"/>
  <c r="F56" i="171" s="1"/>
  <c r="E61" i="169"/>
  <c r="E61" i="171"/>
  <c r="E63" i="169"/>
  <c r="E63" i="171"/>
  <c r="E65" i="169"/>
  <c r="E65" i="171"/>
  <c r="O80" i="169"/>
  <c r="O80" i="171"/>
  <c r="N83" i="169"/>
  <c r="N83" i="171"/>
  <c r="O88" i="169"/>
  <c r="O88" i="171"/>
  <c r="F92" i="165"/>
  <c r="E92" i="165" s="1"/>
  <c r="F94" i="171"/>
  <c r="F92" i="171" s="1"/>
  <c r="O97" i="169"/>
  <c r="O97" i="171"/>
  <c r="E99" i="169"/>
  <c r="E99" i="171"/>
  <c r="K104" i="169"/>
  <c r="K104" i="171"/>
  <c r="O106" i="169"/>
  <c r="O106" i="171"/>
  <c r="K123" i="169"/>
  <c r="K123" i="171"/>
  <c r="K116" i="171" s="1"/>
  <c r="L116" i="165"/>
  <c r="L115" i="165" s="1"/>
  <c r="L131" i="171"/>
  <c r="L116" i="171" s="1"/>
  <c r="H137" i="169"/>
  <c r="H136" i="169" s="1"/>
  <c r="H135" i="169" s="1"/>
  <c r="H137" i="171"/>
  <c r="H136" i="171" s="1"/>
  <c r="H135" i="171" s="1"/>
  <c r="O158" i="169"/>
  <c r="O158" i="171"/>
  <c r="O165" i="169"/>
  <c r="O166" i="171"/>
  <c r="O167" i="169"/>
  <c r="O168" i="171"/>
  <c r="E169" i="171"/>
  <c r="P170" i="171"/>
  <c r="O176" i="169"/>
  <c r="O177" i="171"/>
  <c r="O178" i="169"/>
  <c r="O179" i="171"/>
  <c r="R31" i="165"/>
  <c r="R31" i="171"/>
  <c r="R32" i="171"/>
  <c r="I25" i="167"/>
  <c r="L25" i="167" s="1"/>
  <c r="J25" i="171"/>
  <c r="E80" i="169"/>
  <c r="E80" i="171"/>
  <c r="O110" i="169"/>
  <c r="O110" i="171"/>
  <c r="O114" i="169"/>
  <c r="O114" i="171"/>
  <c r="O127" i="165"/>
  <c r="J127" i="165" s="1"/>
  <c r="K127" i="171"/>
  <c r="O133" i="169"/>
  <c r="O133" i="171"/>
  <c r="L167" i="169"/>
  <c r="L168" i="171"/>
  <c r="F176" i="169"/>
  <c r="F177" i="171"/>
  <c r="E18" i="169"/>
  <c r="E18" i="171"/>
  <c r="R28" i="171"/>
  <c r="E35" i="169"/>
  <c r="E35" i="171"/>
  <c r="O41" i="169"/>
  <c r="O41" i="171"/>
  <c r="E46" i="169"/>
  <c r="E46" i="171"/>
  <c r="E48" i="169"/>
  <c r="E48" i="171"/>
  <c r="F53" i="169"/>
  <c r="F53" i="171"/>
  <c r="E58" i="169"/>
  <c r="E58" i="171"/>
  <c r="O63" i="169"/>
  <c r="O63" i="171"/>
  <c r="O65" i="169"/>
  <c r="O65" i="171"/>
  <c r="E72" i="169"/>
  <c r="E72" i="171"/>
  <c r="E76" i="169"/>
  <c r="E76" i="171"/>
  <c r="E84" i="169"/>
  <c r="E84" i="171"/>
  <c r="O94" i="169"/>
  <c r="O94" i="171"/>
  <c r="O102" i="169"/>
  <c r="O102" i="171"/>
  <c r="E105" i="169"/>
  <c r="E105" i="171"/>
  <c r="O113" i="169"/>
  <c r="O113" i="171"/>
  <c r="E124" i="169"/>
  <c r="E124" i="171"/>
  <c r="O131" i="169"/>
  <c r="O131" i="171"/>
  <c r="H134" i="169"/>
  <c r="H134" i="171"/>
  <c r="O137" i="169"/>
  <c r="O137" i="171"/>
  <c r="K139" i="169"/>
  <c r="K139" i="171"/>
  <c r="K141" i="169"/>
  <c r="K141" i="171"/>
  <c r="O146" i="171"/>
  <c r="E157" i="169"/>
  <c r="E157" i="171"/>
  <c r="L164" i="169"/>
  <c r="L165" i="171"/>
  <c r="E166" i="169"/>
  <c r="E167" i="171"/>
  <c r="H175" i="169"/>
  <c r="H174" i="169" s="1"/>
  <c r="H173" i="169" s="1"/>
  <c r="H176" i="171"/>
  <c r="H175" i="171" s="1"/>
  <c r="H174" i="171" s="1"/>
  <c r="F177" i="169"/>
  <c r="F178" i="171"/>
  <c r="J234" i="166"/>
  <c r="R155" i="171" s="1"/>
  <c r="R156" i="171"/>
  <c r="F19" i="169"/>
  <c r="F19" i="171"/>
  <c r="F17" i="171" s="1"/>
  <c r="E32" i="169"/>
  <c r="E32" i="171"/>
  <c r="N35" i="169"/>
  <c r="N30" i="169" s="1"/>
  <c r="N35" i="171"/>
  <c r="N30" i="171" s="1"/>
  <c r="F44" i="169"/>
  <c r="F44" i="171"/>
  <c r="O64" i="169"/>
  <c r="O64" i="171"/>
  <c r="N66" i="169"/>
  <c r="N66" i="171"/>
  <c r="N57" i="171" s="1"/>
  <c r="N56" i="171" s="1"/>
  <c r="G83" i="169"/>
  <c r="G83" i="171"/>
  <c r="G102" i="169"/>
  <c r="G101" i="169" s="1"/>
  <c r="G100" i="169" s="1"/>
  <c r="G102" i="171"/>
  <c r="G101" i="171" s="1"/>
  <c r="H104" i="169"/>
  <c r="H104" i="171"/>
  <c r="H101" i="171" s="1"/>
  <c r="E108" i="169"/>
  <c r="E108" i="171"/>
  <c r="E125" i="169"/>
  <c r="E125" i="171"/>
  <c r="O129" i="169"/>
  <c r="O129" i="171"/>
  <c r="K142" i="169"/>
  <c r="K142" i="171"/>
  <c r="E153" i="169"/>
  <c r="E153" i="171"/>
  <c r="E165" i="169"/>
  <c r="E166" i="171"/>
  <c r="O26" i="169"/>
  <c r="O26" i="171"/>
  <c r="R21" i="171"/>
  <c r="K17" i="171"/>
  <c r="O31" i="169"/>
  <c r="O31" i="171"/>
  <c r="L35" i="169"/>
  <c r="L30" i="169" s="1"/>
  <c r="L35" i="171"/>
  <c r="L30" i="171" s="1"/>
  <c r="O36" i="169"/>
  <c r="O36" i="171"/>
  <c r="O38" i="169"/>
  <c r="O38" i="171"/>
  <c r="O44" i="169"/>
  <c r="O44" i="171"/>
  <c r="O51" i="169"/>
  <c r="O51" i="171"/>
  <c r="E64" i="169"/>
  <c r="E64" i="171"/>
  <c r="G67" i="169"/>
  <c r="G67" i="171"/>
  <c r="G57" i="171" s="1"/>
  <c r="G56" i="171" s="1"/>
  <c r="O68" i="169"/>
  <c r="O68" i="171"/>
  <c r="E83" i="169"/>
  <c r="E83" i="171"/>
  <c r="E95" i="169"/>
  <c r="E95" i="171"/>
  <c r="F102" i="169"/>
  <c r="F102" i="171"/>
  <c r="F101" i="171" s="1"/>
  <c r="F100" i="171" s="1"/>
  <c r="E104" i="169"/>
  <c r="E104" i="171"/>
  <c r="O107" i="169"/>
  <c r="O107" i="171"/>
  <c r="E114" i="169"/>
  <c r="E114" i="171"/>
  <c r="H117" i="169"/>
  <c r="H117" i="171"/>
  <c r="H116" i="171" s="1"/>
  <c r="H115" i="171" s="1"/>
  <c r="O134" i="169"/>
  <c r="O134" i="171"/>
  <c r="E145" i="171"/>
  <c r="O155" i="171"/>
  <c r="E163" i="169"/>
  <c r="E164" i="171"/>
  <c r="O164" i="169"/>
  <c r="O165" i="171"/>
  <c r="O162" i="171" s="1"/>
  <c r="O161" i="171" s="1"/>
  <c r="O166" i="169"/>
  <c r="O167" i="171"/>
  <c r="O177" i="169"/>
  <c r="O178" i="171"/>
  <c r="O175" i="171" s="1"/>
  <c r="R18" i="171"/>
  <c r="G202" i="167"/>
  <c r="H198" i="167"/>
  <c r="J51" i="165"/>
  <c r="E53" i="165"/>
  <c r="K199" i="167"/>
  <c r="G199" i="167"/>
  <c r="I198" i="167"/>
  <c r="O93" i="165"/>
  <c r="K92" i="165"/>
  <c r="E102" i="165"/>
  <c r="J102" i="165"/>
  <c r="J118" i="166"/>
  <c r="J117" i="166" s="1"/>
  <c r="R101" i="168" s="1"/>
  <c r="J26" i="165"/>
  <c r="J37" i="165"/>
  <c r="J64" i="165"/>
  <c r="J64" i="171" s="1"/>
  <c r="J68" i="165"/>
  <c r="F174" i="169"/>
  <c r="F173" i="169" s="1"/>
  <c r="O139" i="165"/>
  <c r="J41" i="165"/>
  <c r="J152" i="165"/>
  <c r="J152" i="169" s="1"/>
  <c r="J111" i="165"/>
  <c r="P111" i="165" s="1"/>
  <c r="P111" i="169" s="1"/>
  <c r="G169" i="167"/>
  <c r="L30" i="165"/>
  <c r="L29" i="165" s="1"/>
  <c r="E47" i="165"/>
  <c r="J166" i="165"/>
  <c r="E177" i="165"/>
  <c r="J178" i="165"/>
  <c r="J192" i="167"/>
  <c r="J191" i="167" s="1"/>
  <c r="J207" i="167"/>
  <c r="J206" i="167" s="1"/>
  <c r="M206" i="167" s="1"/>
  <c r="J62" i="165"/>
  <c r="J107" i="165"/>
  <c r="J114" i="165"/>
  <c r="J129" i="165"/>
  <c r="J158" i="165"/>
  <c r="O162" i="165"/>
  <c r="O161" i="165" s="1"/>
  <c r="J12" i="166"/>
  <c r="R18" i="165"/>
  <c r="O34" i="165"/>
  <c r="R59" i="165"/>
  <c r="J97" i="165"/>
  <c r="O141" i="165"/>
  <c r="R32" i="168"/>
  <c r="K28" i="167"/>
  <c r="R83" i="168"/>
  <c r="N29" i="169"/>
  <c r="J49" i="165"/>
  <c r="O49" i="169"/>
  <c r="P55" i="165"/>
  <c r="J60" i="165"/>
  <c r="O60" i="169"/>
  <c r="H108" i="167"/>
  <c r="K108" i="167" s="1"/>
  <c r="E88" i="169"/>
  <c r="J96" i="165"/>
  <c r="O96" i="169"/>
  <c r="J103" i="165"/>
  <c r="O103" i="169"/>
  <c r="J130" i="165"/>
  <c r="J130" i="171" s="1"/>
  <c r="O130" i="169"/>
  <c r="H177" i="167"/>
  <c r="E133" i="169"/>
  <c r="J147" i="165"/>
  <c r="O147" i="169"/>
  <c r="H170" i="165"/>
  <c r="H169" i="165" s="1"/>
  <c r="H170" i="169"/>
  <c r="H169" i="169" s="1"/>
  <c r="H168" i="169" s="1"/>
  <c r="R150" i="168"/>
  <c r="R150" i="169"/>
  <c r="E19" i="165"/>
  <c r="E21" i="165"/>
  <c r="E21" i="171" s="1"/>
  <c r="F21" i="169"/>
  <c r="J22" i="165"/>
  <c r="O22" i="169"/>
  <c r="E26" i="165"/>
  <c r="F26" i="169"/>
  <c r="J27" i="165"/>
  <c r="J27" i="171" s="1"/>
  <c r="J33" i="165"/>
  <c r="O33" i="169"/>
  <c r="J35" i="165"/>
  <c r="O35" i="169"/>
  <c r="J38" i="165"/>
  <c r="J38" i="171" s="1"/>
  <c r="G29" i="169"/>
  <c r="H51" i="167"/>
  <c r="E41" i="169"/>
  <c r="G43" i="165"/>
  <c r="G42" i="165" s="1"/>
  <c r="G44" i="169"/>
  <c r="G43" i="169" s="1"/>
  <c r="G42" i="169" s="1"/>
  <c r="I57" i="167"/>
  <c r="J46" i="169"/>
  <c r="E50" i="165"/>
  <c r="F50" i="169"/>
  <c r="N57" i="165"/>
  <c r="N56" i="165" s="1"/>
  <c r="O59" i="165"/>
  <c r="O59" i="171" s="1"/>
  <c r="J65" i="165"/>
  <c r="J65" i="171" s="1"/>
  <c r="J66" i="165"/>
  <c r="J66" i="171" s="1"/>
  <c r="O66" i="169"/>
  <c r="J67" i="165"/>
  <c r="J67" i="171" s="1"/>
  <c r="O67" i="169"/>
  <c r="J70" i="165"/>
  <c r="J70" i="171" s="1"/>
  <c r="O70" i="169"/>
  <c r="J72" i="165"/>
  <c r="J72" i="171" s="1"/>
  <c r="O72" i="169"/>
  <c r="J76" i="165"/>
  <c r="J76" i="171" s="1"/>
  <c r="O76" i="169"/>
  <c r="H105" i="167"/>
  <c r="E85" i="169"/>
  <c r="J88" i="165"/>
  <c r="P90" i="165"/>
  <c r="J113" i="167"/>
  <c r="K93" i="169"/>
  <c r="J94" i="165"/>
  <c r="J94" i="171" s="1"/>
  <c r="H120" i="167"/>
  <c r="E97" i="169"/>
  <c r="H122" i="167"/>
  <c r="E98" i="169"/>
  <c r="R104" i="165"/>
  <c r="J106" i="165"/>
  <c r="J106" i="171" s="1"/>
  <c r="H141" i="167"/>
  <c r="E111" i="169"/>
  <c r="J112" i="165"/>
  <c r="O112" i="169"/>
  <c r="H150" i="167"/>
  <c r="E118" i="169"/>
  <c r="J119" i="165"/>
  <c r="O119" i="169"/>
  <c r="E121" i="165"/>
  <c r="E121" i="171" s="1"/>
  <c r="F121" i="169"/>
  <c r="J124" i="165"/>
  <c r="J124" i="171" s="1"/>
  <c r="O124" i="169"/>
  <c r="H167" i="167"/>
  <c r="E127" i="169"/>
  <c r="H168" i="167"/>
  <c r="E128" i="169"/>
  <c r="H175" i="167"/>
  <c r="E131" i="169"/>
  <c r="J133" i="165"/>
  <c r="J133" i="171" s="1"/>
  <c r="J134" i="165"/>
  <c r="K136" i="169"/>
  <c r="H184" i="167"/>
  <c r="E141" i="169"/>
  <c r="H185" i="167"/>
  <c r="E142" i="169"/>
  <c r="E143" i="169"/>
  <c r="E146" i="165"/>
  <c r="E145" i="165" s="1"/>
  <c r="E147" i="169"/>
  <c r="H190" i="167"/>
  <c r="E148" i="169"/>
  <c r="E152" i="165"/>
  <c r="E152" i="169" s="1"/>
  <c r="F152" i="169"/>
  <c r="F150" i="169" s="1"/>
  <c r="F149" i="169" s="1"/>
  <c r="J153" i="165"/>
  <c r="O153" i="169"/>
  <c r="O150" i="169" s="1"/>
  <c r="E158" i="165"/>
  <c r="F158" i="169"/>
  <c r="F155" i="169" s="1"/>
  <c r="F154" i="169" s="1"/>
  <c r="J159" i="165"/>
  <c r="J159" i="171" s="1"/>
  <c r="O159" i="169"/>
  <c r="H209" i="167"/>
  <c r="E164" i="169"/>
  <c r="J167" i="165"/>
  <c r="J171" i="165"/>
  <c r="O170" i="169"/>
  <c r="J173" i="165"/>
  <c r="O172" i="169"/>
  <c r="J176" i="165"/>
  <c r="O175" i="169"/>
  <c r="J179" i="165"/>
  <c r="R54" i="168"/>
  <c r="R54" i="169"/>
  <c r="E27" i="165"/>
  <c r="F27" i="169"/>
  <c r="I70" i="167"/>
  <c r="R58" i="165"/>
  <c r="K58" i="169"/>
  <c r="J86" i="165"/>
  <c r="O86" i="169"/>
  <c r="J95" i="165"/>
  <c r="O95" i="169"/>
  <c r="J99" i="165"/>
  <c r="O99" i="169"/>
  <c r="H159" i="167"/>
  <c r="E123" i="169"/>
  <c r="H166" i="167"/>
  <c r="E126" i="169"/>
  <c r="H182" i="167"/>
  <c r="E139" i="169"/>
  <c r="J157" i="165"/>
  <c r="J157" i="171" s="1"/>
  <c r="O157" i="169"/>
  <c r="J164" i="165"/>
  <c r="J164" i="171" s="1"/>
  <c r="O163" i="169"/>
  <c r="H217" i="167"/>
  <c r="E172" i="169"/>
  <c r="H23" i="167"/>
  <c r="K23" i="167" s="1"/>
  <c r="E23" i="169"/>
  <c r="N30" i="165"/>
  <c r="N29" i="165" s="1"/>
  <c r="J48" i="165"/>
  <c r="O48" i="169"/>
  <c r="J50" i="165"/>
  <c r="J50" i="171" s="1"/>
  <c r="O50" i="169"/>
  <c r="H72" i="167"/>
  <c r="E52" i="169"/>
  <c r="J53" i="165"/>
  <c r="J53" i="171" s="1"/>
  <c r="O53" i="169"/>
  <c r="J61" i="165"/>
  <c r="O61" i="169"/>
  <c r="J64" i="169"/>
  <c r="E67" i="169"/>
  <c r="H91" i="167"/>
  <c r="E69" i="165"/>
  <c r="E69" i="171" s="1"/>
  <c r="F69" i="169"/>
  <c r="H98" i="167"/>
  <c r="E71" i="169"/>
  <c r="E73" i="169"/>
  <c r="J84" i="165"/>
  <c r="J84" i="171" s="1"/>
  <c r="O84" i="169"/>
  <c r="R85" i="165"/>
  <c r="K85" i="169"/>
  <c r="R85" i="169" s="1"/>
  <c r="H107" i="167"/>
  <c r="E87" i="169"/>
  <c r="H113" i="167"/>
  <c r="E93" i="169"/>
  <c r="E96" i="169"/>
  <c r="I120" i="167"/>
  <c r="G120" i="167" s="1"/>
  <c r="J98" i="165"/>
  <c r="O98" i="169"/>
  <c r="E110" i="165"/>
  <c r="F110" i="169"/>
  <c r="E113" i="165"/>
  <c r="F113" i="169"/>
  <c r="H116" i="169"/>
  <c r="H115" i="169" s="1"/>
  <c r="J118" i="165"/>
  <c r="O118" i="169"/>
  <c r="H156" i="167"/>
  <c r="E120" i="169"/>
  <c r="J121" i="165"/>
  <c r="O121" i="169"/>
  <c r="H173" i="167"/>
  <c r="E130" i="169"/>
  <c r="J131" i="165"/>
  <c r="J131" i="171" s="1"/>
  <c r="L131" i="169"/>
  <c r="L116" i="169" s="1"/>
  <c r="H136" i="165"/>
  <c r="H135" i="165" s="1"/>
  <c r="H181" i="167"/>
  <c r="E138" i="169"/>
  <c r="G146" i="165"/>
  <c r="G145" i="165" s="1"/>
  <c r="G147" i="169"/>
  <c r="G146" i="169" s="1"/>
  <c r="G145" i="169" s="1"/>
  <c r="J148" i="165"/>
  <c r="J148" i="171" s="1"/>
  <c r="O148" i="169"/>
  <c r="L162" i="165"/>
  <c r="L161" i="165" s="1"/>
  <c r="J163" i="165"/>
  <c r="O162" i="169"/>
  <c r="J165" i="165"/>
  <c r="J165" i="171" s="1"/>
  <c r="E170" i="169"/>
  <c r="H216" i="167"/>
  <c r="E171" i="169"/>
  <c r="R31" i="169"/>
  <c r="K97" i="166"/>
  <c r="R83" i="169"/>
  <c r="K124" i="166"/>
  <c r="R108" i="169"/>
  <c r="R156" i="168"/>
  <c r="R156" i="169"/>
  <c r="H186" i="167"/>
  <c r="O18" i="165"/>
  <c r="O18" i="171" s="1"/>
  <c r="K18" i="169"/>
  <c r="R28" i="165"/>
  <c r="K28" i="169"/>
  <c r="R28" i="169" s="1"/>
  <c r="E38" i="165"/>
  <c r="F38" i="169"/>
  <c r="F30" i="169" s="1"/>
  <c r="F29" i="169" s="1"/>
  <c r="J40" i="165"/>
  <c r="O40" i="169"/>
  <c r="J47" i="165"/>
  <c r="J47" i="171" s="1"/>
  <c r="O47" i="169"/>
  <c r="J83" i="167"/>
  <c r="K59" i="169"/>
  <c r="R59" i="169" s="1"/>
  <c r="H96" i="167"/>
  <c r="E70" i="169"/>
  <c r="E94" i="165"/>
  <c r="F94" i="169"/>
  <c r="F92" i="169" s="1"/>
  <c r="R104" i="169"/>
  <c r="K101" i="169"/>
  <c r="E106" i="165"/>
  <c r="F106" i="169"/>
  <c r="J109" i="165"/>
  <c r="J109" i="171" s="1"/>
  <c r="O109" i="169"/>
  <c r="H142" i="167"/>
  <c r="E112" i="169"/>
  <c r="J140" i="165"/>
  <c r="O140" i="169"/>
  <c r="H187" i="167"/>
  <c r="E144" i="169"/>
  <c r="E178" i="169"/>
  <c r="R32" i="165"/>
  <c r="R32" i="169"/>
  <c r="R169" i="168"/>
  <c r="R169" i="169"/>
  <c r="J21" i="167"/>
  <c r="M21" i="167" s="1"/>
  <c r="K21" i="169"/>
  <c r="R21" i="169" s="1"/>
  <c r="F30" i="165"/>
  <c r="F29" i="165" s="1"/>
  <c r="H42" i="167"/>
  <c r="E34" i="169"/>
  <c r="H45" i="167"/>
  <c r="E36" i="169"/>
  <c r="J39" i="165"/>
  <c r="J39" i="171" s="1"/>
  <c r="O39" i="169"/>
  <c r="F43" i="165"/>
  <c r="F42" i="165" s="1"/>
  <c r="H43" i="165"/>
  <c r="H42" i="165" s="1"/>
  <c r="H44" i="169"/>
  <c r="H43" i="169" s="1"/>
  <c r="H42" i="169" s="1"/>
  <c r="K17" i="165"/>
  <c r="K16" i="165" s="1"/>
  <c r="J19" i="165"/>
  <c r="J19" i="171" s="1"/>
  <c r="R21" i="165"/>
  <c r="H36" i="167"/>
  <c r="E31" i="169"/>
  <c r="H40" i="167"/>
  <c r="E33" i="169"/>
  <c r="J42" i="167"/>
  <c r="K34" i="169"/>
  <c r="L29" i="169"/>
  <c r="J36" i="165"/>
  <c r="E39" i="165"/>
  <c r="H50" i="167"/>
  <c r="E40" i="169"/>
  <c r="E44" i="165"/>
  <c r="E44" i="171" s="1"/>
  <c r="J44" i="165"/>
  <c r="K43" i="169"/>
  <c r="H65" i="167"/>
  <c r="E49" i="169"/>
  <c r="E51" i="165"/>
  <c r="F51" i="169"/>
  <c r="J52" i="165"/>
  <c r="O52" i="169"/>
  <c r="G57" i="165"/>
  <c r="G56" i="165" s="1"/>
  <c r="G58" i="169"/>
  <c r="G57" i="169" s="1"/>
  <c r="G56" i="169" s="1"/>
  <c r="H84" i="167"/>
  <c r="E60" i="169"/>
  <c r="H86" i="167"/>
  <c r="E62" i="169"/>
  <c r="J63" i="165"/>
  <c r="J63" i="171" s="1"/>
  <c r="H90" i="167"/>
  <c r="E66" i="169"/>
  <c r="E68" i="165"/>
  <c r="E68" i="171" s="1"/>
  <c r="F68" i="169"/>
  <c r="J69" i="165"/>
  <c r="O69" i="169"/>
  <c r="J71" i="165"/>
  <c r="O71" i="169"/>
  <c r="J73" i="165"/>
  <c r="O73" i="169"/>
  <c r="J80" i="165"/>
  <c r="H106" i="167"/>
  <c r="E86" i="169"/>
  <c r="J87" i="165"/>
  <c r="O87" i="169"/>
  <c r="J118" i="167"/>
  <c r="K96" i="169"/>
  <c r="R96" i="169" s="1"/>
  <c r="G101" i="165"/>
  <c r="G100" i="165" s="1"/>
  <c r="H101" i="165"/>
  <c r="H100" i="165" s="1"/>
  <c r="H102" i="169"/>
  <c r="H101" i="169" s="1"/>
  <c r="J105" i="165"/>
  <c r="O105" i="169"/>
  <c r="H136" i="167"/>
  <c r="E107" i="169"/>
  <c r="I137" i="167"/>
  <c r="J108" i="169"/>
  <c r="J110" i="165"/>
  <c r="J110" i="171" s="1"/>
  <c r="J113" i="165"/>
  <c r="J113" i="171" s="1"/>
  <c r="H151" i="167"/>
  <c r="E119" i="169"/>
  <c r="J120" i="165"/>
  <c r="J120" i="171" s="1"/>
  <c r="O120" i="169"/>
  <c r="H158" i="167"/>
  <c r="E122" i="169"/>
  <c r="O123" i="165"/>
  <c r="O123" i="171" s="1"/>
  <c r="J167" i="167"/>
  <c r="K127" i="169"/>
  <c r="K116" i="169" s="1"/>
  <c r="E129" i="165"/>
  <c r="F129" i="169"/>
  <c r="H178" i="167"/>
  <c r="E134" i="169"/>
  <c r="J138" i="165"/>
  <c r="O138" i="169"/>
  <c r="H183" i="167"/>
  <c r="E140" i="169"/>
  <c r="O142" i="165"/>
  <c r="O142" i="171" s="1"/>
  <c r="O143" i="165"/>
  <c r="O143" i="171" s="1"/>
  <c r="H146" i="165"/>
  <c r="H145" i="165" s="1"/>
  <c r="H147" i="169"/>
  <c r="H146" i="169" s="1"/>
  <c r="H145" i="169" s="1"/>
  <c r="L161" i="169"/>
  <c r="J168" i="165"/>
  <c r="E170" i="165"/>
  <c r="E169" i="165" s="1"/>
  <c r="J172" i="165"/>
  <c r="O171" i="169"/>
  <c r="R146" i="168"/>
  <c r="R146" i="169"/>
  <c r="R170" i="165"/>
  <c r="G79" i="167"/>
  <c r="J159" i="167"/>
  <c r="K200" i="167"/>
  <c r="H102" i="167"/>
  <c r="H116" i="167"/>
  <c r="H118" i="167"/>
  <c r="G39" i="167"/>
  <c r="G117" i="167"/>
  <c r="G138" i="167"/>
  <c r="J214" i="167"/>
  <c r="J213" i="167" s="1"/>
  <c r="M213" i="167" s="1"/>
  <c r="R33" i="165"/>
  <c r="R83" i="165"/>
  <c r="R31" i="168"/>
  <c r="J107" i="166"/>
  <c r="I111" i="166"/>
  <c r="K114" i="166"/>
  <c r="R159" i="165"/>
  <c r="R18" i="168"/>
  <c r="K58" i="166"/>
  <c r="R34" i="168"/>
  <c r="K104" i="166"/>
  <c r="R87" i="168"/>
  <c r="R146" i="165"/>
  <c r="K99" i="166"/>
  <c r="R150" i="165"/>
  <c r="R156" i="165"/>
  <c r="J67" i="166"/>
  <c r="J66" i="166" s="1"/>
  <c r="R43" i="168" s="1"/>
  <c r="R45" i="168"/>
  <c r="R108" i="168"/>
  <c r="R155" i="169"/>
  <c r="I197" i="167"/>
  <c r="H57" i="167"/>
  <c r="P46" i="165"/>
  <c r="H44" i="167"/>
  <c r="H46" i="167"/>
  <c r="E151" i="165"/>
  <c r="F150" i="165"/>
  <c r="F149" i="165" s="1"/>
  <c r="H195" i="167"/>
  <c r="J31" i="165"/>
  <c r="J54" i="167"/>
  <c r="R45" i="165"/>
  <c r="K43" i="165"/>
  <c r="H100" i="167"/>
  <c r="K91" i="165"/>
  <c r="H146" i="167"/>
  <c r="L149" i="165"/>
  <c r="Q182" i="165"/>
  <c r="J23" i="165"/>
  <c r="J23" i="171" s="1"/>
  <c r="L17" i="165"/>
  <c r="H87" i="167"/>
  <c r="J105" i="167"/>
  <c r="O85" i="165"/>
  <c r="O85" i="171" s="1"/>
  <c r="P41" i="165"/>
  <c r="H62" i="167"/>
  <c r="F17" i="165"/>
  <c r="H25" i="167"/>
  <c r="P25" i="165"/>
  <c r="P25" i="171" s="1"/>
  <c r="G30" i="165"/>
  <c r="G29" i="165" s="1"/>
  <c r="J37" i="167"/>
  <c r="K30" i="165"/>
  <c r="O45" i="165"/>
  <c r="H57" i="165"/>
  <c r="H56" i="165" s="1"/>
  <c r="E59" i="165"/>
  <c r="F57" i="165"/>
  <c r="F56" i="165" s="1"/>
  <c r="H134" i="167"/>
  <c r="H161" i="167"/>
  <c r="P124" i="165"/>
  <c r="G16" i="167"/>
  <c r="P26" i="165"/>
  <c r="I129" i="167"/>
  <c r="H16" i="165"/>
  <c r="O28" i="165"/>
  <c r="O28" i="171" s="1"/>
  <c r="H30" i="165"/>
  <c r="H29" i="165" s="1"/>
  <c r="H37" i="167"/>
  <c r="O32" i="165"/>
  <c r="O32" i="171" s="1"/>
  <c r="H54" i="167"/>
  <c r="P70" i="165"/>
  <c r="H99" i="167"/>
  <c r="P72" i="165"/>
  <c r="E109" i="165"/>
  <c r="E109" i="171" s="1"/>
  <c r="F101" i="165"/>
  <c r="F100" i="165" s="1"/>
  <c r="K154" i="165"/>
  <c r="E159" i="165"/>
  <c r="E159" i="171" s="1"/>
  <c r="F154" i="165"/>
  <c r="H211" i="167"/>
  <c r="J100" i="167"/>
  <c r="O83" i="165"/>
  <c r="O83" i="171" s="1"/>
  <c r="H124" i="167"/>
  <c r="K101" i="165"/>
  <c r="J132" i="167"/>
  <c r="O104" i="165"/>
  <c r="O104" i="171" s="1"/>
  <c r="H137" i="167"/>
  <c r="P108" i="165"/>
  <c r="J117" i="165"/>
  <c r="J158" i="167"/>
  <c r="K116" i="165"/>
  <c r="R116" i="165" s="1"/>
  <c r="O122" i="165"/>
  <c r="O122" i="171" s="1"/>
  <c r="O125" i="165"/>
  <c r="O125" i="171" s="1"/>
  <c r="O128" i="165"/>
  <c r="O128" i="171" s="1"/>
  <c r="E137" i="165"/>
  <c r="F136" i="165"/>
  <c r="F135" i="165" s="1"/>
  <c r="J187" i="167"/>
  <c r="O144" i="165"/>
  <c r="O144" i="171" s="1"/>
  <c r="H189" i="167"/>
  <c r="H188" i="167" s="1"/>
  <c r="E163" i="165"/>
  <c r="F162" i="165"/>
  <c r="F161" i="165" s="1"/>
  <c r="H208" i="167"/>
  <c r="J177" i="165"/>
  <c r="O175" i="165"/>
  <c r="O174" i="165" s="1"/>
  <c r="G28" i="167"/>
  <c r="H132" i="167"/>
  <c r="J137" i="167"/>
  <c r="R108" i="165"/>
  <c r="J166" i="167"/>
  <c r="O126" i="165"/>
  <c r="O126" i="171" s="1"/>
  <c r="J137" i="165"/>
  <c r="H210" i="167"/>
  <c r="R54" i="165"/>
  <c r="J76" i="167"/>
  <c r="H85" i="167"/>
  <c r="H89" i="167"/>
  <c r="I180" i="165"/>
  <c r="I189" i="165" s="1"/>
  <c r="M180" i="165"/>
  <c r="O21" i="165"/>
  <c r="O21" i="171" s="1"/>
  <c r="O54" i="165"/>
  <c r="O54" i="171" s="1"/>
  <c r="J58" i="165"/>
  <c r="J58" i="171" s="1"/>
  <c r="H88" i="167"/>
  <c r="P64" i="165"/>
  <c r="J107" i="167"/>
  <c r="R87" i="165"/>
  <c r="H130" i="167"/>
  <c r="E117" i="165"/>
  <c r="E117" i="171" s="1"/>
  <c r="F116" i="165"/>
  <c r="F115" i="165" s="1"/>
  <c r="H163" i="167"/>
  <c r="J182" i="167"/>
  <c r="K136" i="165"/>
  <c r="R136" i="165" s="1"/>
  <c r="J151" i="165"/>
  <c r="O150" i="165"/>
  <c r="O149" i="165" s="1"/>
  <c r="P157" i="165"/>
  <c r="K57" i="165"/>
  <c r="R67" i="165"/>
  <c r="G110" i="167"/>
  <c r="R96" i="165"/>
  <c r="P133" i="165"/>
  <c r="O146" i="165"/>
  <c r="O156" i="165"/>
  <c r="O155" i="165" s="1"/>
  <c r="O170" i="165"/>
  <c r="F175" i="165"/>
  <c r="F174" i="165" s="1"/>
  <c r="E178" i="165"/>
  <c r="J79" i="166"/>
  <c r="G18" i="167"/>
  <c r="M28" i="167"/>
  <c r="G82" i="167"/>
  <c r="H197" i="167"/>
  <c r="M199" i="167"/>
  <c r="J197" i="167"/>
  <c r="M197" i="167" s="1"/>
  <c r="P67" i="165" l="1"/>
  <c r="I88" i="167"/>
  <c r="O174" i="169"/>
  <c r="L162" i="171"/>
  <c r="N57" i="169"/>
  <c r="N56" i="169" s="1"/>
  <c r="H100" i="171"/>
  <c r="H180" i="171"/>
  <c r="H189" i="171" s="1"/>
  <c r="P127" i="165"/>
  <c r="J127" i="171"/>
  <c r="E177" i="169"/>
  <c r="E178" i="171"/>
  <c r="P70" i="169"/>
  <c r="P70" i="171"/>
  <c r="P26" i="169"/>
  <c r="P26" i="171"/>
  <c r="J138" i="169"/>
  <c r="J138" i="171"/>
  <c r="J40" i="169"/>
  <c r="J40" i="171"/>
  <c r="J171" i="169"/>
  <c r="J172" i="171"/>
  <c r="P105" i="165"/>
  <c r="J105" i="171"/>
  <c r="J73" i="169"/>
  <c r="J73" i="171"/>
  <c r="J69" i="169"/>
  <c r="J69" i="171"/>
  <c r="J44" i="169"/>
  <c r="J44" i="171"/>
  <c r="E39" i="169"/>
  <c r="E39" i="171"/>
  <c r="J162" i="169"/>
  <c r="J163" i="171"/>
  <c r="E110" i="169"/>
  <c r="E110" i="171"/>
  <c r="P61" i="165"/>
  <c r="J61" i="171"/>
  <c r="P48" i="165"/>
  <c r="J48" i="171"/>
  <c r="P167" i="165"/>
  <c r="J167" i="171"/>
  <c r="P153" i="165"/>
  <c r="J153" i="171"/>
  <c r="E50" i="169"/>
  <c r="E50" i="171"/>
  <c r="P33" i="165"/>
  <c r="J33" i="171"/>
  <c r="E19" i="169"/>
  <c r="E19" i="171"/>
  <c r="J103" i="169"/>
  <c r="J103" i="171"/>
  <c r="P114" i="165"/>
  <c r="J114" i="171"/>
  <c r="E47" i="169"/>
  <c r="E47" i="171"/>
  <c r="J68" i="169"/>
  <c r="J68" i="171"/>
  <c r="O93" i="169"/>
  <c r="O93" i="171"/>
  <c r="O92" i="171" s="1"/>
  <c r="H74" i="167"/>
  <c r="E53" i="171"/>
  <c r="F175" i="171"/>
  <c r="F174" i="171" s="1"/>
  <c r="O58" i="169"/>
  <c r="O58" i="171"/>
  <c r="O57" i="171" s="1"/>
  <c r="J151" i="169"/>
  <c r="J151" i="171"/>
  <c r="E129" i="169"/>
  <c r="E129" i="171"/>
  <c r="E51" i="169"/>
  <c r="E51" i="171"/>
  <c r="E106" i="169"/>
  <c r="E106" i="171"/>
  <c r="J95" i="169"/>
  <c r="J95" i="171"/>
  <c r="J175" i="169"/>
  <c r="J176" i="171"/>
  <c r="P88" i="165"/>
  <c r="P88" i="171" s="1"/>
  <c r="Q88" i="171" s="1"/>
  <c r="J88" i="171"/>
  <c r="E26" i="169"/>
  <c r="E26" i="171"/>
  <c r="J97" i="169"/>
  <c r="J97" i="171"/>
  <c r="J129" i="169"/>
  <c r="J129" i="171"/>
  <c r="J165" i="169"/>
  <c r="J166" i="171"/>
  <c r="I26" i="167"/>
  <c r="L26" i="167" s="1"/>
  <c r="J26" i="171"/>
  <c r="J175" i="171"/>
  <c r="J174" i="171" s="1"/>
  <c r="O174" i="171"/>
  <c r="L29" i="171"/>
  <c r="L180" i="171"/>
  <c r="R17" i="171"/>
  <c r="K16" i="171"/>
  <c r="N29" i="171"/>
  <c r="N180" i="171"/>
  <c r="O101" i="171"/>
  <c r="R116" i="171"/>
  <c r="K115" i="171"/>
  <c r="K101" i="171"/>
  <c r="R104" i="171"/>
  <c r="P133" i="169"/>
  <c r="P133" i="171"/>
  <c r="E116" i="171"/>
  <c r="P64" i="169"/>
  <c r="P64" i="171"/>
  <c r="J137" i="169"/>
  <c r="J137" i="171"/>
  <c r="F91" i="165"/>
  <c r="P157" i="169"/>
  <c r="P157" i="171"/>
  <c r="P72" i="169"/>
  <c r="P72" i="171"/>
  <c r="P99" i="165"/>
  <c r="J99" i="171"/>
  <c r="P86" i="165"/>
  <c r="J86" i="171"/>
  <c r="J178" i="169"/>
  <c r="J179" i="171"/>
  <c r="P173" i="165"/>
  <c r="J173" i="171"/>
  <c r="P134" i="165"/>
  <c r="J134" i="171"/>
  <c r="J22" i="169"/>
  <c r="J22" i="171"/>
  <c r="J49" i="169"/>
  <c r="J49" i="171"/>
  <c r="I136" i="167"/>
  <c r="J107" i="171"/>
  <c r="J177" i="169"/>
  <c r="J178" i="171"/>
  <c r="J41" i="169"/>
  <c r="J41" i="171"/>
  <c r="J102" i="169"/>
  <c r="J102" i="171"/>
  <c r="J51" i="169"/>
  <c r="J51" i="171"/>
  <c r="G100" i="171"/>
  <c r="G180" i="171"/>
  <c r="F43" i="171"/>
  <c r="F42" i="171" s="1"/>
  <c r="L161" i="171"/>
  <c r="J162" i="171"/>
  <c r="J161" i="171" s="1"/>
  <c r="K136" i="171"/>
  <c r="L115" i="171"/>
  <c r="R93" i="171"/>
  <c r="K92" i="171"/>
  <c r="E162" i="169"/>
  <c r="E163" i="171"/>
  <c r="E162" i="171" s="1"/>
  <c r="P108" i="169"/>
  <c r="P108" i="171"/>
  <c r="E59" i="169"/>
  <c r="E59" i="171"/>
  <c r="E57" i="171" s="1"/>
  <c r="P46" i="169"/>
  <c r="P46" i="171"/>
  <c r="P87" i="165"/>
  <c r="J87" i="171"/>
  <c r="E94" i="169"/>
  <c r="E94" i="171"/>
  <c r="J121" i="169"/>
  <c r="J121" i="171"/>
  <c r="J118" i="169"/>
  <c r="J118" i="171"/>
  <c r="J170" i="169"/>
  <c r="J171" i="171"/>
  <c r="F16" i="171"/>
  <c r="O127" i="169"/>
  <c r="O127" i="171"/>
  <c r="O116" i="171" s="1"/>
  <c r="P169" i="171"/>
  <c r="J150" i="171"/>
  <c r="J149" i="171" s="1"/>
  <c r="O149" i="171"/>
  <c r="K57" i="171"/>
  <c r="R58" i="171"/>
  <c r="J176" i="169"/>
  <c r="J177" i="171"/>
  <c r="E137" i="169"/>
  <c r="E137" i="171"/>
  <c r="E136" i="171" s="1"/>
  <c r="E151" i="169"/>
  <c r="E151" i="171"/>
  <c r="E150" i="171" s="1"/>
  <c r="P124" i="169"/>
  <c r="P124" i="171"/>
  <c r="O45" i="169"/>
  <c r="O45" i="171"/>
  <c r="O43" i="171" s="1"/>
  <c r="P41" i="169"/>
  <c r="P41" i="171"/>
  <c r="P66" i="165"/>
  <c r="J31" i="169"/>
  <c r="J31" i="171"/>
  <c r="P52" i="165"/>
  <c r="J52" i="171"/>
  <c r="E43" i="171"/>
  <c r="J36" i="169"/>
  <c r="J36" i="171"/>
  <c r="P140" i="165"/>
  <c r="J140" i="171"/>
  <c r="E38" i="169"/>
  <c r="E38" i="171"/>
  <c r="E30" i="171" s="1"/>
  <c r="O17" i="171"/>
  <c r="P97" i="165"/>
  <c r="J117" i="169"/>
  <c r="J117" i="171"/>
  <c r="P106" i="165"/>
  <c r="R92" i="165"/>
  <c r="J167" i="169"/>
  <c r="J168" i="171"/>
  <c r="J80" i="169"/>
  <c r="J80" i="171"/>
  <c r="P71" i="165"/>
  <c r="J71" i="171"/>
  <c r="J26" i="169"/>
  <c r="E113" i="169"/>
  <c r="E113" i="171"/>
  <c r="J98" i="169"/>
  <c r="J98" i="171"/>
  <c r="P67" i="169"/>
  <c r="P67" i="171"/>
  <c r="E27" i="169"/>
  <c r="E27" i="171"/>
  <c r="E17" i="171" s="1"/>
  <c r="E158" i="169"/>
  <c r="E158" i="171"/>
  <c r="E155" i="171" s="1"/>
  <c r="P119" i="165"/>
  <c r="J119" i="171"/>
  <c r="P112" i="165"/>
  <c r="J112" i="171"/>
  <c r="P35" i="165"/>
  <c r="J35" i="171"/>
  <c r="J147" i="169"/>
  <c r="J147" i="171"/>
  <c r="P96" i="165"/>
  <c r="J96" i="171"/>
  <c r="P60" i="165"/>
  <c r="J60" i="171"/>
  <c r="O141" i="169"/>
  <c r="O141" i="171"/>
  <c r="J34" i="165"/>
  <c r="O34" i="171"/>
  <c r="O30" i="171" s="1"/>
  <c r="L202" i="167"/>
  <c r="J158" i="171"/>
  <c r="I86" i="167"/>
  <c r="G86" i="167" s="1"/>
  <c r="J62" i="171"/>
  <c r="E176" i="169"/>
  <c r="E177" i="171"/>
  <c r="E175" i="171" s="1"/>
  <c r="J139" i="165"/>
  <c r="O139" i="171"/>
  <c r="O136" i="171" s="1"/>
  <c r="I46" i="167"/>
  <c r="J37" i="171"/>
  <c r="E102" i="169"/>
  <c r="E102" i="171"/>
  <c r="E101" i="171" s="1"/>
  <c r="J155" i="171"/>
  <c r="J154" i="171" s="1"/>
  <c r="O154" i="171"/>
  <c r="O145" i="171"/>
  <c r="J146" i="171"/>
  <c r="F91" i="171"/>
  <c r="E92" i="171"/>
  <c r="K43" i="171"/>
  <c r="R45" i="171"/>
  <c r="R34" i="171"/>
  <c r="K30" i="171"/>
  <c r="F43" i="169"/>
  <c r="F42" i="169" s="1"/>
  <c r="O155" i="169"/>
  <c r="P176" i="165"/>
  <c r="I210" i="167"/>
  <c r="G210" i="167" s="1"/>
  <c r="H26" i="167"/>
  <c r="G198" i="167"/>
  <c r="G197" i="167" s="1"/>
  <c r="P50" i="165"/>
  <c r="I51" i="167"/>
  <c r="G51" i="167" s="1"/>
  <c r="P49" i="165"/>
  <c r="P172" i="165"/>
  <c r="P107" i="165"/>
  <c r="I65" i="167"/>
  <c r="G65" i="167" s="1"/>
  <c r="P179" i="165"/>
  <c r="M192" i="167"/>
  <c r="E161" i="169"/>
  <c r="O92" i="165"/>
  <c r="P103" i="165"/>
  <c r="P98" i="165"/>
  <c r="P19" i="165"/>
  <c r="E53" i="169"/>
  <c r="I194" i="167"/>
  <c r="J93" i="165"/>
  <c r="J93" i="171" s="1"/>
  <c r="H129" i="167"/>
  <c r="G129" i="167" s="1"/>
  <c r="E155" i="165"/>
  <c r="K197" i="167" s="1"/>
  <c r="G57" i="167"/>
  <c r="H214" i="167"/>
  <c r="H213" i="167" s="1"/>
  <c r="F17" i="169"/>
  <c r="F16" i="169" s="1"/>
  <c r="F57" i="169"/>
  <c r="F56" i="169" s="1"/>
  <c r="O139" i="169"/>
  <c r="P102" i="165"/>
  <c r="P62" i="165"/>
  <c r="J158" i="169"/>
  <c r="J62" i="169"/>
  <c r="O34" i="169"/>
  <c r="E30" i="165"/>
  <c r="E29" i="165" s="1"/>
  <c r="P38" i="165"/>
  <c r="G137" i="167"/>
  <c r="P37" i="165"/>
  <c r="H47" i="167"/>
  <c r="P69" i="165"/>
  <c r="J37" i="169"/>
  <c r="P129" i="165"/>
  <c r="P51" i="165"/>
  <c r="H70" i="167"/>
  <c r="G70" i="167" s="1"/>
  <c r="I181" i="167"/>
  <c r="G181" i="167" s="1"/>
  <c r="N180" i="165"/>
  <c r="N189" i="165" s="1"/>
  <c r="J141" i="165"/>
  <c r="H59" i="167"/>
  <c r="I94" i="167"/>
  <c r="P177" i="165"/>
  <c r="P27" i="165"/>
  <c r="K202" i="167"/>
  <c r="I150" i="167"/>
  <c r="G150" i="167" s="1"/>
  <c r="O161" i="169"/>
  <c r="O160" i="169" s="1"/>
  <c r="J107" i="169"/>
  <c r="E174" i="169"/>
  <c r="E173" i="169" s="1"/>
  <c r="F101" i="169"/>
  <c r="F100" i="169" s="1"/>
  <c r="O92" i="169"/>
  <c r="J92" i="169" s="1"/>
  <c r="J91" i="169" s="1"/>
  <c r="E169" i="169"/>
  <c r="E168" i="169" s="1"/>
  <c r="H27" i="167"/>
  <c r="K27" i="167" s="1"/>
  <c r="P22" i="165"/>
  <c r="J111" i="169"/>
  <c r="P166" i="165"/>
  <c r="P113" i="165"/>
  <c r="H194" i="167"/>
  <c r="H140" i="167"/>
  <c r="P40" i="165"/>
  <c r="E150" i="169"/>
  <c r="E149" i="169" s="1"/>
  <c r="P171" i="165"/>
  <c r="I141" i="167"/>
  <c r="G141" i="167" s="1"/>
  <c r="P152" i="165"/>
  <c r="P152" i="169" s="1"/>
  <c r="I116" i="167"/>
  <c r="G116" i="167" s="1"/>
  <c r="I95" i="167"/>
  <c r="P168" i="165"/>
  <c r="P94" i="165"/>
  <c r="P121" i="165"/>
  <c r="H135" i="167"/>
  <c r="G136" i="167"/>
  <c r="I212" i="167"/>
  <c r="G212" i="167" s="1"/>
  <c r="H115" i="167"/>
  <c r="H112" i="167" s="1"/>
  <c r="H111" i="167" s="1"/>
  <c r="K111" i="167" s="1"/>
  <c r="G88" i="167"/>
  <c r="O17" i="165"/>
  <c r="J17" i="165" s="1"/>
  <c r="P158" i="165"/>
  <c r="I157" i="167"/>
  <c r="I122" i="167"/>
  <c r="G122" i="167" s="1"/>
  <c r="E17" i="165"/>
  <c r="E16" i="165" s="1"/>
  <c r="H49" i="167"/>
  <c r="P47" i="165"/>
  <c r="I50" i="167"/>
  <c r="G50" i="167" s="1"/>
  <c r="P118" i="165"/>
  <c r="E146" i="169"/>
  <c r="J175" i="165"/>
  <c r="J174" i="165" s="1"/>
  <c r="J15" i="167"/>
  <c r="J14" i="167" s="1"/>
  <c r="M14" i="167" s="1"/>
  <c r="H180" i="167"/>
  <c r="H179" i="167" s="1"/>
  <c r="J114" i="169"/>
  <c r="I146" i="167"/>
  <c r="G146" i="167" s="1"/>
  <c r="P39" i="165"/>
  <c r="K213" i="167"/>
  <c r="J112" i="167"/>
  <c r="J111" i="167" s="1"/>
  <c r="M111" i="167" s="1"/>
  <c r="N179" i="169"/>
  <c r="E30" i="169"/>
  <c r="E29" i="169" s="1"/>
  <c r="R155" i="165"/>
  <c r="J143" i="165"/>
  <c r="J143" i="171" s="1"/>
  <c r="O143" i="169"/>
  <c r="O123" i="169"/>
  <c r="J123" i="165"/>
  <c r="J123" i="171" s="1"/>
  <c r="H100" i="169"/>
  <c r="H179" i="169"/>
  <c r="I72" i="167"/>
  <c r="G72" i="167" s="1"/>
  <c r="J52" i="169"/>
  <c r="E44" i="169"/>
  <c r="P44" i="165"/>
  <c r="R101" i="169"/>
  <c r="K100" i="169"/>
  <c r="I175" i="167"/>
  <c r="G175" i="167" s="1"/>
  <c r="J131" i="169"/>
  <c r="M189" i="165"/>
  <c r="M192" i="165"/>
  <c r="E160" i="169"/>
  <c r="J144" i="165"/>
  <c r="O144" i="169"/>
  <c r="E101" i="165"/>
  <c r="E100" i="165" s="1"/>
  <c r="E109" i="169"/>
  <c r="J85" i="165"/>
  <c r="J85" i="171" s="1"/>
  <c r="O85" i="169"/>
  <c r="J142" i="165"/>
  <c r="J142" i="171" s="1"/>
  <c r="O142" i="169"/>
  <c r="I98" i="167"/>
  <c r="G98" i="167" s="1"/>
  <c r="J71" i="169"/>
  <c r="H94" i="167"/>
  <c r="E68" i="169"/>
  <c r="I139" i="167"/>
  <c r="J109" i="169"/>
  <c r="I59" i="167"/>
  <c r="J47" i="169"/>
  <c r="I173" i="167"/>
  <c r="G173" i="167" s="1"/>
  <c r="J130" i="169"/>
  <c r="J162" i="165"/>
  <c r="J161" i="165" s="1"/>
  <c r="P131" i="165"/>
  <c r="P131" i="171" s="1"/>
  <c r="Q131" i="171" s="1"/>
  <c r="J83" i="165"/>
  <c r="J83" i="171" s="1"/>
  <c r="O83" i="169"/>
  <c r="J32" i="165"/>
  <c r="O32" i="169"/>
  <c r="O30" i="169" s="1"/>
  <c r="J28" i="165"/>
  <c r="J28" i="171" s="1"/>
  <c r="O28" i="169"/>
  <c r="P36" i="165"/>
  <c r="Q88" i="165"/>
  <c r="P88" i="169"/>
  <c r="Q88" i="169" s="1"/>
  <c r="P68" i="165"/>
  <c r="E43" i="165"/>
  <c r="E42" i="165" s="1"/>
  <c r="I130" i="167"/>
  <c r="G130" i="167" s="1"/>
  <c r="I107" i="167"/>
  <c r="G107" i="167" s="1"/>
  <c r="J87" i="169"/>
  <c r="K42" i="169"/>
  <c r="R43" i="169"/>
  <c r="L17" i="167"/>
  <c r="J19" i="169"/>
  <c r="E92" i="169"/>
  <c r="F91" i="169"/>
  <c r="R18" i="169"/>
  <c r="K17" i="169"/>
  <c r="I190" i="167"/>
  <c r="J148" i="169"/>
  <c r="P148" i="165"/>
  <c r="P73" i="165"/>
  <c r="P73" i="171" s="1"/>
  <c r="R74" i="171" s="1"/>
  <c r="H95" i="167"/>
  <c r="E69" i="169"/>
  <c r="O154" i="169"/>
  <c r="J155" i="169"/>
  <c r="J154" i="169" s="1"/>
  <c r="O173" i="169"/>
  <c r="J174" i="169"/>
  <c r="J173" i="169" s="1"/>
  <c r="O169" i="169"/>
  <c r="H157" i="167"/>
  <c r="E121" i="169"/>
  <c r="I99" i="167"/>
  <c r="G99" i="167" s="1"/>
  <c r="J72" i="169"/>
  <c r="I91" i="167"/>
  <c r="G91" i="167" s="1"/>
  <c r="J67" i="169"/>
  <c r="O59" i="169"/>
  <c r="J59" i="165"/>
  <c r="J59" i="171" s="1"/>
  <c r="I47" i="167"/>
  <c r="J38" i="169"/>
  <c r="I40" i="167"/>
  <c r="G40" i="167" s="1"/>
  <c r="J33" i="169"/>
  <c r="H21" i="167"/>
  <c r="K21" i="167" s="1"/>
  <c r="E21" i="169"/>
  <c r="J21" i="165"/>
  <c r="O21" i="169"/>
  <c r="E159" i="169"/>
  <c r="E155" i="169" s="1"/>
  <c r="I156" i="167"/>
  <c r="G156" i="167" s="1"/>
  <c r="J120" i="169"/>
  <c r="P120" i="165"/>
  <c r="I87" i="167"/>
  <c r="G87" i="167" s="1"/>
  <c r="J63" i="169"/>
  <c r="K115" i="169"/>
  <c r="R116" i="169"/>
  <c r="E136" i="169"/>
  <c r="J128" i="165"/>
  <c r="O128" i="169"/>
  <c r="J122" i="165"/>
  <c r="O122" i="169"/>
  <c r="P63" i="165"/>
  <c r="I23" i="167"/>
  <c r="L23" i="167" s="1"/>
  <c r="J23" i="169"/>
  <c r="I216" i="167"/>
  <c r="G216" i="167" s="1"/>
  <c r="O149" i="169"/>
  <c r="J150" i="169"/>
  <c r="J149" i="169" s="1"/>
  <c r="I140" i="167"/>
  <c r="J110" i="169"/>
  <c r="I183" i="167"/>
  <c r="J140" i="169"/>
  <c r="I209" i="167"/>
  <c r="G209" i="167" s="1"/>
  <c r="J164" i="169"/>
  <c r="I85" i="167"/>
  <c r="G85" i="167" s="1"/>
  <c r="J61" i="169"/>
  <c r="I74" i="167"/>
  <c r="J53" i="169"/>
  <c r="I68" i="167"/>
  <c r="J50" i="169"/>
  <c r="I208" i="167"/>
  <c r="G208" i="167" s="1"/>
  <c r="J163" i="169"/>
  <c r="I217" i="167"/>
  <c r="G217" i="167" s="1"/>
  <c r="J172" i="169"/>
  <c r="E145" i="169"/>
  <c r="R136" i="169"/>
  <c r="K135" i="169"/>
  <c r="F116" i="169"/>
  <c r="F115" i="169" s="1"/>
  <c r="I89" i="167"/>
  <c r="G89" i="167" s="1"/>
  <c r="J65" i="169"/>
  <c r="P165" i="165"/>
  <c r="H68" i="167"/>
  <c r="P147" i="165"/>
  <c r="J126" i="165"/>
  <c r="O126" i="169"/>
  <c r="H143" i="167"/>
  <c r="P164" i="165"/>
  <c r="P80" i="165"/>
  <c r="P58" i="165"/>
  <c r="J58" i="169"/>
  <c r="P65" i="165"/>
  <c r="P130" i="165"/>
  <c r="J104" i="165"/>
  <c r="J104" i="171" s="1"/>
  <c r="O104" i="169"/>
  <c r="O101" i="169" s="1"/>
  <c r="P53" i="165"/>
  <c r="P110" i="165"/>
  <c r="I45" i="167"/>
  <c r="G45" i="167" s="1"/>
  <c r="J35" i="167"/>
  <c r="J34" i="167" s="1"/>
  <c r="P95" i="165"/>
  <c r="P138" i="165"/>
  <c r="G46" i="167"/>
  <c r="L179" i="169"/>
  <c r="J161" i="169"/>
  <c r="J160" i="169" s="1"/>
  <c r="L160" i="169"/>
  <c r="I134" i="167"/>
  <c r="G134" i="167" s="1"/>
  <c r="J105" i="169"/>
  <c r="R34" i="169"/>
  <c r="K30" i="169"/>
  <c r="J18" i="165"/>
  <c r="J18" i="171" s="1"/>
  <c r="O18" i="169"/>
  <c r="L115" i="169"/>
  <c r="I167" i="167"/>
  <c r="G167" i="167" s="1"/>
  <c r="J127" i="169"/>
  <c r="I62" i="167"/>
  <c r="G62" i="167" s="1"/>
  <c r="J48" i="169"/>
  <c r="L200" i="167"/>
  <c r="J157" i="169"/>
  <c r="I124" i="167"/>
  <c r="G124" i="167" s="1"/>
  <c r="J99" i="169"/>
  <c r="I106" i="167"/>
  <c r="G106" i="167" s="1"/>
  <c r="J86" i="169"/>
  <c r="I178" i="167"/>
  <c r="G178" i="167" s="1"/>
  <c r="J134" i="169"/>
  <c r="I135" i="167"/>
  <c r="J106" i="169"/>
  <c r="I115" i="167"/>
  <c r="J94" i="169"/>
  <c r="E116" i="165"/>
  <c r="E115" i="165" s="1"/>
  <c r="E117" i="169"/>
  <c r="J54" i="165"/>
  <c r="J54" i="171" s="1"/>
  <c r="O54" i="169"/>
  <c r="O43" i="169" s="1"/>
  <c r="J125" i="165"/>
  <c r="J125" i="171" s="1"/>
  <c r="O125" i="169"/>
  <c r="I143" i="167"/>
  <c r="J113" i="169"/>
  <c r="I49" i="167"/>
  <c r="J39" i="169"/>
  <c r="I102" i="167"/>
  <c r="G102" i="167" s="1"/>
  <c r="J84" i="169"/>
  <c r="P84" i="165"/>
  <c r="K57" i="169"/>
  <c r="R58" i="169"/>
  <c r="I211" i="167"/>
  <c r="G211" i="167" s="1"/>
  <c r="J166" i="169"/>
  <c r="L203" i="167"/>
  <c r="J159" i="169"/>
  <c r="I195" i="167"/>
  <c r="G195" i="167" s="1"/>
  <c r="J153" i="169"/>
  <c r="I177" i="167"/>
  <c r="G177" i="167" s="1"/>
  <c r="J133" i="169"/>
  <c r="I161" i="167"/>
  <c r="G161" i="167" s="1"/>
  <c r="J124" i="169"/>
  <c r="I151" i="167"/>
  <c r="G151" i="167" s="1"/>
  <c r="J119" i="169"/>
  <c r="I142" i="167"/>
  <c r="G142" i="167" s="1"/>
  <c r="J112" i="169"/>
  <c r="R93" i="169"/>
  <c r="K92" i="169"/>
  <c r="I108" i="167"/>
  <c r="J88" i="169"/>
  <c r="P76" i="165"/>
  <c r="P76" i="171" s="1"/>
  <c r="R77" i="171" s="1"/>
  <c r="J76" i="169"/>
  <c r="I96" i="167"/>
  <c r="G96" i="167" s="1"/>
  <c r="J70" i="169"/>
  <c r="I90" i="167"/>
  <c r="G90" i="167" s="1"/>
  <c r="J66" i="169"/>
  <c r="G179" i="169"/>
  <c r="I44" i="167"/>
  <c r="G44" i="167" s="1"/>
  <c r="J35" i="169"/>
  <c r="I27" i="167"/>
  <c r="L27" i="167" s="1"/>
  <c r="J27" i="169"/>
  <c r="O146" i="169"/>
  <c r="I118" i="167"/>
  <c r="G118" i="167" s="1"/>
  <c r="J96" i="169"/>
  <c r="I84" i="167"/>
  <c r="G84" i="167" s="1"/>
  <c r="J60" i="169"/>
  <c r="K17" i="167"/>
  <c r="H207" i="167"/>
  <c r="H206" i="167" s="1"/>
  <c r="J106" i="166"/>
  <c r="R92" i="168"/>
  <c r="J22" i="166"/>
  <c r="R30" i="168"/>
  <c r="J11" i="166"/>
  <c r="R17" i="168"/>
  <c r="R17" i="165"/>
  <c r="J233" i="166"/>
  <c r="R155" i="168"/>
  <c r="J78" i="166"/>
  <c r="R57" i="168"/>
  <c r="J148" i="167"/>
  <c r="J147" i="167" s="1"/>
  <c r="M147" i="167" s="1"/>
  <c r="J81" i="167"/>
  <c r="J80" i="167" s="1"/>
  <c r="P23" i="165"/>
  <c r="P23" i="171" s="1"/>
  <c r="Q23" i="171" s="1"/>
  <c r="J156" i="165"/>
  <c r="K56" i="165"/>
  <c r="R57" i="165"/>
  <c r="P137" i="165"/>
  <c r="E136" i="165"/>
  <c r="O116" i="165"/>
  <c r="R101" i="165"/>
  <c r="K100" i="165"/>
  <c r="K26" i="167"/>
  <c r="J150" i="165"/>
  <c r="J149" i="165" s="1"/>
  <c r="P151" i="165"/>
  <c r="E150" i="165"/>
  <c r="P178" i="165"/>
  <c r="O145" i="165"/>
  <c r="J146" i="165"/>
  <c r="H192" i="167"/>
  <c r="O136" i="165"/>
  <c r="K115" i="165"/>
  <c r="P117" i="165"/>
  <c r="G180" i="165"/>
  <c r="K180" i="165"/>
  <c r="K192" i="165" s="1"/>
  <c r="K29" i="165"/>
  <c r="R30" i="165"/>
  <c r="J53" i="167"/>
  <c r="J52" i="167" s="1"/>
  <c r="K135" i="165"/>
  <c r="O57" i="165"/>
  <c r="J128" i="167"/>
  <c r="J127" i="167" s="1"/>
  <c r="K203" i="167"/>
  <c r="P159" i="165"/>
  <c r="H83" i="167"/>
  <c r="E57" i="165"/>
  <c r="P59" i="165"/>
  <c r="J45" i="165"/>
  <c r="O43" i="165"/>
  <c r="K25" i="167"/>
  <c r="G25" i="167"/>
  <c r="L180" i="165"/>
  <c r="L16" i="165"/>
  <c r="O30" i="165"/>
  <c r="O169" i="165"/>
  <c r="J170" i="165"/>
  <c r="E175" i="165"/>
  <c r="E162" i="165"/>
  <c r="P163" i="165"/>
  <c r="O101" i="165"/>
  <c r="H139" i="167"/>
  <c r="P109" i="165"/>
  <c r="H180" i="165"/>
  <c r="H189" i="165" s="1"/>
  <c r="E91" i="165"/>
  <c r="F180" i="165"/>
  <c r="F16" i="165"/>
  <c r="K42" i="165"/>
  <c r="R43" i="165"/>
  <c r="I36" i="167"/>
  <c r="P31" i="165"/>
  <c r="P175" i="171" l="1"/>
  <c r="E174" i="171"/>
  <c r="E16" i="171"/>
  <c r="P17" i="171"/>
  <c r="E180" i="171"/>
  <c r="E29" i="171"/>
  <c r="E56" i="171"/>
  <c r="O135" i="171"/>
  <c r="J136" i="171"/>
  <c r="J135" i="171" s="1"/>
  <c r="O29" i="171"/>
  <c r="J30" i="171"/>
  <c r="J29" i="171" s="1"/>
  <c r="E154" i="171"/>
  <c r="P155" i="171"/>
  <c r="O115" i="171"/>
  <c r="J116" i="171"/>
  <c r="J115" i="171" s="1"/>
  <c r="J43" i="171"/>
  <c r="J42" i="171" s="1"/>
  <c r="O42" i="171"/>
  <c r="P84" i="169"/>
  <c r="P84" i="171"/>
  <c r="P110" i="169"/>
  <c r="P110" i="171"/>
  <c r="P80" i="169"/>
  <c r="P80" i="171"/>
  <c r="P118" i="169"/>
  <c r="P118" i="171"/>
  <c r="P167" i="169"/>
  <c r="P168" i="171"/>
  <c r="P40" i="169"/>
  <c r="P40" i="171"/>
  <c r="P165" i="169"/>
  <c r="P166" i="171"/>
  <c r="I184" i="167"/>
  <c r="G184" i="167" s="1"/>
  <c r="J141" i="171"/>
  <c r="P19" i="169"/>
  <c r="P19" i="171"/>
  <c r="R30" i="171"/>
  <c r="K29" i="171"/>
  <c r="P139" i="165"/>
  <c r="J139" i="171"/>
  <c r="P34" i="165"/>
  <c r="J34" i="171"/>
  <c r="P112" i="169"/>
  <c r="P112" i="171"/>
  <c r="E161" i="171"/>
  <c r="P162" i="171"/>
  <c r="P114" i="169"/>
  <c r="P114" i="171"/>
  <c r="J45" i="169"/>
  <c r="J45" i="171"/>
  <c r="P95" i="169"/>
  <c r="P95" i="171"/>
  <c r="P53" i="169"/>
  <c r="P53" i="171"/>
  <c r="P65" i="169"/>
  <c r="P65" i="171"/>
  <c r="P163" i="169"/>
  <c r="P164" i="171"/>
  <c r="P147" i="169"/>
  <c r="P147" i="171"/>
  <c r="G74" i="167"/>
  <c r="J122" i="169"/>
  <c r="J122" i="171"/>
  <c r="P120" i="169"/>
  <c r="P120" i="171"/>
  <c r="P148" i="169"/>
  <c r="P148" i="171"/>
  <c r="P39" i="169"/>
  <c r="P39" i="171"/>
  <c r="P176" i="169"/>
  <c r="P177" i="171"/>
  <c r="P129" i="169"/>
  <c r="P129" i="171"/>
  <c r="P37" i="169"/>
  <c r="P37" i="171"/>
  <c r="P102" i="169"/>
  <c r="P102" i="171"/>
  <c r="P98" i="169"/>
  <c r="P98" i="171"/>
  <c r="P107" i="169"/>
  <c r="P107" i="171"/>
  <c r="P50" i="169"/>
  <c r="P50" i="171"/>
  <c r="P175" i="169"/>
  <c r="P176" i="171"/>
  <c r="P106" i="169"/>
  <c r="P106" i="171"/>
  <c r="J17" i="171"/>
  <c r="O16" i="171"/>
  <c r="O180" i="171"/>
  <c r="P140" i="169"/>
  <c r="P140" i="171"/>
  <c r="P66" i="169"/>
  <c r="P66" i="171"/>
  <c r="P87" i="169"/>
  <c r="P87" i="171"/>
  <c r="K135" i="171"/>
  <c r="R136" i="171"/>
  <c r="G189" i="171"/>
  <c r="G193" i="171"/>
  <c r="O100" i="171"/>
  <c r="J101" i="171"/>
  <c r="J100" i="171" s="1"/>
  <c r="N192" i="171"/>
  <c r="N189" i="171"/>
  <c r="J92" i="171"/>
  <c r="J91" i="171" s="1"/>
  <c r="O91" i="171"/>
  <c r="E198" i="171"/>
  <c r="P117" i="169"/>
  <c r="P117" i="171"/>
  <c r="P151" i="169"/>
  <c r="P151" i="171"/>
  <c r="P137" i="169"/>
  <c r="P137" i="171"/>
  <c r="P138" i="169"/>
  <c r="P138" i="171"/>
  <c r="P130" i="169"/>
  <c r="P130" i="171"/>
  <c r="P126" i="165"/>
  <c r="J126" i="171"/>
  <c r="P68" i="169"/>
  <c r="P68" i="171"/>
  <c r="P27" i="169"/>
  <c r="P27" i="171"/>
  <c r="P51" i="169"/>
  <c r="P51" i="171"/>
  <c r="P62" i="169"/>
  <c r="P62" i="171"/>
  <c r="E91" i="171"/>
  <c r="P60" i="169"/>
  <c r="P60" i="171"/>
  <c r="P97" i="169"/>
  <c r="P97" i="171"/>
  <c r="E42" i="171"/>
  <c r="E149" i="171"/>
  <c r="P150" i="171"/>
  <c r="P134" i="169"/>
  <c r="P134" i="171"/>
  <c r="P99" i="169"/>
  <c r="P99" i="171"/>
  <c r="P166" i="169"/>
  <c r="P167" i="171"/>
  <c r="P61" i="169"/>
  <c r="P61" i="171"/>
  <c r="P162" i="169"/>
  <c r="P163" i="171"/>
  <c r="P31" i="169"/>
  <c r="P31" i="171"/>
  <c r="P109" i="169"/>
  <c r="P109" i="171"/>
  <c r="P59" i="169"/>
  <c r="P59" i="171"/>
  <c r="P159" i="169"/>
  <c r="P159" i="171"/>
  <c r="P177" i="169"/>
  <c r="P178" i="171"/>
  <c r="G26" i="167"/>
  <c r="J139" i="169"/>
  <c r="J34" i="169"/>
  <c r="J21" i="169"/>
  <c r="J21" i="171"/>
  <c r="J141" i="169"/>
  <c r="P144" i="165"/>
  <c r="J144" i="171"/>
  <c r="P44" i="169"/>
  <c r="P44" i="171"/>
  <c r="P47" i="169"/>
  <c r="P47" i="171"/>
  <c r="P121" i="169"/>
  <c r="P121" i="171"/>
  <c r="P170" i="169"/>
  <c r="P171" i="171"/>
  <c r="P22" i="169"/>
  <c r="P22" i="171"/>
  <c r="P103" i="169"/>
  <c r="P103" i="171"/>
  <c r="P171" i="169"/>
  <c r="P172" i="171"/>
  <c r="P96" i="169"/>
  <c r="P96" i="171"/>
  <c r="P35" i="169"/>
  <c r="P35" i="171"/>
  <c r="P119" i="169"/>
  <c r="P119" i="171"/>
  <c r="P52" i="169"/>
  <c r="P52" i="171"/>
  <c r="E135" i="171"/>
  <c r="P136" i="171"/>
  <c r="R92" i="171"/>
  <c r="K91" i="171"/>
  <c r="P172" i="169"/>
  <c r="P173" i="171"/>
  <c r="P86" i="169"/>
  <c r="P86" i="171"/>
  <c r="E115" i="171"/>
  <c r="P116" i="171"/>
  <c r="R101" i="171"/>
  <c r="K100" i="171"/>
  <c r="L189" i="171"/>
  <c r="L192" i="171"/>
  <c r="P33" i="169"/>
  <c r="P33" i="171"/>
  <c r="P153" i="169"/>
  <c r="P153" i="171"/>
  <c r="P48" i="169"/>
  <c r="P48" i="171"/>
  <c r="P105" i="169"/>
  <c r="P105" i="171"/>
  <c r="P127" i="169"/>
  <c r="P127" i="171"/>
  <c r="I182" i="167"/>
  <c r="G182" i="167" s="1"/>
  <c r="I42" i="167"/>
  <c r="G42" i="167" s="1"/>
  <c r="P58" i="169"/>
  <c r="P58" i="171"/>
  <c r="P164" i="169"/>
  <c r="P165" i="171"/>
  <c r="P63" i="169"/>
  <c r="P63" i="171"/>
  <c r="J128" i="169"/>
  <c r="J128" i="171"/>
  <c r="E17" i="169"/>
  <c r="P36" i="169"/>
  <c r="P36" i="171"/>
  <c r="P32" i="165"/>
  <c r="J32" i="171"/>
  <c r="E101" i="169"/>
  <c r="P158" i="169"/>
  <c r="P158" i="171"/>
  <c r="P94" i="169"/>
  <c r="P94" i="171"/>
  <c r="P113" i="169"/>
  <c r="P113" i="171"/>
  <c r="P69" i="169"/>
  <c r="P69" i="171"/>
  <c r="P38" i="169"/>
  <c r="P38" i="171"/>
  <c r="P178" i="169"/>
  <c r="P179" i="171"/>
  <c r="P49" i="169"/>
  <c r="P49" i="171"/>
  <c r="R43" i="171"/>
  <c r="K42" i="171"/>
  <c r="J145" i="171"/>
  <c r="P146" i="171"/>
  <c r="E100" i="171"/>
  <c r="P101" i="171"/>
  <c r="P71" i="169"/>
  <c r="P71" i="171"/>
  <c r="K56" i="171"/>
  <c r="R57" i="171"/>
  <c r="F180" i="171"/>
  <c r="K180" i="171"/>
  <c r="O56" i="171"/>
  <c r="J57" i="171"/>
  <c r="J56" i="171" s="1"/>
  <c r="I168" i="167"/>
  <c r="G168" i="167" s="1"/>
  <c r="P141" i="165"/>
  <c r="G59" i="167"/>
  <c r="O16" i="165"/>
  <c r="E154" i="165"/>
  <c r="O91" i="169"/>
  <c r="G194" i="167"/>
  <c r="I158" i="167"/>
  <c r="G158" i="167" s="1"/>
  <c r="E43" i="169"/>
  <c r="O91" i="165"/>
  <c r="J92" i="165"/>
  <c r="P17" i="165"/>
  <c r="P16" i="165" s="1"/>
  <c r="P122" i="165"/>
  <c r="G23" i="167"/>
  <c r="J93" i="169"/>
  <c r="I113" i="167"/>
  <c r="G113" i="167" s="1"/>
  <c r="P93" i="165"/>
  <c r="H53" i="167"/>
  <c r="H52" i="167" s="1"/>
  <c r="H35" i="167"/>
  <c r="H34" i="167" s="1"/>
  <c r="K34" i="167" s="1"/>
  <c r="G94" i="167"/>
  <c r="G27" i="167"/>
  <c r="G47" i="167"/>
  <c r="G157" i="167"/>
  <c r="N192" i="165"/>
  <c r="K180" i="167"/>
  <c r="P150" i="169"/>
  <c r="Q150" i="169" s="1"/>
  <c r="G49" i="167"/>
  <c r="G68" i="167"/>
  <c r="P128" i="165"/>
  <c r="E116" i="169"/>
  <c r="E115" i="169" s="1"/>
  <c r="E57" i="169"/>
  <c r="E56" i="169" s="1"/>
  <c r="G95" i="167"/>
  <c r="G115" i="167"/>
  <c r="G140" i="167"/>
  <c r="O17" i="169"/>
  <c r="O16" i="169" s="1"/>
  <c r="H148" i="167"/>
  <c r="H147" i="167" s="1"/>
  <c r="K147" i="167" s="1"/>
  <c r="G135" i="167"/>
  <c r="O57" i="169"/>
  <c r="J57" i="169" s="1"/>
  <c r="F179" i="169"/>
  <c r="H15" i="167"/>
  <c r="H14" i="167" s="1"/>
  <c r="K14" i="167" s="1"/>
  <c r="O136" i="169"/>
  <c r="O135" i="169" s="1"/>
  <c r="O116" i="169"/>
  <c r="J116" i="169" s="1"/>
  <c r="J115" i="169" s="1"/>
  <c r="M80" i="167"/>
  <c r="M34" i="167"/>
  <c r="J136" i="169"/>
  <c r="J135" i="169" s="1"/>
  <c r="O42" i="169"/>
  <c r="J43" i="169"/>
  <c r="J42" i="169" s="1"/>
  <c r="G192" i="167"/>
  <c r="G191" i="167" s="1"/>
  <c r="O145" i="169"/>
  <c r="J146" i="169"/>
  <c r="J18" i="169"/>
  <c r="P18" i="165"/>
  <c r="I100" i="167"/>
  <c r="G100" i="167" s="1"/>
  <c r="J83" i="169"/>
  <c r="G139" i="167"/>
  <c r="Q23" i="165"/>
  <c r="P23" i="169"/>
  <c r="Q23" i="169" s="1"/>
  <c r="L108" i="167"/>
  <c r="G108" i="167"/>
  <c r="I163" i="167"/>
  <c r="G163" i="167" s="1"/>
  <c r="J125" i="169"/>
  <c r="P125" i="165"/>
  <c r="O100" i="169"/>
  <c r="J101" i="169"/>
  <c r="J100" i="169" s="1"/>
  <c r="G143" i="167"/>
  <c r="I214" i="167"/>
  <c r="I213" i="167" s="1"/>
  <c r="L213" i="167" s="1"/>
  <c r="E154" i="169"/>
  <c r="P155" i="169"/>
  <c r="E16" i="169"/>
  <c r="I189" i="167"/>
  <c r="I188" i="167" s="1"/>
  <c r="G190" i="167"/>
  <c r="G189" i="167" s="1"/>
  <c r="G188" i="167" s="1"/>
  <c r="E91" i="169"/>
  <c r="P92" i="169"/>
  <c r="I37" i="167"/>
  <c r="G37" i="167" s="1"/>
  <c r="J32" i="169"/>
  <c r="Q131" i="165"/>
  <c r="P131" i="169"/>
  <c r="Q131" i="169" s="1"/>
  <c r="E42" i="169"/>
  <c r="I186" i="167"/>
  <c r="J143" i="169"/>
  <c r="P143" i="165"/>
  <c r="M52" i="167"/>
  <c r="P21" i="165"/>
  <c r="L189" i="165"/>
  <c r="L192" i="165"/>
  <c r="I207" i="167"/>
  <c r="I206" i="167" s="1"/>
  <c r="L206" i="167" s="1"/>
  <c r="G214" i="167"/>
  <c r="G213" i="167" s="1"/>
  <c r="K91" i="169"/>
  <c r="R92" i="169"/>
  <c r="I132" i="167"/>
  <c r="G132" i="167" s="1"/>
  <c r="J104" i="169"/>
  <c r="P104" i="165"/>
  <c r="J183" i="167"/>
  <c r="G183" i="167"/>
  <c r="E135" i="169"/>
  <c r="R74" i="165"/>
  <c r="P73" i="169"/>
  <c r="R74" i="169" s="1"/>
  <c r="K16" i="169"/>
  <c r="K179" i="169"/>
  <c r="R17" i="169"/>
  <c r="J184" i="167"/>
  <c r="I185" i="167"/>
  <c r="J142" i="169"/>
  <c r="P142" i="165"/>
  <c r="I105" i="167"/>
  <c r="G105" i="167" s="1"/>
  <c r="J85" i="169"/>
  <c r="P85" i="165"/>
  <c r="J123" i="169"/>
  <c r="I159" i="167"/>
  <c r="G159" i="167" s="1"/>
  <c r="P123" i="165"/>
  <c r="P174" i="169"/>
  <c r="I192" i="167"/>
  <c r="I191" i="167" s="1"/>
  <c r="I76" i="167"/>
  <c r="G76" i="167" s="1"/>
  <c r="J54" i="169"/>
  <c r="O29" i="169"/>
  <c r="J30" i="169"/>
  <c r="P161" i="169"/>
  <c r="E100" i="169"/>
  <c r="I21" i="167"/>
  <c r="L21" i="167" s="1"/>
  <c r="P54" i="165"/>
  <c r="P83" i="165"/>
  <c r="R77" i="165"/>
  <c r="P76" i="169"/>
  <c r="R77" i="169" s="1"/>
  <c r="R57" i="169"/>
  <c r="K56" i="169"/>
  <c r="K29" i="169"/>
  <c r="R30" i="169"/>
  <c r="I166" i="167"/>
  <c r="G166" i="167" s="1"/>
  <c r="J126" i="169"/>
  <c r="I83" i="167"/>
  <c r="J59" i="169"/>
  <c r="J169" i="169"/>
  <c r="O168" i="169"/>
  <c r="P28" i="165"/>
  <c r="J28" i="169"/>
  <c r="L28" i="167"/>
  <c r="I187" i="167"/>
  <c r="J144" i="169"/>
  <c r="F189" i="165"/>
  <c r="F193" i="165"/>
  <c r="G189" i="165"/>
  <c r="G193" i="165"/>
  <c r="J245" i="166"/>
  <c r="Q179" i="168" s="1"/>
  <c r="G207" i="167"/>
  <c r="G206" i="167" s="1"/>
  <c r="O29" i="165"/>
  <c r="J30" i="165"/>
  <c r="O135" i="165"/>
  <c r="J136" i="165"/>
  <c r="P136" i="165" s="1"/>
  <c r="I54" i="167"/>
  <c r="P45" i="165"/>
  <c r="K189" i="165"/>
  <c r="J145" i="165"/>
  <c r="P146" i="165"/>
  <c r="J16" i="165"/>
  <c r="E56" i="165"/>
  <c r="O56" i="165"/>
  <c r="J57" i="165"/>
  <c r="J56" i="165" s="1"/>
  <c r="K52" i="167"/>
  <c r="K192" i="167"/>
  <c r="H191" i="167"/>
  <c r="P150" i="165"/>
  <c r="E149" i="165"/>
  <c r="O115" i="165"/>
  <c r="J116" i="165"/>
  <c r="O180" i="165"/>
  <c r="O154" i="165"/>
  <c r="J155" i="165"/>
  <c r="J101" i="165"/>
  <c r="O100" i="165"/>
  <c r="E174" i="165"/>
  <c r="P175" i="165"/>
  <c r="G36" i="167"/>
  <c r="E161" i="165"/>
  <c r="P162" i="165"/>
  <c r="J169" i="165"/>
  <c r="P170" i="165"/>
  <c r="H128" i="167"/>
  <c r="H127" i="167" s="1"/>
  <c r="O42" i="165"/>
  <c r="J43" i="165"/>
  <c r="H81" i="167"/>
  <c r="H80" i="167" s="1"/>
  <c r="K80" i="167" s="1"/>
  <c r="K206" i="167"/>
  <c r="E180" i="165"/>
  <c r="E135" i="165"/>
  <c r="L199" i="167"/>
  <c r="P156" i="165"/>
  <c r="P149" i="169" l="1"/>
  <c r="P92" i="171"/>
  <c r="P101" i="169"/>
  <c r="Q170" i="171"/>
  <c r="P43" i="171"/>
  <c r="P30" i="171"/>
  <c r="P29" i="171" s="1"/>
  <c r="P123" i="169"/>
  <c r="P123" i="171"/>
  <c r="P139" i="169"/>
  <c r="P139" i="171"/>
  <c r="P45" i="169"/>
  <c r="P45" i="171"/>
  <c r="P28" i="169"/>
  <c r="P28" i="171"/>
  <c r="P54" i="169"/>
  <c r="P54" i="171"/>
  <c r="P126" i="169"/>
  <c r="P126" i="171"/>
  <c r="O189" i="171"/>
  <c r="O192" i="171"/>
  <c r="P161" i="171"/>
  <c r="Q162" i="171"/>
  <c r="P154" i="171"/>
  <c r="Q155" i="171"/>
  <c r="P100" i="171"/>
  <c r="P142" i="169"/>
  <c r="P142" i="171"/>
  <c r="P143" i="169"/>
  <c r="P143" i="171"/>
  <c r="P125" i="169"/>
  <c r="P125" i="171"/>
  <c r="P141" i="169"/>
  <c r="P141" i="171"/>
  <c r="K192" i="171"/>
  <c r="Q180" i="171"/>
  <c r="K189" i="171"/>
  <c r="Q146" i="171"/>
  <c r="P145" i="171"/>
  <c r="P32" i="169"/>
  <c r="P32" i="171"/>
  <c r="Q30" i="171" s="1"/>
  <c r="P115" i="171"/>
  <c r="P135" i="171"/>
  <c r="Q150" i="171"/>
  <c r="P149" i="171"/>
  <c r="P34" i="169"/>
  <c r="P34" i="171"/>
  <c r="P83" i="169"/>
  <c r="P83" i="171"/>
  <c r="P21" i="169"/>
  <c r="P21" i="171"/>
  <c r="P18" i="169"/>
  <c r="P18" i="171"/>
  <c r="Q43" i="171"/>
  <c r="P42" i="171"/>
  <c r="P16" i="171"/>
  <c r="P85" i="169"/>
  <c r="P85" i="171"/>
  <c r="P104" i="169"/>
  <c r="P104" i="171"/>
  <c r="Q101" i="171" s="1"/>
  <c r="P128" i="169"/>
  <c r="P128" i="171"/>
  <c r="P93" i="169"/>
  <c r="P93" i="171"/>
  <c r="Q92" i="171" s="1"/>
  <c r="P122" i="169"/>
  <c r="P122" i="171"/>
  <c r="F189" i="171"/>
  <c r="F193" i="171"/>
  <c r="P144" i="169"/>
  <c r="P144" i="171"/>
  <c r="Q136" i="171" s="1"/>
  <c r="P91" i="171"/>
  <c r="J16" i="171"/>
  <c r="J180" i="171"/>
  <c r="J189" i="171" s="1"/>
  <c r="P57" i="171"/>
  <c r="E190" i="171"/>
  <c r="E189" i="171"/>
  <c r="F190" i="171"/>
  <c r="Q175" i="171"/>
  <c r="P174" i="171"/>
  <c r="E179" i="169"/>
  <c r="J91" i="165"/>
  <c r="P92" i="165"/>
  <c r="J17" i="169"/>
  <c r="J179" i="169" s="1"/>
  <c r="I112" i="167"/>
  <c r="I111" i="167" s="1"/>
  <c r="L111" i="167" s="1"/>
  <c r="G112" i="167"/>
  <c r="G111" i="167" s="1"/>
  <c r="O115" i="169"/>
  <c r="I148" i="167"/>
  <c r="I147" i="167" s="1"/>
  <c r="L147" i="167" s="1"/>
  <c r="G148" i="167"/>
  <c r="G147" i="167" s="1"/>
  <c r="O56" i="169"/>
  <c r="J56" i="169"/>
  <c r="P57" i="169"/>
  <c r="P56" i="169" s="1"/>
  <c r="P43" i="169"/>
  <c r="Q43" i="169" s="1"/>
  <c r="O179" i="169"/>
  <c r="P136" i="169"/>
  <c r="G35" i="167"/>
  <c r="G34" i="167" s="1"/>
  <c r="I35" i="167"/>
  <c r="I34" i="167" s="1"/>
  <c r="L34" i="167" s="1"/>
  <c r="G21" i="167"/>
  <c r="G15" i="167" s="1"/>
  <c r="G14" i="167" s="1"/>
  <c r="I81" i="167"/>
  <c r="I80" i="167" s="1"/>
  <c r="L80" i="167" s="1"/>
  <c r="Q180" i="165"/>
  <c r="Q179" i="169"/>
  <c r="I15" i="167"/>
  <c r="I14" i="167" s="1"/>
  <c r="L14" i="167" s="1"/>
  <c r="I180" i="167"/>
  <c r="I179" i="167" s="1"/>
  <c r="G187" i="167"/>
  <c r="J29" i="169"/>
  <c r="P30" i="169"/>
  <c r="Q17" i="165"/>
  <c r="P154" i="169"/>
  <c r="Q155" i="169"/>
  <c r="G83" i="167"/>
  <c r="G81" i="167" s="1"/>
  <c r="G80" i="167" s="1"/>
  <c r="O189" i="165"/>
  <c r="O192" i="165"/>
  <c r="J168" i="169"/>
  <c r="P169" i="169"/>
  <c r="Q101" i="169"/>
  <c r="P100" i="169"/>
  <c r="L192" i="167"/>
  <c r="G186" i="167"/>
  <c r="J186" i="167"/>
  <c r="Q92" i="169"/>
  <c r="P91" i="169"/>
  <c r="Q161" i="169"/>
  <c r="P160" i="169"/>
  <c r="J185" i="167"/>
  <c r="G185" i="167"/>
  <c r="P173" i="169"/>
  <c r="Q174" i="169"/>
  <c r="P116" i="169"/>
  <c r="J145" i="169"/>
  <c r="P146" i="169"/>
  <c r="L245" i="166"/>
  <c r="H218" i="167"/>
  <c r="Q162" i="165"/>
  <c r="P161" i="165"/>
  <c r="J154" i="165"/>
  <c r="L197" i="167"/>
  <c r="P155" i="165"/>
  <c r="Q155" i="165" s="1"/>
  <c r="Q136" i="165"/>
  <c r="P135" i="165"/>
  <c r="J180" i="165"/>
  <c r="J189" i="165" s="1"/>
  <c r="P169" i="165"/>
  <c r="Q170" i="165"/>
  <c r="J135" i="165"/>
  <c r="Q175" i="165"/>
  <c r="P174" i="165"/>
  <c r="P145" i="165"/>
  <c r="Q146" i="165"/>
  <c r="I53" i="167"/>
  <c r="I52" i="167" s="1"/>
  <c r="G54" i="167"/>
  <c r="G53" i="167" s="1"/>
  <c r="G52" i="167" s="1"/>
  <c r="E190" i="165"/>
  <c r="F190" i="165"/>
  <c r="E189" i="165"/>
  <c r="E198" i="165"/>
  <c r="J42" i="165"/>
  <c r="P43" i="165"/>
  <c r="J100" i="165"/>
  <c r="P101" i="165"/>
  <c r="J115" i="165"/>
  <c r="P116" i="165"/>
  <c r="Q150" i="165"/>
  <c r="P149" i="165"/>
  <c r="P57" i="165"/>
  <c r="J29" i="165"/>
  <c r="P30" i="165"/>
  <c r="Q116" i="171" l="1"/>
  <c r="Q136" i="169"/>
  <c r="Q17" i="171"/>
  <c r="Q57" i="171"/>
  <c r="P56" i="171"/>
  <c r="P180" i="171" s="1"/>
  <c r="P17" i="169"/>
  <c r="J16" i="169"/>
  <c r="P91" i="165"/>
  <c r="Q92" i="165"/>
  <c r="J180" i="167"/>
  <c r="J218" i="167" s="1"/>
  <c r="P42" i="169"/>
  <c r="Q57" i="169"/>
  <c r="P135" i="169"/>
  <c r="Q146" i="169"/>
  <c r="P145" i="169"/>
  <c r="M180" i="167"/>
  <c r="P179" i="169"/>
  <c r="P16" i="169"/>
  <c r="Q169" i="169"/>
  <c r="P168" i="169"/>
  <c r="L180" i="167"/>
  <c r="Q116" i="169"/>
  <c r="P115" i="169"/>
  <c r="Q17" i="169"/>
  <c r="P29" i="169"/>
  <c r="Q30" i="169"/>
  <c r="G180" i="167"/>
  <c r="G179" i="167" s="1"/>
  <c r="L52" i="167"/>
  <c r="Q116" i="165"/>
  <c r="P115" i="165"/>
  <c r="P42" i="165"/>
  <c r="Q43" i="165"/>
  <c r="P29" i="165"/>
  <c r="Q30" i="165"/>
  <c r="P56" i="165"/>
  <c r="P180" i="165" s="1"/>
  <c r="P192" i="165" s="1"/>
  <c r="Q57" i="165"/>
  <c r="Q101" i="165"/>
  <c r="P100" i="165"/>
  <c r="P154" i="165"/>
  <c r="P189" i="171" l="1"/>
  <c r="P192" i="171"/>
  <c r="F192" i="171"/>
  <c r="P190" i="171"/>
  <c r="J179" i="167"/>
  <c r="F192" i="165"/>
  <c r="P189" i="165"/>
  <c r="P190" i="165"/>
  <c r="C101" i="138" l="1"/>
  <c r="D102" i="138" l="1"/>
  <c r="D91" i="138" s="1"/>
  <c r="C106" i="138"/>
  <c r="C100" i="138" l="1"/>
  <c r="C99" i="138"/>
  <c r="C98" i="138"/>
  <c r="D14" i="138" l="1"/>
  <c r="C29" i="127" l="1"/>
  <c r="E29" i="127"/>
  <c r="F29" i="127"/>
  <c r="C28" i="127"/>
  <c r="F28" i="127"/>
  <c r="E28" i="127"/>
  <c r="C22" i="127"/>
  <c r="C21" i="127"/>
  <c r="F22" i="127"/>
  <c r="E22" i="127"/>
  <c r="F21" i="127"/>
  <c r="E21" i="127"/>
  <c r="K168" i="153" l="1"/>
  <c r="F20" i="153"/>
  <c r="F22" i="153" s="1"/>
  <c r="G22" i="153" s="1"/>
  <c r="G14" i="107" l="1"/>
  <c r="I144" i="167" s="1"/>
  <c r="G144" i="167" l="1"/>
  <c r="G128" i="167" s="1"/>
  <c r="I128" i="167"/>
  <c r="D25" i="108"/>
  <c r="D27" i="108"/>
  <c r="I127" i="167" l="1"/>
  <c r="I218" i="167"/>
  <c r="G127" i="167"/>
  <c r="G218" i="167"/>
  <c r="C96" i="138"/>
  <c r="K218" i="167" l="1"/>
  <c r="K15" i="107"/>
  <c r="M16" i="107"/>
  <c r="O16" i="107"/>
  <c r="K13" i="107" l="1"/>
  <c r="Q16" i="107"/>
  <c r="C81" i="138" l="1"/>
  <c r="C107" i="138" l="1"/>
  <c r="C105" i="138"/>
  <c r="C104" i="138"/>
  <c r="C103" i="138"/>
  <c r="C97" i="138"/>
  <c r="C95" i="138"/>
  <c r="C93" i="138"/>
  <c r="C90" i="138"/>
  <c r="C89" i="138"/>
  <c r="D88" i="138"/>
  <c r="C88" i="138" s="1"/>
  <c r="C86" i="138"/>
  <c r="C85" i="138"/>
  <c r="C82" i="138"/>
  <c r="C80" i="138"/>
  <c r="C79" i="138"/>
  <c r="F78" i="138"/>
  <c r="F77" i="138" s="1"/>
  <c r="E78" i="138"/>
  <c r="C78" i="138" s="1"/>
  <c r="C76" i="138"/>
  <c r="C75" i="138"/>
  <c r="F74" i="138"/>
  <c r="E74" i="138"/>
  <c r="D73" i="138"/>
  <c r="C72" i="138"/>
  <c r="C71" i="138"/>
  <c r="C70" i="138"/>
  <c r="C69" i="138"/>
  <c r="C68" i="138"/>
  <c r="C67" i="138"/>
  <c r="C66" i="138"/>
  <c r="E65" i="138"/>
  <c r="C65" i="138" s="1"/>
  <c r="D64" i="138"/>
  <c r="C63" i="138"/>
  <c r="C62" i="138"/>
  <c r="C61" i="138"/>
  <c r="E60" i="138"/>
  <c r="D60" i="138"/>
  <c r="C59" i="138"/>
  <c r="C58" i="138"/>
  <c r="D57" i="138"/>
  <c r="D52" i="138" s="1"/>
  <c r="C56" i="138"/>
  <c r="C55" i="138"/>
  <c r="C54" i="138"/>
  <c r="C53" i="138"/>
  <c r="C51" i="138"/>
  <c r="C50" i="138"/>
  <c r="C49" i="138"/>
  <c r="D48" i="138"/>
  <c r="C48" i="138" s="1"/>
  <c r="C47" i="138"/>
  <c r="C46" i="138"/>
  <c r="F45" i="138"/>
  <c r="C44" i="138"/>
  <c r="C43" i="138"/>
  <c r="C42" i="138"/>
  <c r="D41" i="138"/>
  <c r="C41" i="138" s="1"/>
  <c r="C40" i="138"/>
  <c r="C39" i="138"/>
  <c r="D38" i="138"/>
  <c r="C38" i="138" s="1"/>
  <c r="C37" i="138"/>
  <c r="C36" i="138"/>
  <c r="D35" i="138"/>
  <c r="C35" i="138" s="1"/>
  <c r="C34" i="138"/>
  <c r="C33" i="138"/>
  <c r="C32" i="138"/>
  <c r="C31" i="138"/>
  <c r="C30" i="138"/>
  <c r="C29" i="138"/>
  <c r="C28" i="138"/>
  <c r="C27" i="138"/>
  <c r="C26" i="138"/>
  <c r="C25" i="138"/>
  <c r="D24" i="138"/>
  <c r="C24" i="138" s="1"/>
  <c r="C22" i="138"/>
  <c r="C21" i="138"/>
  <c r="C20" i="138"/>
  <c r="C19" i="138"/>
  <c r="C18" i="138"/>
  <c r="C17" i="138"/>
  <c r="C16" i="138"/>
  <c r="C15" i="138"/>
  <c r="C14" i="138"/>
  <c r="C102" i="138" l="1"/>
  <c r="C91" i="138"/>
  <c r="C57" i="138"/>
  <c r="C60" i="138"/>
  <c r="E77" i="138"/>
  <c r="C77" i="138" s="1"/>
  <c r="C74" i="138"/>
  <c r="D23" i="138"/>
  <c r="C23" i="138" s="1"/>
  <c r="E64" i="138"/>
  <c r="C64" i="138" s="1"/>
  <c r="C52" i="138"/>
  <c r="D45" i="138"/>
  <c r="F73" i="138"/>
  <c r="F83" i="138" s="1"/>
  <c r="F108" i="138" s="1"/>
  <c r="D13" i="138"/>
  <c r="D87" i="138" l="1"/>
  <c r="C87" i="138" s="1"/>
  <c r="E45" i="138"/>
  <c r="C45" i="138" s="1"/>
  <c r="E73" i="138"/>
  <c r="C73" i="138" s="1"/>
  <c r="D12" i="138"/>
  <c r="C13" i="138"/>
  <c r="D84" i="138" l="1"/>
  <c r="C84" i="138" s="1"/>
  <c r="E83" i="138"/>
  <c r="E108" i="138" s="1"/>
  <c r="D11" i="138"/>
  <c r="C12" i="138"/>
  <c r="D83" i="138" l="1"/>
  <c r="C11" i="138"/>
  <c r="D108" i="138" l="1"/>
  <c r="C108" i="138" s="1"/>
  <c r="C83" i="138"/>
  <c r="D31" i="108" l="1"/>
  <c r="F31" i="108" s="1"/>
  <c r="G136" i="107" l="1"/>
  <c r="F134" i="108"/>
  <c r="G135" i="107"/>
  <c r="F133" i="108"/>
  <c r="G133" i="107"/>
  <c r="F131" i="108"/>
  <c r="F132" i="108"/>
  <c r="G134" i="107"/>
  <c r="G131" i="107"/>
  <c r="F129" i="108"/>
  <c r="G132" i="107"/>
  <c r="F130" i="108"/>
  <c r="G129" i="107"/>
  <c r="F127" i="108"/>
  <c r="G128" i="107"/>
  <c r="F126" i="108"/>
  <c r="G127" i="107"/>
  <c r="F125" i="108"/>
  <c r="G126" i="107"/>
  <c r="F124" i="108"/>
  <c r="G125" i="107"/>
  <c r="F123" i="108"/>
  <c r="G124" i="107"/>
  <c r="F122" i="108"/>
  <c r="G123" i="107"/>
  <c r="F121" i="108"/>
  <c r="G122" i="107"/>
  <c r="F120" i="108"/>
  <c r="G121" i="107"/>
  <c r="F119" i="108"/>
  <c r="G120" i="107"/>
  <c r="F118" i="108"/>
  <c r="G119" i="107"/>
  <c r="F117" i="108"/>
  <c r="G117" i="107"/>
  <c r="F115" i="108"/>
  <c r="G77" i="107"/>
  <c r="G75" i="107"/>
  <c r="G74" i="107"/>
  <c r="G73" i="107"/>
  <c r="G72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5" i="107"/>
  <c r="G54" i="107"/>
  <c r="G53" i="107"/>
  <c r="G52" i="107"/>
  <c r="G50" i="107"/>
  <c r="G28" i="107"/>
  <c r="G27" i="107"/>
  <c r="G26" i="107"/>
  <c r="G25" i="107"/>
  <c r="G24" i="107"/>
  <c r="G15" i="107"/>
  <c r="O15" i="107" s="1"/>
  <c r="G144" i="107"/>
  <c r="F142" i="108"/>
  <c r="K163" i="107"/>
  <c r="J161" i="108"/>
  <c r="C36" i="127" l="1"/>
  <c r="C34" i="127"/>
  <c r="C33" i="127"/>
  <c r="C32" i="127"/>
  <c r="C17" i="127"/>
  <c r="C16" i="127"/>
  <c r="C15" i="127"/>
  <c r="F14" i="127"/>
  <c r="E14" i="127"/>
  <c r="D14" i="127"/>
  <c r="C14" i="127" l="1"/>
  <c r="K12" i="107" l="1"/>
  <c r="L13" i="107"/>
  <c r="L12" i="107" s="1"/>
  <c r="J13" i="107"/>
  <c r="J12" i="107" s="1"/>
  <c r="G13" i="107"/>
  <c r="G12" i="107" s="1"/>
  <c r="L127" i="167" s="1"/>
  <c r="H13" i="107"/>
  <c r="H12" i="107" s="1"/>
  <c r="M127" i="167" s="1"/>
  <c r="F13" i="107"/>
  <c r="O14" i="107"/>
  <c r="N14" i="107"/>
  <c r="M14" i="107"/>
  <c r="I14" i="107"/>
  <c r="I13" i="107" s="1"/>
  <c r="O13" i="107" l="1"/>
  <c r="O12" i="107" s="1"/>
  <c r="O17" i="107"/>
  <c r="I12" i="107"/>
  <c r="Q14" i="107"/>
  <c r="N15" i="107" l="1"/>
  <c r="N17" i="107" l="1"/>
  <c r="F12" i="107"/>
  <c r="F17" i="107" l="1"/>
  <c r="K127" i="167"/>
  <c r="D17" i="108"/>
  <c r="D20" i="108" s="1"/>
  <c r="E31" i="108" s="1"/>
  <c r="L17" i="107"/>
  <c r="J17" i="107"/>
  <c r="H17" i="107"/>
  <c r="M15" i="107" l="1"/>
  <c r="M13" i="107" s="1"/>
  <c r="K17" i="107"/>
  <c r="Q15" i="107" l="1"/>
  <c r="Q13" i="107" l="1"/>
  <c r="Q12" i="107" s="1"/>
  <c r="R12" i="107" s="1"/>
  <c r="Q17" i="107"/>
  <c r="M12" i="107"/>
  <c r="M17" i="107" s="1"/>
  <c r="I17" i="107" l="1"/>
  <c r="G17" i="10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Ковтун Денис Леонідович</author>
  </authors>
  <commentList>
    <comment ref="G23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04"/>
          </rPr>
          <t>Ковтун Денис Леонідович: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08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04"/>
          </rPr>
          <t>Ковтун Денис Леонідович: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75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04"/>
          </rPr>
          <t>Ковтун Денис Леонідович: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<sst xmlns="http://schemas.openxmlformats.org/spreadsheetml/2006/main" count="5675" uniqueCount="1013">
  <si>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</si>
  <si>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</si>
  <si>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Будівництво 2-ї черги водогону від с.Чернелівка Красилівського району до м.Хмельницький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</si>
  <si>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</si>
  <si>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</si>
  <si>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</si>
  <si>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</si>
  <si>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</si>
  <si>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</si>
  <si>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</si>
  <si>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Програма розвитку міста Хмельницького у сфері культури на період до 2020 року "50 кроків, що змінять місто"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</si>
  <si>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</si>
  <si>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</si>
  <si>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</si>
  <si>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</si>
  <si>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</si>
  <si>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</si>
  <si>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</si>
  <si>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</si>
  <si>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Реконструкція існуючої будівлі краєзнавчого музею під музейний комплекс історії та культури по вул.Свободи,22 в м.Хмельницькому</t>
  </si>
  <si>
    <t>1011100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</si>
  <si>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</si>
  <si>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</si>
  <si>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</si>
  <si>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</si>
  <si>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</si>
  <si>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</si>
  <si>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</si>
  <si>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житлово-комунального господарства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</si>
  <si>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</si>
  <si>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</si>
  <si>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</si>
  <si>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 xml:space="preserve">Управління з питань екології та контролю за благоустроєм міста (головний розпорядник) 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</si>
  <si>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</si>
  <si>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</si>
  <si>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</si>
  <si>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</si>
  <si>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</si>
  <si>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</si>
  <si>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</si>
  <si>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</si>
  <si>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</si>
  <si>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</si>
  <si>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</si>
  <si>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</si>
  <si>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</si>
  <si>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</si>
  <si>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</si>
  <si>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Управління житлово-комунального господарства Хмельницької міської ради (відповідальний виконавець)</t>
  </si>
  <si>
    <t xml:space="preserve">Управління з питань екології та контролю за благоустроєм міста (відповідальний виконавець) 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</si>
  <si>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</si>
  <si>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</si>
  <si>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</si>
  <si>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</si>
  <si>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</si>
  <si>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</si>
  <si>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</si>
  <si>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</si>
  <si>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</si>
  <si>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</si>
  <si>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</si>
  <si>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Всього, в т.ч.:</t>
  </si>
  <si>
    <t>0511</t>
  </si>
  <si>
    <t>Охорона та раціональне використання природних ресурсів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</si>
  <si>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</si>
  <si>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</si>
  <si>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</si>
  <si>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</si>
  <si>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</si>
  <si>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Розподіл</t>
  </si>
  <si>
    <t>Капітальні видатки</t>
  </si>
  <si>
    <t xml:space="preserve">Реконструкція покрівель житлових будинків </t>
  </si>
  <si>
    <t>Додаток 1</t>
  </si>
  <si>
    <t>( грн.)</t>
  </si>
  <si>
    <t>Код</t>
  </si>
  <si>
    <t>Найменування згідно
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</si>
  <si>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</si>
  <si>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</si>
  <si>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</si>
  <si>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</si>
  <si>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</si>
  <si>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</si>
  <si>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</si>
  <si>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</si>
  <si>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</si>
  <si>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 xml:space="preserve">Акцизний податок з реалізації суб"єктами господарювання роздрібної торгівлі підакцизних товарів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</si>
  <si>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</si>
  <si>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</si>
  <si>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</si>
  <si>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</si>
  <si>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</si>
  <si>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</si>
  <si>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</si>
  <si>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</si>
  <si>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</si>
  <si>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</si>
  <si>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</si>
  <si>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</si>
  <si>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</si>
  <si>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</si>
  <si>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</si>
  <si>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</si>
  <si>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 xml:space="preserve">Єдиний податок  з юридичних осіб
</t>
  </si>
  <si>
    <t>Єдиний податок  з фізичних осіб</t>
  </si>
  <si>
    <t xml:space="preserve">Екологічний податок </t>
  </si>
  <si>
    <t xml:space="preserve">Надходження  від викидів забруднюючих речовин в атмосферне повітря стаціонарними джерелами забруднення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</si>
  <si>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</si>
  <si>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</si>
  <si>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</si>
  <si>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</si>
  <si>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</si>
  <si>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 xml:space="preserve">Надходження від штрафів та фінансових санкцій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</si>
  <si>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</si>
  <si>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</si>
  <si>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</si>
  <si>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</si>
  <si>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</si>
  <si>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</si>
  <si>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</si>
  <si>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</si>
  <si>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</si>
  <si>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</si>
  <si>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</si>
  <si>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</si>
  <si>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</si>
  <si>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</si>
  <si>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</si>
  <si>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</si>
  <si>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</si>
  <si>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</si>
  <si>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r>
      <t>Інші джерела власних надходжень бюджетних установ</t>
    </r>
    <r>
      <rPr>
        <sz val="12"/>
        <rFont val="Times New Roman"/>
        <family val="1"/>
        <charset val="204"/>
      </rPr>
      <t xml:space="preserve">  </t>
    </r>
  </si>
  <si>
    <t xml:space="preserve">Благодійні внески, гранти та дарунки </t>
  </si>
  <si>
    <t xml:space="preserve"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</si>
  <si>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</si>
  <si>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</si>
  <si>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</si>
  <si>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</si>
  <si>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</si>
  <si>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</si>
  <si>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</si>
  <si>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</si>
  <si>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</si>
  <si>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</si>
  <si>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 xml:space="preserve">Медична субвенція з державного бюджету місцевим бюджетам </t>
  </si>
  <si>
    <t>Додаток 2</t>
  </si>
  <si>
    <t>до рішення</t>
  </si>
  <si>
    <t>200000</t>
  </si>
  <si>
    <t>Внутрішнє фінансування</t>
  </si>
  <si>
    <t>208100</t>
  </si>
  <si>
    <t>На початок періоду</t>
  </si>
  <si>
    <t>На кінець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</si>
  <si>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</si>
  <si>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</si>
  <si>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</si>
  <si>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</si>
  <si>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</si>
  <si>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Зміни обсягів готівкових коштів на початок періоду</t>
  </si>
  <si>
    <t>Зміни обсягів готівкових коштів на кінець періоду</t>
  </si>
  <si>
    <t>Надання кредитів</t>
  </si>
  <si>
    <t>Повернення кредитів</t>
  </si>
  <si>
    <t>Кошторис доходів та видатків цільового фонду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</si>
  <si>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</si>
  <si>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</si>
  <si>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</si>
  <si>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</si>
  <si>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</si>
  <si>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</si>
  <si>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</si>
  <si>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</si>
  <si>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</si>
  <si>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</si>
  <si>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</si>
  <si>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</si>
  <si>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</si>
  <si>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</si>
  <si>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</si>
  <si>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</si>
  <si>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</si>
  <si>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</si>
  <si>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</si>
  <si>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</si>
  <si>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</si>
  <si>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 xml:space="preserve">Спрямування коштів на житлове будівництво, реконструкцію та на ремонт житла всіх форм власності, в т.ч. будинків житлово-будівельних кооперативів (ТОВ "ЖЕО"), об'є́днань співвла́сників багатокварти́рних буди́нків, Будинкоуправління №2  КЕВ м. Хмельницький та будівель і споруд  комунальної власності </t>
  </si>
  <si>
    <t>Здійснення заходів з приватизації, відчуження та передачі в оренду майна комунальної власності</t>
  </si>
  <si>
    <t>Пальне (вироблене в Україні)</t>
  </si>
  <si>
    <t>Пальне  (ввезене на митну територію  України)</t>
  </si>
  <si>
    <t xml:space="preserve">Будівництво центру поводження з тваринами  КП “Надія” по вул. Заводській, 165 в м. Хмельницькому 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</si>
  <si>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</si>
  <si>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</si>
  <si>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</si>
  <si>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</si>
  <si>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</si>
  <si>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</si>
  <si>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</si>
  <si>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</si>
  <si>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</si>
  <si>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</si>
  <si>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</si>
  <si>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</si>
  <si>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</si>
  <si>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</si>
  <si>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</si>
  <si>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</si>
  <si>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</si>
  <si>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</si>
  <si>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</si>
  <si>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</si>
  <si>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</si>
  <si>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</si>
  <si>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</si>
  <si>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</si>
  <si>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</si>
  <si>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</si>
  <si>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</si>
  <si>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</si>
  <si>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</si>
  <si>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</si>
  <si>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</si>
  <si>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</si>
  <si>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</si>
  <si>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</si>
  <si>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</si>
  <si>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</si>
  <si>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</si>
  <si>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</si>
  <si>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1100</t>
  </si>
  <si>
    <t>0960</t>
  </si>
  <si>
    <t>0829</t>
  </si>
  <si>
    <t>1113121</t>
  </si>
  <si>
    <t>3121</t>
  </si>
  <si>
    <t>1040</t>
  </si>
  <si>
    <t>Утримання та забезпечення діяльності центрів соціальних служб для сім’ї, дітей та молоді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</si>
  <si>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</si>
  <si>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</si>
  <si>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</si>
  <si>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</si>
  <si>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</si>
  <si>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</si>
  <si>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</si>
  <si>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</si>
  <si>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</si>
  <si>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</si>
  <si>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</si>
  <si>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</si>
  <si>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</si>
  <si>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</si>
  <si>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</si>
  <si>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</si>
  <si>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</si>
  <si>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</si>
  <si>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</si>
  <si>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</si>
  <si>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</si>
  <si>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</si>
  <si>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</si>
  <si>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0611110</t>
  </si>
  <si>
    <t>1110</t>
  </si>
  <si>
    <t>0930</t>
  </si>
  <si>
    <t>0611150</t>
  </si>
  <si>
    <t>1150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</si>
  <si>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</si>
  <si>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</si>
  <si>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</si>
  <si>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</si>
  <si>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</si>
  <si>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</si>
  <si>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</si>
  <si>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</si>
  <si>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</si>
  <si>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</si>
  <si>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</si>
  <si>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</si>
  <si>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</si>
  <si>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</si>
  <si>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</si>
  <si>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</si>
  <si>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</si>
  <si>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</si>
  <si>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</si>
  <si>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</si>
  <si>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</si>
  <si>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</si>
  <si>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</si>
  <si>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</si>
  <si>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</si>
  <si>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</si>
  <si>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</si>
  <si>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</si>
  <si>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</si>
  <si>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</si>
  <si>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</si>
  <si>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</si>
  <si>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</si>
  <si>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</si>
  <si>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</si>
  <si>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</si>
  <si>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</si>
  <si>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</si>
  <si>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</si>
  <si>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</si>
  <si>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1218120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</si>
  <si>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</si>
  <si>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</si>
  <si>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</si>
  <si>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</si>
  <si>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</si>
  <si>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</si>
  <si>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</si>
  <si>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</si>
  <si>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</si>
  <si>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</si>
  <si>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</si>
  <si>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</si>
  <si>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</si>
  <si>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</si>
  <si>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</si>
  <si>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</si>
  <si>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</si>
  <si>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</si>
  <si>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</si>
  <si>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</si>
  <si>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</si>
  <si>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</si>
  <si>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</si>
  <si>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</si>
  <si>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</si>
  <si>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</si>
  <si>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</si>
  <si>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</si>
  <si>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</si>
  <si>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</si>
  <si>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</si>
  <si>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</si>
  <si>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</si>
  <si>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</si>
  <si>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</si>
  <si>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</si>
  <si>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1216013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</si>
  <si>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</si>
  <si>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</si>
  <si>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</si>
  <si>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</si>
  <si>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</si>
  <si>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</si>
  <si>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</si>
  <si>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</si>
  <si>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</si>
  <si>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</si>
  <si>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</si>
  <si>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</si>
  <si>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</si>
  <si>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</si>
  <si>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</si>
  <si>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</si>
  <si>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</si>
  <si>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</si>
  <si>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</si>
  <si>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</si>
  <si>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</si>
  <si>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</si>
  <si>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1217310</t>
  </si>
  <si>
    <t>7310</t>
  </si>
  <si>
    <t>1217670</t>
  </si>
  <si>
    <t>3617130</t>
  </si>
  <si>
    <t>7130</t>
  </si>
  <si>
    <t>0421</t>
  </si>
  <si>
    <t>2818311</t>
  </si>
  <si>
    <t>8311</t>
  </si>
  <si>
    <t>2818330</t>
  </si>
  <si>
    <t>8330</t>
  </si>
  <si>
    <t>Будівництвоˈ  освітніх установ та закладів</t>
  </si>
  <si>
    <t>1517321</t>
  </si>
  <si>
    <t>7321</t>
  </si>
  <si>
    <t>1517325</t>
  </si>
  <si>
    <t>7325</t>
  </si>
  <si>
    <t>Будівництвоˈ споруд, установ та закладів фізичної культури і спорту</t>
  </si>
  <si>
    <t>1517330</t>
  </si>
  <si>
    <t>7330</t>
  </si>
  <si>
    <t xml:space="preserve">до рішення № </t>
  </si>
  <si>
    <t>Перелік природоохоронних заходів,</t>
  </si>
  <si>
    <t>які будуть фінансуватися з міського фонду охорони</t>
  </si>
  <si>
    <t>№ п/п</t>
  </si>
  <si>
    <t>Код КПКВ</t>
  </si>
  <si>
    <t>Заходи, на які виділяються кошти</t>
  </si>
  <si>
    <t>Реконструкція прв. Перемоги з улаштуванням виїзду на вул.Свободи</t>
  </si>
  <si>
    <t>Виготовлення актів добору земельної ділянки, яка або право на яку виставляються на земельні торги</t>
  </si>
  <si>
    <t>Проведення експертної грошової оцінки земельної ділянки несільськогосподарського призначення</t>
  </si>
  <si>
    <t>0217670</t>
  </si>
  <si>
    <t>%</t>
  </si>
  <si>
    <t>0611161</t>
  </si>
  <si>
    <t>1161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</si>
  <si>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</si>
  <si>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</si>
  <si>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</si>
  <si>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</si>
  <si>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</si>
  <si>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</si>
  <si>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</si>
  <si>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</si>
  <si>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</si>
  <si>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</si>
  <si>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</si>
  <si>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</si>
  <si>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</si>
  <si>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</si>
  <si>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</si>
  <si>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</si>
  <si>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</si>
  <si>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</si>
  <si>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</si>
  <si>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0611162</t>
  </si>
  <si>
    <t>1162</t>
  </si>
  <si>
    <t>7691</t>
  </si>
  <si>
    <t>0217691</t>
  </si>
  <si>
    <t>Витрати, пов’язані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</si>
  <si>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</si>
  <si>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</si>
  <si>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</si>
  <si>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</si>
  <si>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здоров"я за рахунок відповідної дотації з державного бюджету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</si>
  <si>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</si>
  <si>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</si>
  <si>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</si>
  <si>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</si>
  <si>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</si>
  <si>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</si>
  <si>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Проведення навчально-тренувальних зборів і змагань та заходів зі спорту осіб з інвалідністю</t>
  </si>
  <si>
    <t>2717370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</si>
  <si>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</si>
  <si>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</si>
  <si>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</si>
  <si>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</si>
  <si>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</si>
  <si>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</si>
  <si>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</si>
  <si>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</si>
  <si>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</si>
  <si>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</si>
  <si>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</si>
  <si>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Середньострокові зобов"язання </t>
  </si>
  <si>
    <t xml:space="preserve">Погашення </t>
  </si>
  <si>
    <t>Зовнішні зобов"язання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</si>
  <si>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</si>
  <si>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</si>
  <si>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</si>
  <si>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</si>
  <si>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</si>
  <si>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</si>
  <si>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</si>
  <si>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</si>
  <si>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</si>
  <si>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Будівництво дошкільного навчального закладу на 120 місць по провулку Шостаковича, 28-А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</si>
  <si>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Кам"янецькій, 38 в м. Хмельницькому</t>
  </si>
  <si>
    <t>Будівництво навчально-виховного комплексу на вул. Залізняка, 32 в м.Хмельницькому</t>
  </si>
  <si>
    <t>Будівництво самопливного і напірного колекторів та каналізаційної насосної станції продуктивністю 1500 куб.м/добу на житловому масиві "Лезнево 1,2" в м.Хмельницькому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</si>
  <si>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</si>
  <si>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</si>
  <si>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</si>
  <si>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(відповідальний виконавець)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</si>
  <si>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</si>
  <si>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Я.Гальчевського, 34 в м.Хмельницькому 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</si>
  <si>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</si>
  <si>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</si>
  <si>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1119770</t>
  </si>
  <si>
    <t>1216012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</si>
  <si>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</si>
  <si>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</si>
  <si>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</si>
  <si>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</si>
  <si>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</si>
  <si>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</si>
  <si>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</si>
  <si>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</si>
  <si>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</si>
  <si>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</si>
  <si>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</si>
  <si>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</si>
  <si>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</si>
  <si>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</si>
  <si>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</si>
  <si>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</si>
  <si>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</si>
  <si>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</si>
  <si>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</si>
  <si>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</si>
  <si>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</si>
  <si>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</si>
  <si>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</si>
  <si>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</si>
  <si>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</si>
  <si>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</si>
  <si>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</si>
  <si>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</si>
  <si>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</si>
  <si>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</si>
  <si>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Додаток №8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</si>
  <si>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</si>
  <si>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2017 - 2020 роки</t>
  </si>
  <si>
    <t>Рішення 6-ї сесії Хмельницької міської ради від 18.05.2016 року №16</t>
  </si>
  <si>
    <t>Рішення 19-ї сесії Хмельницької міської ради від 21.02.2001 року №6</t>
  </si>
  <si>
    <t>0817323</t>
  </si>
  <si>
    <t>7323</t>
  </si>
  <si>
    <t>Будівництвоˈ установ та закладів соціальної сфери</t>
  </si>
  <si>
    <t>Будівництво приміщення відділення тимчасового цілодобового перебування Хмельницького міського територіального центру соціального обслуговування (надання соціальних послуг) по вул. Перемоги, 7-А в м.Хмельницькому</t>
  </si>
  <si>
    <t>Рішення 11-ї сесії Хмельницької міської ради від 25.01.2017 року №20</t>
  </si>
  <si>
    <t>Рішення 20-ї сесії Хмельницької міської ради від 31.01.2018 року №82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</si>
  <si>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</si>
  <si>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</si>
  <si>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</si>
  <si>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</si>
  <si>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</si>
  <si>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</si>
  <si>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</si>
  <si>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</si>
  <si>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</si>
  <si>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Програма утримання та розвитку житлово-комунального господарства та благоустрою м.Хмельницького на 2017-2020 роки</t>
  </si>
  <si>
    <t>Рішення позачергової 10-ї сесії Хмельницької міської ради від 29.12.2016 року № 6</t>
  </si>
  <si>
    <t>Рішення 4-ї сесії Хмельницької міськї ради від 27.01.2016 року №57</t>
  </si>
  <si>
    <t>1510160</t>
  </si>
  <si>
    <t>3610160</t>
  </si>
  <si>
    <t>1610160</t>
  </si>
  <si>
    <t>3710160</t>
  </si>
  <si>
    <t>1210160</t>
  </si>
  <si>
    <t>2810160</t>
  </si>
  <si>
    <t>Рішення 48-ї сесії Хмельницької міської ради від 04.03.2015 року №80</t>
  </si>
  <si>
    <t>Програма впровадження електронного урядування у Хмельницькій  міській раді на 2015-2020 роки (із змінами і доповненнями)</t>
  </si>
  <si>
    <t>Рішення 19-ї сесії Хмельницької міської ради від 27.12.2017 року №48</t>
  </si>
  <si>
    <t>0817691</t>
  </si>
  <si>
    <t>1217691</t>
  </si>
  <si>
    <t>Рішення 21-ї сесії Хмельницької міської ради від 11.04.2018 року №11</t>
  </si>
  <si>
    <t>Програма міжнародного співробітництва та промоції міста Хмельницького на 2016-2020 роки (із змінами і доповненнями)</t>
  </si>
  <si>
    <t>Рішення 7-ї сесії Хмельницької міської ради від 20.07.2016 року №76</t>
  </si>
  <si>
    <t>Програма розвитку освіти міста Хмельницького на 2017-2021 роки (із змінами і доповненнями)</t>
  </si>
  <si>
    <t>Комплексна програма «Піклування» в м.Хмельницькому на 2017 - 2021 роки (із змінами і доповненнями)</t>
  </si>
  <si>
    <t>Програма охорони довкілля міста Хмельницького на 2016-2020 роки</t>
  </si>
  <si>
    <t>у тому числі  бюджет розвитку</t>
  </si>
  <si>
    <t>Офіційні трансферти</t>
  </si>
  <si>
    <t>0813210</t>
  </si>
  <si>
    <t>2006 - 2020 роки</t>
  </si>
  <si>
    <t>2018 - 2020 роки</t>
  </si>
  <si>
    <t>2013 - 2020 роки</t>
  </si>
  <si>
    <t>Рішення 22-ї сесії Хмельницької міської ради від 04.0.2018 року №5</t>
  </si>
  <si>
    <t>Рішення 27-ї сесії Хмельницької міської ради від 14.12.2018 року №16</t>
  </si>
  <si>
    <t>Рішення 27-ї сесії Хмельницької міської ради від 14.12.2018 року №13</t>
  </si>
  <si>
    <t>0611170</t>
  </si>
  <si>
    <t>1170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</si>
  <si>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</si>
  <si>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</si>
  <si>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</si>
  <si>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</si>
  <si>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1510180</t>
  </si>
  <si>
    <t>2019 - 2020 роки</t>
  </si>
  <si>
    <t>1210180</t>
  </si>
  <si>
    <t>1515043</t>
  </si>
  <si>
    <t>Створення нових, будівельно-ремонтні роботи існуючих палаців спорту та завершення розпочатих у попередньому періоді робіт з будівництва/реконструкції палаців спорту</t>
  </si>
  <si>
    <t>5043</t>
  </si>
  <si>
    <t xml:space="preserve">   Будівництво Льодового палацу  по вул.Прибузькій, 7/3А в м.Хмельницькому, в т.ч. виготовлення проектно-кошторисної документації</t>
  </si>
  <si>
    <t xml:space="preserve">Будівництво парку "Молодіжний" на вул. С. Бандери в м. Хмельницькому </t>
  </si>
  <si>
    <t>1217370</t>
  </si>
  <si>
    <t xml:space="preserve">Управління з питань екології та контролю за благоустроєм міста Хмельницької міської ради (головний розпорядник) </t>
  </si>
  <si>
    <t xml:space="preserve">Управління з питань екології та контролю за благоустроєм міста Хмельницької міської ради (відповідальний виконавець) </t>
  </si>
  <si>
    <t>Управління земельних ресурсів та земельної реформи Департаменту архітектури, містобудування та земельних ресурсів Хмельницької міської ради (головний розпорядник)</t>
  </si>
  <si>
    <t>Управління земельних ресурсів та земельної реформи Департаменту архітектури, містобудування та земельних ресурсів Хмельницької міської ради (відповідальний розпорядник)</t>
  </si>
  <si>
    <t>0717670</t>
  </si>
  <si>
    <t>Програма «Здоров’я хмельничан» на 2017-2021 роки (із змінами і доповненнями)</t>
  </si>
  <si>
    <t>Рішення 6-ї сесії Хмельницької міської ради від 18.05.2016 року №7</t>
  </si>
  <si>
    <t>Програма 
"Громадські ініціативи" м.Хмельницького на 2016 - 2020 роки (із змінами і доповненнями)</t>
  </si>
  <si>
    <t>Завершення будівництва нежитлового приміщення з влаштуванням зовнішніх мереж та футбольного і тренажерного майданчиків на водно-спортивній станції по вул.Нижній Береговій, 2/1 в м.Хмельницькому</t>
  </si>
  <si>
    <t>2018 - 2022 роки</t>
  </si>
  <si>
    <t>Внески до статутного капіталу Міського комунального підприємства по утриманню нежитлових приміщень (реконструкція нежитлового приміщення за адресою вул.Героїв Майдану, 12 у м.Хмельницький)</t>
  </si>
  <si>
    <t>Програма співфінансування робіт з ремонту багатоквартирних житлових будинків м. Хмельницького на 2019-2023 роки</t>
  </si>
  <si>
    <t>Програма популяризації та ефективного впрвадження програм у сфері житлово-комунального господарства на 2019-2023 роки</t>
  </si>
  <si>
    <t>1517370</t>
  </si>
  <si>
    <t>Програма соціальної підтримки учасників АТО, учасників Революції Гідності, бійців-добровольців АТО у м. Хмельницькому та членів їх сімей на 2018 - 2020 рр. (із змінами і доповненнями)</t>
  </si>
  <si>
    <t>Програма соціальної підтримки учасників АТО, учасників Революції Гідності, бійців-добровольців АТО у м. Хмельницькому та членів їх сімей на 2018 - 2020 рр.  (із змінами і доповненнями)</t>
  </si>
  <si>
    <t>Програма відшкодування частини відсоткових ставок та кредитів, отриманних ОСББ, ЖБК на впровадження відновлювальних джерел енергії та заходів з енергозбереження, термомодернізації багатоквартирних житлових будинків у м.Хмельницькому на 2019-2022 роки</t>
  </si>
  <si>
    <t xml:space="preserve">Субвенції з державного бюджету місцевим бюджетам </t>
  </si>
  <si>
    <t>Доходи  бюджету м. Хмельницького на 2020 рік</t>
  </si>
  <si>
    <t>Рішення позачергової 10-ї сесії Хмельницької міської ради від 24.10.2016 року № 6</t>
  </si>
  <si>
    <t>на 2020 рік</t>
  </si>
  <si>
    <t>Залишок коштів на 01.01.2020 року</t>
  </si>
  <si>
    <t>видатків бюджету міста Хмельницького на 2020 рік</t>
  </si>
  <si>
    <t>Кредитування бюджету міста Хмельницького у 2020 році</t>
  </si>
  <si>
    <t>Розподіл витрат бюджету міста Хмельницького на реалізацію місцевих/регіональних програм у 2020 році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</si>
  <si>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рамок, грамот, подяк, кубків і т.д)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</si>
  <si>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</si>
  <si>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</si>
  <si>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Будівництво спортивного майданчика з штучним покриттям по пров. Володимирському, 12 в м.Хмельницькому</t>
  </si>
  <si>
    <t>Попередження виникнення надзвичайних ситуацій та забезпечення  пожежної і техногенної безпеки об'єктів усіх форм власності,розвитку інфраструктури пожежно-рятувальних підрозділів у м.Хмельницькому на 2016-2020 роки (із змінами і доповненнями)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</si>
  <si>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</si>
  <si>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</si>
  <si>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</si>
  <si>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</si>
  <si>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</si>
  <si>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</si>
  <si>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</si>
  <si>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фінансової підтримки комунальної установи Хмельницької міської ради "Агенція розвитку Хмельницького" на 2019-2021 роки  (із змінами і доповненнями)</t>
  </si>
  <si>
    <t>Програма розвитку підприємництва міста Хмельницького на 2019-2021 роки  (із змінами і доповненнями)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</si>
  <si>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</si>
  <si>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</si>
  <si>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</si>
  <si>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</si>
  <si>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Резервний фонд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</si>
  <si>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</si>
  <si>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</si>
  <si>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</si>
  <si>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</si>
  <si>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Програма підтримки книговидання місцевих авторів та популяризації української книги у м.Хмельницькому на 2018-2020 роки "Читай українською"</t>
  </si>
  <si>
    <t>Рішення 19-ї сесії Хмельницької міської ради від 27.12.2017 року №25</t>
  </si>
  <si>
    <t>Програма зайнятості населення м.Хмельницького на 2018 - 2020 роки</t>
  </si>
  <si>
    <t>Реставрація фасадів приміщення виконавчого комітету міської ради (заміна вікон) по вул. Гагаріна, 3 (в тому числі виготовлення проектно-кошторисної документації)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</si>
  <si>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</si>
  <si>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</si>
  <si>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</si>
  <si>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Повернення пільгових довгострокових кредитів, наданих молодим сім'ям та одиноким молодим громадянам на будівництво/придбання житла</t>
  </si>
  <si>
    <t>8821</t>
  </si>
  <si>
    <t>8822</t>
  </si>
  <si>
    <t>Програма 
підтримки сім'ї на 2016 - 2020 роки  (із змінами і доповненнями)</t>
  </si>
  <si>
    <t>Рішення 5-ї сесії Хмельницької міської ради від 16.03.2016 року №10</t>
  </si>
  <si>
    <t xml:space="preserve">Реконструкція тенісних кортів ДЮСШ №3 по вул. Прибузька, 3/1 в м.Хмельницькому (в тому числі виготовлення проектно-кошторисної документації) </t>
  </si>
  <si>
    <t>Придбання та впровадження установок, обладнання та машин для збору, транспортування, перероблення, знешкодження та складування побутових відходів</t>
  </si>
  <si>
    <t>Здійснення заходів із землеустрою</t>
  </si>
  <si>
    <t>Будівництво Палацу спорту по вул.Прибузькій, 5/1а у м.Хмельницькому</t>
  </si>
  <si>
    <t xml:space="preserve">Реконструкція з надбудовою приміщень навчально-виховного комплексу №10 по вул. Водопровідній, 9А в м.Хмельницькому </t>
  </si>
  <si>
    <t>2012 - 2021 роки</t>
  </si>
  <si>
    <t xml:space="preserve"> Реконструкція з добудовою приміщень Хмельницького ліцею №17 під спортивну залу на вул.Героїв Майдану, 5 в м.Хмельницькому</t>
  </si>
  <si>
    <t xml:space="preserve">Будівництво спеціалізованого залу боксу на території спортивного комплексу "Поділля" ДЮСШ №1 по вул.Проскурівській, 81  в м.Хмельницькому </t>
  </si>
  <si>
    <t>2018 - 2023 роки</t>
  </si>
  <si>
    <t>Будівництвоˈ інших об'єктів комунальної власності</t>
  </si>
  <si>
    <t xml:space="preserve">Реконструкція мереж водопроводу та каналізації в мікрорайоні "Лезнево" м.Хмельницький 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</si>
  <si>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</si>
  <si>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</si>
  <si>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</si>
  <si>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</si>
  <si>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</si>
  <si>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</si>
  <si>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Програма розвитку та вдосконалення міського пасажирського транспорту міста Хмельницького на 2019 - 2023 роки</t>
  </si>
  <si>
    <t>Будівництвоˈ об'єктів житлово-комунального господарства</t>
  </si>
  <si>
    <t>Внески до статутного капіталу ХКП "Спецкомунтранс" (Реконструкція полігону твердих побутових відходів за адресою м. Хмельницький, вул. Проспект Миру, 7.  Містобудівний розрахунок)</t>
  </si>
  <si>
    <t>2019 -2020 роки</t>
  </si>
  <si>
    <t>Внески до статутного капіталу МКП "Хмельницькводоканал" (Реконструкція ділянки водопроводу по вул. Львівське шосе, 14 в м. Хмельницький)</t>
  </si>
  <si>
    <t>2020 рік</t>
  </si>
  <si>
    <t>Внески до статутного капіталу КП "Чайка" (Реконструкція газових мереж з встановленням вузла обліку газу)</t>
  </si>
  <si>
    <t>2019 -2021 роки</t>
  </si>
  <si>
    <t>0512</t>
  </si>
  <si>
    <r>
      <t>Будівництво</t>
    </r>
    <r>
      <rPr>
        <b/>
        <vertAlign val="superscript"/>
        <sz val="36"/>
        <color rgb="FF000000"/>
        <rFont val="Times New Roman"/>
        <family val="1"/>
        <charset val="204"/>
      </rPr>
      <t>1</t>
    </r>
    <r>
      <rPr>
        <sz val="36"/>
        <color rgb="FF000000"/>
        <rFont val="Times New Roman"/>
        <family val="1"/>
        <charset val="204"/>
      </rPr>
      <t> інших об'єктів комунальної власності</t>
    </r>
  </si>
  <si>
    <r>
      <t>Будівництво</t>
    </r>
    <r>
      <rPr>
        <b/>
        <vertAlign val="superscript"/>
        <sz val="36"/>
        <color rgb="FF000000"/>
        <rFont val="Times New Roman"/>
        <family val="1"/>
        <charset val="204"/>
      </rPr>
      <t>1</t>
    </r>
    <r>
      <rPr>
        <sz val="36"/>
        <color rgb="FF000000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</si>
  <si>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color rgb="FF000000"/>
        <rFont val="Times New Roman"/>
        <family val="1"/>
        <charset val="204"/>
      </rPr>
      <t>1</t>
    </r>
    <r>
      <rPr>
        <sz val="36"/>
        <color rgb="FF000000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</si>
  <si>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36"/>
        <color rgb="FF000000"/>
        <rFont val="Times New Roman"/>
        <family val="1"/>
        <charset val="204"/>
      </rPr>
      <t>1</t>
    </r>
    <r>
      <rPr>
        <sz val="36"/>
        <color rgb="FF000000"/>
        <rFont val="Times New Roman"/>
        <family val="1"/>
        <charset val="204"/>
      </rPr>
      <t>  установ та закладів соціальної сфери</t>
    </r>
  </si>
  <si>
    <r>
      <t>Будівництво</t>
    </r>
    <r>
      <rPr>
        <b/>
        <vertAlign val="superscript"/>
        <sz val="36"/>
        <color rgb="FF000000"/>
        <rFont val="Times New Roman"/>
        <family val="1"/>
        <charset val="204"/>
      </rPr>
      <t>1</t>
    </r>
    <r>
      <rPr>
        <sz val="36"/>
        <color rgb="FF000000"/>
        <rFont val="Times New Roman"/>
        <family val="1"/>
        <charset val="204"/>
      </rPr>
      <t>  об'єктів житлово-комунального господарства</t>
    </r>
  </si>
  <si>
    <t>2818312</t>
  </si>
  <si>
    <t>8312</t>
  </si>
  <si>
    <t>Утилізація відходів</t>
  </si>
  <si>
    <t>Інша діяльність у сфері екології та охорони природних ресурсів</t>
  </si>
  <si>
    <t>навколишнього природного середовища у 2020 році</t>
  </si>
  <si>
    <t xml:space="preserve">Фінансування бюджету міста Хмельницького на 2020 рік </t>
  </si>
  <si>
    <t>Рішення 29-ї сесії міської ради від 13.02.2019 р. № 31</t>
  </si>
  <si>
    <t>Програма сприяння впровадження відновлювальних джерел енергії власниками приватних житлових будинків м. Хмельницького на 2018-2029 роки</t>
  </si>
  <si>
    <t>Рішення 19-ї сесії Хмельницької міської ради від 27.12.2017 р. № 39</t>
  </si>
  <si>
    <t>Внески до статутного капіталу ХКП "Спецкомунтранс" (Виконання робіт по реконструкції полігону твердих побутових відходів з метою запобігання виникнення надзвичайної екологісної ситуації  за адресою м.Хмельницький, вул.Проспект Миру,7)</t>
  </si>
  <si>
    <t>Внески до статутного капіталу КП "Чайка" (Капітальні видатки)</t>
  </si>
  <si>
    <t>Будівництво на кладовищі надгробків на могилах загиблих учасників АТО/ООС</t>
  </si>
  <si>
    <t xml:space="preserve">     Виплата грошової винагороди у розмірі, передбаченому Положенням про звання "Почесний громадянин міста Хмельницького", Положенням "Про почесну відзнаку міської громади "Мужність і відвага""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</si>
  <si>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  загиблих та померлих учасників ООС; Почесних громадян міста; інших осіб.</t>
  </si>
  <si>
    <t>Рішення 5-ї сесії Хмельницької міської ради від 16.03.2016 року №31  (із змінами і доповненнями)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</si>
  <si>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</si>
  <si>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</si>
  <si>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</si>
  <si>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</si>
  <si>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</si>
  <si>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</si>
  <si>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здоров’я  за рахунок коштів медичної субвенції</t>
  </si>
  <si>
    <t>Інші субвенції з місцевого бюджету, в тому числі:</t>
  </si>
  <si>
    <t xml:space="preserve">  - на пільгове медичне обслуговування громадян, які постраждали внаслідок Чорнобильської катастрофи  </t>
  </si>
  <si>
    <t xml:space="preserve">   - на компенсаційні виплати інвалідам на бензин, ремонт, техобслуговування автотранспорту та транспортне обслуговування </t>
  </si>
  <si>
    <t xml:space="preserve">  - на поховання учасників бойових дій та інвалідів війни 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</si>
  <si>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</si>
  <si>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</si>
  <si>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</si>
  <si>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</si>
  <si>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</si>
  <si>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</si>
  <si>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</si>
  <si>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</si>
  <si>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</si>
  <si>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</si>
  <si>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</si>
  <si>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</si>
  <si>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Внески до статутного капіталу МКП "Хмельницькводоканал" (Будівництво зовнішніх мереж водопостачання вул. Ващука, вул. Ігнатенка, вул. Правика, вул. Кібенка, пров. Правика, пров. Ващука, пров. Кібенка житлового масиву "Прометей" в м.Хмельницький)</t>
  </si>
  <si>
    <t>2020 - 2021 роки</t>
  </si>
  <si>
    <t>Код бюджету - 22201000000</t>
  </si>
  <si>
    <t xml:space="preserve">Цільові фонди </t>
  </si>
  <si>
    <t>Усього доходів (без врахування міжбюджетних трансфертів)</t>
  </si>
  <si>
    <t>Разом  доходів</t>
  </si>
  <si>
    <t>Рішення 30-ї сесії Хмельницької  міської  ради   від 17.04.2019 року     № 48</t>
  </si>
  <si>
    <t>Програма поводження з побутовими відходами у м.Хмельницьницькому - Програма "Розумне довкілля Хмельницький" на 2020 р.</t>
  </si>
  <si>
    <t>Рішення позачергової 36-ї сесії Хмельницької міської ради від 24.12.2019 року №10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</si>
  <si>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</si>
  <si>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</si>
  <si>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</si>
  <si>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</si>
  <si>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бюджету міста Хмельницького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</si>
  <si>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Додаток 3</t>
  </si>
  <si>
    <t>Додаток 4
до рішення  №          від                     2020 року</t>
  </si>
  <si>
    <t>Додаток 6</t>
  </si>
  <si>
    <t>Додаток  7</t>
  </si>
  <si>
    <t xml:space="preserve">до рішення  №     від     2020 року </t>
  </si>
  <si>
    <t xml:space="preserve">від         2020 року 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</si>
  <si>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</si>
  <si>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</si>
  <si>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</si>
  <si>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</si>
  <si>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</si>
  <si>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</si>
  <si>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</si>
  <si>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</si>
  <si>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Надання спеціальної освіти мистецькими школами</t>
  </si>
  <si>
    <t>Підготовка кадрів закладами професійної (професійно-технічної) освіти та іншими закладами освіти</t>
  </si>
  <si>
    <t>Методичне забезпечення діяльності закладів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</si>
  <si>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</si>
  <si>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</si>
  <si>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</si>
  <si>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</si>
  <si>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</si>
  <si>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</si>
  <si>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</si>
  <si>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</si>
  <si>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</si>
  <si>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</si>
  <si>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</si>
  <si>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</si>
  <si>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Програма висвітлення діяльності Хмельницької міської ради та її виконавчих органів на 2020 рік</t>
  </si>
  <si>
    <t>Програма економічного і соціального розвитку міста Хмельницького на 2020 рік</t>
  </si>
  <si>
    <t>Рішення 35-ї сесії Хмельницької міської ради від 11.12.2019 року №3</t>
  </si>
  <si>
    <t>0217693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</si>
  <si>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</si>
  <si>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</si>
  <si>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</si>
  <si>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 затвердження Комплексної програми мобілізації зусиль Хмельницької міської ради та Головного управління Державної фіскальної служби у Хмельницькій області по забезпеченню надходжень до бюджетів усіх рівнів на 2016 - 2020 роки (із змінами і доповненнями)</t>
  </si>
  <si>
    <t>Рішення 6-ї сесії Хмельницької міської ради від 18.05.2016 року №15</t>
  </si>
  <si>
    <t>Цільова програма
попередження виникнення надзвичайних ситуацій та забезпечення пожежної і техногенної безпеки об'єктів усіх форм власності, розвитку інфраструктури пожежно-рятувальних підрозділів у м. Хмельницькому на 2016 - 2020 роки (із змінами і доповненнями)</t>
  </si>
  <si>
    <t>Рішення 4-ї сесії Хмельницької міської ради від 27.01.2016 року №57</t>
  </si>
  <si>
    <t>Програма
військово-патріотичного виховання мешканців міста Хмельницького на 2016 - 2020 роки (із змінами і доповненнями)</t>
  </si>
  <si>
    <t>Рішення 9-ї сесії Хмельницької міської ради від 26.10.2016 року №4</t>
  </si>
  <si>
    <t>Рішення позачергової 36-ї сесії Хмельницької міської ради від 24.12.2019 року №5</t>
  </si>
  <si>
    <t>Рішення 9-ї сесії Хмельницької міської ради від 26.10.2016 року №7</t>
  </si>
  <si>
    <t>Комплексна програма профілактики, попередження адміністративних правопорушень та покращення забезпечення громадського правопорядку для жителів міста Хмельницького на 2016 - 2020 роки (із змінами і доповненнями)</t>
  </si>
  <si>
    <r>
      <t>Будівництво</t>
    </r>
    <r>
      <rPr>
        <b/>
        <vertAlign val="superscript"/>
        <sz val="36"/>
        <color rgb="FF000000"/>
        <rFont val="Times New Roman"/>
        <family val="1"/>
        <charset val="204"/>
      </rPr>
      <t>1</t>
    </r>
    <r>
      <rPr>
        <sz val="36"/>
        <color rgb="FF000000"/>
        <rFont val="Times New Roman"/>
        <family val="1"/>
        <charset val="204"/>
      </rPr>
      <t>  установ та закладів культури</t>
    </r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</si>
  <si>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</si>
  <si>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</si>
  <si>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</si>
  <si>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</si>
  <si>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1218110</t>
  </si>
  <si>
    <t>Реконструкція каналізаційних насосних станцій №2, №7, №12 у місті Хмельницькому</t>
  </si>
  <si>
    <t>1617350</t>
  </si>
  <si>
    <t>7350</t>
  </si>
  <si>
    <t>Розроблення схем планування та забудови територій (містобудівної документації)</t>
  </si>
  <si>
    <t>8320</t>
  </si>
  <si>
    <t>Збереження природно-заповідного фонду</t>
  </si>
  <si>
    <t>2818320</t>
  </si>
  <si>
    <t>0520</t>
  </si>
  <si>
    <t>Заходи з озеленення міста</t>
  </si>
  <si>
    <t xml:space="preserve">Придбання систем, приладів для здійснення контролю  за якістю поверхневих та підземних вод на території міста </t>
  </si>
  <si>
    <t>Біологічна меліорація водойм</t>
  </si>
  <si>
    <t>Розроблення документації із землеустрою для територій та об‘єктів природно-заповідного фонду. Винесення меж в натуру територій природно-заповідного фонду</t>
  </si>
  <si>
    <t>Встановлення (поновлення) знаків аншлагів, межових знаків на території об‘єктів природно-заповідного фонду</t>
  </si>
  <si>
    <t>0617640</t>
  </si>
  <si>
    <t>Комплексна програма реалізації молодіжної політики та розвитку фізичної культури і спорту у м.Хмельницькому на 2017 - 2021 роки (із змінами і доповненнями)</t>
  </si>
  <si>
    <t>Цільова програма
попередження виникнення надзвичайних ситуацій та забезпечення пожежної і техногенної безпеки об'єктів усіх форм власності, розвитку інфраструктури пожежно-рятувальних підрозділів у м.Хмельницькому на 2016 - 2020 роки (із змінами і доповненнями)</t>
  </si>
  <si>
    <t>Програма розвитку міського комунального підприємства "Муніципальна телерадіокомпанія "Місто"" на 2018-2020 роки (із змінами і доповненнями)</t>
  </si>
  <si>
    <t>Програма розвитку, підтримки комунальних закладів охорони здоров’я та надання медичних послуг понад обсяг, передбачений програмою державних гарантій медичного обслуговування населення міста Хмельницького на 2020 рік</t>
  </si>
  <si>
    <t>Рішення позачергової 41-ї сесії Хмельницької міської ради від 29.04.2020 року №1</t>
  </si>
  <si>
    <t>Розподіл коштів бюджету розвитку на здійснення заходів із будівництва, реконструкції і реставрації об'єктів виробничої, комунікаційної та соціальної інфраструктури за об'єктами у 2020 році</t>
  </si>
  <si>
    <t>Найменування головного розпорядника коштів бюджету міста Хмельницького/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</si>
  <si>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об’єкта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</si>
  <si>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</si>
  <si>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</si>
  <si>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</si>
  <si>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</si>
  <si>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</si>
  <si>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Придбання обладнання і предметів довгострокового користування</t>
  </si>
  <si>
    <t>Виготовлення проектно-кошторисної документації на реставрацію внутрішніх електромереж в приміщенні виконавчого комітету Хмельницької міської ради за адресою вул. Гагаріна, 3</t>
  </si>
  <si>
    <t>Капітальний ремонт підвальних приміщень з влаштуванням дренажної системи дошкільного навчального закладу № 6 "Колобок" по вул. Львівське шосе,43/2 в м.Хмельницькому</t>
  </si>
  <si>
    <t>Капітальний ремонт (зовнішнє опорядження та утеплення фасадів, заміна покрівлі) Хмельницького ДНЗ №21 "Ластівка" за адресою: вул. Сковороди, 31, м. Хмельницький</t>
  </si>
  <si>
    <t>Капітальний ремонт тепломережі Хмельницького ДНЗ №23 "Вогник"за адресою: вул. Бажана, 2, м. Хмельницький</t>
  </si>
  <si>
    <t>Капітальний ремонт огорожі Хмельницького дошкільного навчального закладу №24 "Барвінок" по вул. Купріна, 54/1 в м. Хмельницькому</t>
  </si>
  <si>
    <t>Капітальний ремонт водовідвідної системи, сходів та приямків дошкільного навчального закладу №32 "Росинка" по вул. Зарічанській, 12/1 в м. Хмельницькому</t>
  </si>
  <si>
    <t>Капітальний ремонт утеплення цоколя ДНЗ №32 "Росинка" по вул.Зарічанській, 12/1 в м.Хмельницькому</t>
  </si>
  <si>
    <t>1529950,52     ЗОШ №6</t>
  </si>
  <si>
    <t>Будівництво мережі каналізації Хмельницької середньої загальноосвітньої школи І-ІІІ ступенів №13 імені М.К.Чекмана по вул.Профспілковій, 39 в м. Хмельницькому (в тому числі виготовлення технічних умов та проектно-кошторисної документації)</t>
  </si>
  <si>
    <t>Нове будівництво мережі каналізації Хмельницької спеціалізованої загальноосвітньої школи №19 І-ІІІ ступенів імені академіка Михайла Павловського по вул. Кам'янецькій, 164 в м. Хмельницький</t>
  </si>
  <si>
    <t>Капітальний ремонт харчоблоку Хмельницької спеціалізованої загальноосвітньої школи І-ІІІ ступенів №1</t>
  </si>
  <si>
    <t>Капітальний ремонт приміщень холу Гімназії №2 м. Хмельницького по пр.Миру 84/2 в м. Хмельницькому</t>
  </si>
  <si>
    <t>Капітальний ремонт спортивного майданчика  Гімназії №2 м.Хмельницького по пр. Миру 84/2 в м.Хмельницькому</t>
  </si>
  <si>
    <t>Капітальний ремонт автоматичної  пожежної сигналізації та оповіщення про пожежу на об'єкті: Навчально-виховний комплекс №2 м. Хмельницький по вул.І.Франка, 57 в м. Хмельницький, Хмельницької області (в тому числі виготовлення проектно-кошторисної документації)</t>
  </si>
  <si>
    <t>Капітальний ремонт автоматичної  пожежної сигналізації та оповіщення про пожежу на об'єкті: Навчально-виховний комплекс №4 м. Хмельницький по вул.Перемоги, 9 в м. Хмельницький, Хмельницької області (в тому числі виготовлення проектно-кошторисної документації)</t>
  </si>
  <si>
    <t xml:space="preserve"> Капітальний ремонт пожежної сигналізації на об'єкті: Хмельницька середня загальноосвітня школа І-ІІІ ступенів №20, що знаходиться за адресою: Хмельницька область, м. Хмельницький, вул. Івана Павла ІІ, 1</t>
  </si>
  <si>
    <t>Капітальний ремонт спортивного майданчика з облаштуванням міні футбольного поля зі штучним покриттям, волейбольним та баскетбольним майданчиками, освітленням для середньої загальноосвітньої школи І-ІІІ ступенів №25 ім. Івана Огієнка по вул. Степана Бандери, 14/1 в м. Хмельницькому</t>
  </si>
  <si>
    <t>Капітальний ремонт пожежної сигналізації на об'єкті: Хмельницька середня загальноосвітня школа І-ІІІ ступенів №25 імені Івана Огієнка по вул. Степана Бандери, 14/1 в м. Хмельницькому</t>
  </si>
  <si>
    <t>Капітальний ремонт огорожі Хмельницького навчально-виховного комплексу №31 "Дошкільний навчальний заклад - загальноосвітній навчальний заклад І ступеня" по вул. Миколи Мазура, 17 в м. Хмельницькому</t>
  </si>
  <si>
    <t xml:space="preserve">Реконструкція спортивного майданчика під мультифункціональний  майданчик для занять ігровими видами спорту на території Хмельницької спеціалізованої середньої загальноосвітньої школи І-ІІІ ступенів №1 за адресою вул. Староміська, 2 в м. Хмельницькому (в тому числі виготовлення проектно-кошторисної документації) </t>
  </si>
  <si>
    <t xml:space="preserve">Виготовлення проектно-кошторисної документації на проведення реконструкції спортивного майданчика під мультифункціональний  майданчик для занять ігровими видами спорту на території Хмельницької спеціалізованої середньої загальноосвітньої школи І-ІІІ ступенів №12  за адресою вул. Довженка, 6 </t>
  </si>
  <si>
    <t xml:space="preserve">Реконструкція спортивного майданчика під мультифункціональний  майданчик для занять ігровими видами спорту на території Хмельницького навчально-виховного комплексу №31 за адресою вул. Миколи Мазура, 17 в м. Хмельницькому (в тому числі виготовлення проектно-кошторисної документації) </t>
  </si>
  <si>
    <t>Капітальний ремонт - утеплення фасаду та сходового майданчика перед палацом творчості дітей та юнацтва по вул. Свободи, 2/1 в м.Хмельницькому (1 та 2 черга)</t>
  </si>
  <si>
    <t>2016 - 2020 роки</t>
  </si>
  <si>
    <t>Капітальний ремонт приміщень в палаці творчості дітей та юнацтва для облаштування студії робототехніки, що знаходиться за адресою: м. Хмельницький, вул. Свободи, буд. 2/1</t>
  </si>
  <si>
    <t>Виготовлення проектно-кошторисної документації на проведення капітального ремонту приміщення Хмельницького центру національно-патріотичного виховання, краєзнавства і туризму ім.Романа Шухевича, вул. Інституцька 3</t>
  </si>
  <si>
    <t>Нове будівництво діючої теплиці, як навчальної лабораторії та збірно-розбірного макету тепличного господарства "ДНЗ ВПУ №11 м.Хмельницького"</t>
  </si>
  <si>
    <t>Внески до статутного капіталу комунального підприємства "Хмельницька міська лікарня" Хмельницької міської ради (Придбання обладнання і предметів довгострокового користування)</t>
  </si>
  <si>
    <t>Внески до статутного капіталу комунального підприємства "Хмельницька міська лікарня" Хмельницької міської ради (Реконструкція покрівлі з влаштуванням шатрового даху корпусу №2 Хмельницької міської лікарні по пров. Проскурівський, 1 в м. Хмельницькому)</t>
  </si>
  <si>
    <t>Внески до статутного капіталу комунального підприємства "Хмельницька міська дитяча лікарня" Хмельницької міської ради (Придбання обладнання і предметів довгострокового користування)</t>
  </si>
  <si>
    <t>Внески до статутного капіталу комунального підприємства "Хмельницька інфекційна лікарня" Хмельницької міської ради (Капітальний ремонт покрівлі корпусу №3 комунального підприємства "Хмельницька інфекційна лікарня" за адресою: вул. Сковороди, 17 в м.Хмельницькому)</t>
  </si>
  <si>
    <t>Внески до статутного капіталу комунального підприємства "Хмельницька інфекційна лікарня" Хмельницької міської ради (Капітальний ремонт приміщень лікарні (заміна дверей і вікон на металопластикові) комунального підприємства "Хмельницька інфекційна лікарня" за адресою: вул.Сковороди, 17 в м.Хмельницькому)</t>
  </si>
  <si>
    <t>Внески до статутного капіталу комунального підприємства "Хмельницький міський перинатальний центр" Хмельницької міської ради (Придбання обладнання і предметів довгострокового користування)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</si>
  <si>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(Придбання обладнання і предметів довгострокового користування)</t>
  </si>
  <si>
    <t>Капітальний ремонт житлового фонду (приміщень)</t>
  </si>
  <si>
    <t>Капітальний ремонт даху корпусів №1, №2 рекреаційного центру "Берег надії" по вул. Підлісній, 4/1 в с. Головчинці, Летичівського району, Хмельницької області</t>
  </si>
  <si>
    <t>Капітальний ремонт  корпусу №2 рекреаційного центру "Берег надії" по     вул. Підлісній, 4/1 в с. Головчинці, Летичівського району, Хмельницької області (утеплення фасадів)</t>
  </si>
  <si>
    <t>Капітальний ремонт, заміна системи опалення в Рекреаційному центрі "Берег надії"  за адресою вул. Підлісна 4/1, с.Головчинці Летичівського району Хмельницької області</t>
  </si>
  <si>
    <t>Капітальні трансферти населенню</t>
  </si>
  <si>
    <t>Будівництво¹  установ та закладів соціальної сфери</t>
  </si>
  <si>
    <t>Капітальний ремонт приміщення дитячої музичної школи №1 ім. М. Мозгового по вул. Проскурівській, 18 в м.Хмельницькому</t>
  </si>
  <si>
    <t>Капітальний ремонт сцени дитячої музичної школи №1 ім. М. Мозгового по вул.Проскурівській, 18 в м.Хмельницькому</t>
  </si>
  <si>
    <t>Капітальний ремонт прилеглої території Хмельницької дитячої школи мистецтв "Райдуга" по вул. Курчатова, 9 в м.Хмельницькому</t>
  </si>
  <si>
    <t>2017 - 2022 роки</t>
  </si>
  <si>
    <t>Капітальний ремонт приміщення центру національного виховання учнівської молоді по вул. Курчатова, 1Б в м. Хмельницькому</t>
  </si>
  <si>
    <t>Капітальний ремонт нежитлового приміщення по вул. Кам'янецькій, 63 в        м. Хмельницькому</t>
  </si>
  <si>
    <t>2018 - 2021 роки</t>
  </si>
  <si>
    <t>Реконструкція спортивного комплексу «Поділля» (із влаштуванням світлодіодного табло) ДЮСШ №1 по вул.Проскурівській, 81 в м.Хмельницькому (в тому числі виготовлення проектно-кошторисної документації)</t>
  </si>
  <si>
    <t>Капітальний ремонт системи опалення приміщення Хмельницької ДЮСШ №2 "Авангард" по вул. Проскурівська, 66 в м.Хмельницький (в тому числі виготовлення проектно-кошторисної документації)</t>
  </si>
  <si>
    <t>разом з роботами</t>
  </si>
  <si>
    <t xml:space="preserve">Капітальний ремонт житлового фонду </t>
  </si>
  <si>
    <t>Капітальні видатки, в т.ч.:</t>
  </si>
  <si>
    <t xml:space="preserve">  </t>
  </si>
  <si>
    <t>капітальний ремонт прибудинкових територій</t>
  </si>
  <si>
    <t xml:space="preserve"> Капітальний ремонт зелених насаджень (омолодження дерев на вулицях міста)</t>
  </si>
  <si>
    <t xml:space="preserve"> </t>
  </si>
  <si>
    <t>Капітальний ремонт об’єктів благоустрою (мереж зовнішнього освітлення)</t>
  </si>
  <si>
    <t>Капітальний ремонт контейнерних майданчиків із встановленням підземних контейнерів</t>
  </si>
  <si>
    <t>Капітальний ремонт-розчистка русла річки Південний Буг від намулу, відкладів, завалів в межах міста Хмельницький  від вул.Трудової до вул.С.Бандери</t>
  </si>
  <si>
    <t>2019 - 2021 роки</t>
  </si>
  <si>
    <t>Капітальний ремонт атракціону "Колесо огляду" в парку культури та відпочинку ім. М. Чекмана в м.Хмельницькому</t>
  </si>
  <si>
    <t>Капітальний ремонт - улаштування інклюзивного дитячого майданчика у сквері ім. Т.Шевченка у м.Хмельницький</t>
  </si>
  <si>
    <t>2017 - 2021 роки</t>
  </si>
  <si>
    <t>Витрати на виконання Програми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у м. Хмельницькомц  на 2019-2022 роки</t>
  </si>
  <si>
    <t xml:space="preserve">Витрати на виконання Програми сприяння впровадження відновлювальних джерел енергії власникам приватних житлових будинків в м. Хмельницькому на 2018-2029 роки </t>
  </si>
  <si>
    <t>Внески до статутного капіталу МКП "Хмельницькводоканал" (Капітальний ремонт насосного агрегату № 2 на ГКНС по вул. Трудова, 6Б у м.Хмельницький)</t>
  </si>
  <si>
    <t>Внески до статутного капіталу МКП "Хмельницькводоканал" (Будівництво мережі каналізації від вул. Польова, 51 на пров. Ентузіастів до вул. Івана Павла ІІ, 5  м.р. Гречани м.Хмельницький)</t>
  </si>
  <si>
    <t>Внески до статутного капіталу МКП "Хмельницькводоканал" (Реконструкція ділянки водопроводу по вул. Північна в м.Хмельницький)</t>
  </si>
  <si>
    <t>Реконструкція приміщень НВО №1 по вул. Старокостянтинівське шосе, 3Б в м.Хмельницькому (в тому числі коригування проектно-кошторисної документації)</t>
  </si>
  <si>
    <t>Виготовлення проєктно-кошторисної документації на будівництво закладів дошкільної та загальної середньої освіти на вул. Січових стрільців, 8-А в м.Хмельницькому</t>
  </si>
  <si>
    <r>
      <t>Будівництво</t>
    </r>
    <r>
      <rPr>
        <b/>
        <vertAlign val="superscript"/>
        <sz val="11"/>
        <color rgb="FF000000"/>
        <rFont val="Times New Roman"/>
        <family val="1"/>
        <charset val="204"/>
      </rPr>
      <t>1</t>
    </r>
    <r>
      <rPr>
        <sz val="11"/>
        <color rgb="FF000000"/>
        <rFont val="Times New Roman"/>
        <family val="1"/>
        <charset val="204"/>
      </rPr>
      <t>  установ та закладів культури</t>
    </r>
  </si>
  <si>
    <t>Реставрація Хмельницького міського будинку культури по вул.Проскурівській, 43 в м. Хмельницькому</t>
  </si>
  <si>
    <t xml:space="preserve">Будівництво магістральної дороги на вул.Січових стрільців в м. Хмельницькому </t>
  </si>
  <si>
    <t>Будівництво вулиці Мельникова (від вул. Зарічанської до вул. Трудової) в м.Хмельницького</t>
  </si>
  <si>
    <t>Будівництво каналізаційних мереж в мікрорайоні "Озерна" в м.Хмельницькому (в т.ч.коригування проєктно-кошторисної документації)</t>
  </si>
  <si>
    <t>Виготовлення проєктно-кошторисної документації для будівництва зовнішніх  мереж газопостачання індустріального парку  "Хмельницький" по вул. Вінницьке шосе, 18 в м.Хмельницькому</t>
  </si>
  <si>
    <t>Виготовлення проєктно-кошторисної документації для будівництва зовнішніх мереж  водопостачання та каналізації індустріального парку  "Хмельницький" по  вул. Вінницьке шосе, 18 в м.Хмельницькому</t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</si>
  <si>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</si>
  <si>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Капітальний ремонт підсобного приміщення навчально-виховного об'єднання №5 ім.С.Єфремова</t>
  </si>
  <si>
    <t>Капітальний ремонт харчоблоку навчально-виховного об'єднання №5 ім. С.Єфремова</t>
  </si>
  <si>
    <t>Виготовлення проектно-кошторисної документації на проведення капітального ремонту приміщення басейну НВК №7</t>
  </si>
  <si>
    <t>Внески до статутного капіталу комунального підприємства "Хмельницька інфекційна лікарня" Хмельницької міської ради (Придбання обладнання і предметів довгострокового користування)</t>
  </si>
  <si>
    <t>Капітальний ремонт, для облаштування архіву, в підвальному приміщенні Центру надання соціальних послуг "Прозорий офіс" за адресою вул. Перемоги, 10Б в м.Хмельницькому</t>
  </si>
  <si>
    <t>Програма
підтримки обдарованих дітей м.Хмельницького</t>
  </si>
  <si>
    <t>Субвенція з місцевого бюджету на забезпечення якісної, сучасної та доступної загальної середньої освіти "Нова українська школа"</t>
  </si>
  <si>
    <t xml:space="preserve"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 </t>
  </si>
  <si>
    <t>Вільний залишок коштів на 01.01.2020  року:</t>
  </si>
  <si>
    <t>Капітальний ремонт приміщення по вул.Соборна,16  (ремонт і фарбування фасаду, створення віконного пройому з встановленням металопластикового вікна)  (в тому числі виготовлення проектно-кошторисної документації)</t>
  </si>
  <si>
    <t>Вікна виконков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</si>
  <si>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</si>
  <si>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Внески до статутного капіталу комунального підприємства "Хмельницька міська лікарня" Хмельницької міської ради (Капітальний ремонт сантехнічних вузлів першого поверху корпусу №1 комунального підприємства "Хмельницька міська лікарня" за адресою: м.Хмельницький, пров. Проскурівський, 1</t>
  </si>
  <si>
    <t>Реалізація проєкту "НЕФКО"</t>
  </si>
  <si>
    <t>Капітальний ремонт (зовнішнє опорядження та утеплення фасадів, заміна покрівлі) Хмельницького ДНЗ №47 "Дзвіночок" за адресою вул С. Бандери, 20/2, м. Хмельницький  (в тому числі виготовлення проектно-кошторисної документації)</t>
  </si>
  <si>
    <t>Капітальний ремонт даху їдальні Хмельницького ліцею №17, по вул.Проскурівського підпілля, 89 м.Хмельницький</t>
  </si>
  <si>
    <t xml:space="preserve">Реконструкція спортивного майданчика під мультифункціональний  майданчик для занять ігровими видами спорту на території Хмельницької спеціалізованої середньої загальноосвітньої школи І-ІІІ ступенів №13 імені М.К.Чекмана за адресою вул. Профспілковій, 39 в м.Хмельницькому (в тому числі виготовлення проектно-кошторисної документації) </t>
  </si>
  <si>
    <t>капітальний ремонт дитячих та спортивних майданчиків</t>
  </si>
  <si>
    <t>Реалізація громадських проєктів</t>
  </si>
  <si>
    <t>Капітальний ремонт дитячого майданчика в масиві індивідуальної забудови  "Катіонівський масив" в м. Хмельницькому</t>
  </si>
  <si>
    <t xml:space="preserve">Капітальний ремонт пішохідної зони на розі вул. Зарічанської та вул. Бандери у м.Хмельницькому </t>
  </si>
  <si>
    <t>Капітальний ремонт  дитячого майданчика на вул. Загребельного, 26 в м. Хмельницький</t>
  </si>
  <si>
    <t xml:space="preserve">Виготовлення  ПКД на реконструкцію під`їздної дороги від вул Вінницьке шосе до вул Вінницьке шосе, 18 (індустріальний парк) </t>
  </si>
  <si>
    <t>Внески до статутного капіталу ХКП "Спецкомунтранс" (Реконструкція полігону твердих побутових відходів з метою запобігання виникнення надзвичайної екологічної ситуації за адресою м. Хмельницький, вул. Проспект Миру, 7 розробка розділу "Проект  організації будівництва")</t>
  </si>
  <si>
    <t>Внески до статутного капіталу ХКП "Спецкомунтранс" (Реконструкція туалету загального користування по вул. Проскурівській, 40-Б    в      м.Хмельницькому)</t>
  </si>
  <si>
    <t>Внески до статутного капіталу ХКП "Спецкомунтранс" (Придбання біотуалетів)</t>
  </si>
  <si>
    <t>Внески до статутного капіталу ХКП "Спецкомунтранс" (Проведення експертизи проектної документації з реконструкції полігону твердих побутових відходів з метою запобігання виникнення надзвичайно екологічної ситуації за адресою м. Хмельницький, вул. Проспект Миру, 7)</t>
  </si>
  <si>
    <t>Внески до статутного капіталу ХКП "Спецкомунтранс" (придбання модульної євро кабіни )</t>
  </si>
  <si>
    <t xml:space="preserve">Внески до статутного капіталу ХКП "Спецкомунтранс" (придбання пластикових контейнерів) </t>
  </si>
  <si>
    <t xml:space="preserve">Внески до статутного капіталу ХКП "Спецкомунтранс"(придбання склопластикових контейнерів типу Дзвін 2,5 м.куб </t>
  </si>
  <si>
    <t>Внески до статутного капіталу Міського комунального підприємства по утриманню нежитлових приміщень (Капітальний ремонт приміщень першого поверху по вул. Кам'янецькій, 47 в м. Хмельницькому)</t>
  </si>
  <si>
    <t>Внески до статутного капіталу МКП "Хмельницькводоканал" (Виготовлення проектно-кошторисної документації з будівництва сучасних каналізаційних очисних споруд господарсько-побутових стоків м. Хмельницький, вул. Вінницьке шосе, 135)</t>
  </si>
  <si>
    <t>Внески до статутного капіталу МКП "Хмельницькводоканал" (Будівництво водопроводу діаметром 160 мм по вул. С.Бандери, 42 в м.Хмельницький</t>
  </si>
  <si>
    <t>Внески до статутного капіталу МКП "Хмельницькводоканал" (Будівництво вуличних мереж водовідведення напірних каналізаційних колекторів, каналізаційно- насосної станції, електропостачання КНС, мікрорайон Дубове у м.Хмельницький)</t>
  </si>
  <si>
    <t>Внески до статутного капіталу МКП "Хмельницькводоканал" (Будівництво вуличних мереж водовідведення по вул.О.Кошового та Черняховського у м.Хмельницький)</t>
  </si>
  <si>
    <t>Внески до статутного капіталу МКП "Хмельницькводоканал" (Придбання насосних агрегатів)</t>
  </si>
  <si>
    <t>Внески до статутного капіталу МКП "Хмельницькводоканал" (Придбання сталевих труб)</t>
  </si>
  <si>
    <t>Внески до статутного капіталу СКП "Хмельницька міська ритуальна служба" (Капітальний ремонт пішохідних доріжок на кладовищі «Ракове»)</t>
  </si>
  <si>
    <t>Виготовлення цифрових ортофотопланів території міста Хмельницький М-1000 (мікрорайони: Центр, Виставка, Озерна, Заріччя) та створення 3D моделей будівель (центр)</t>
  </si>
  <si>
    <t>Заходи щодо відновлення і підтримання сприятливого гідрологічного режиму та санітарного стану водойм міста - виготовлення проектно-кошторисної документації по капітальному ремонту - розчистці русла річки Кудрянка в межах міста Хмельницького (в тому числі проходження процедури ОВД)</t>
  </si>
  <si>
    <t>Організація проведення стратегічної екологічної оцінки</t>
  </si>
  <si>
    <t>2018 - 2024 роки</t>
  </si>
  <si>
    <t>2015 - 2022 роки</t>
  </si>
  <si>
    <t>2016 - 2022 роки</t>
  </si>
  <si>
    <t>2015 - 2024 роки</t>
  </si>
  <si>
    <t>Капітальний ремонт, відновлення зовнішньої штукатурки з подальшим оздобленням фасаду на вул. Курчатова, 1 Д, в м. Хмельницькому</t>
  </si>
  <si>
    <t xml:space="preserve">Внески до статутного капіталу МКП "Хмельницькводоканал" (капітальний ремонт дворової каналізації від ж.б. по вул. Сковороди, 11 до колодязя К-4 в м.Хмельницький </t>
  </si>
  <si>
    <t>5 555 249,00 - залишилося робити</t>
  </si>
  <si>
    <t>Реконструкція спортивного майданчика під мультифункціональний  майданчик для занять ігровими видами спорту на території Хмельницької середньої загальноосвітньої школи І-ІІІ ступенів №21 за адресою просп. Миру, 76/5</t>
  </si>
  <si>
    <t>Проєкт програми співфінансування робіт з ремонту багатоквартирних житлових будинків м. Хмельницького на 2020 - 2024 роки</t>
  </si>
  <si>
    <t>Капітальний ремонт ліфтів</t>
  </si>
  <si>
    <t>Капітальний ремонт пішохідних доріжок в парку культури та відпочинку ім. М. Чекмана в м. Хмельницькому (в тому числі виготовлення проектно-кошторисної документації)</t>
  </si>
  <si>
    <t>Капітальний ремонт дитячого майданчика в парку культури та відпочинку ім. М. Чекмана в м.Хмельницькому (в тому числі виготовлення проектно-кошторисної документації)</t>
  </si>
  <si>
    <t>Капітальний ремонт зони відпочинку навколо водойми в мікрорайоні "Озерна" в м.Хмельницький (в тому числі коригування проектно-кошторисної документації, експертиза)</t>
  </si>
  <si>
    <t>Капітальний ремонт дитячого майданчика на вул. К. Степанкова в м.Хмельницькому (в тому числі виготовлення проектно-кошторисної документації)</t>
  </si>
  <si>
    <t>Внески до статутного капіталу ХКП "Спецкомунтранс" (Придбання земельної ділянки для розширення меж полігону твердих побутових відходів м.Хмельницького)</t>
  </si>
  <si>
    <t>Внески до статутного капіталу МКП "Хмельницькводоканал" (Реконструкція технологічної частини холодного водопостачання ЦТП-6 по вул. Залізняка, 36А, м.Хмельницький шляхом переобладнання системи водопостачання будівель і споруд приладами для введення відокремленого обліку холодної води та енергоносіїв)</t>
  </si>
  <si>
    <t>Внески до статутного капіталу МКП "Хмельницькводоканал" (капітальний ремонт каналізаційної мережі від житлового будинку по вул. Сковороди, 11/2 від колодязя К-1 до колодязя К-3 в м.Хмельницький )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</si>
  <si>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м.Хмельницький")</t>
  </si>
  <si>
    <t xml:space="preserve">Секретар міської ради 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</si>
  <si>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</si>
  <si>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</si>
  <si>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</si>
  <si>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Секретар міської ради                                                                                                                                                                                                  М. КРИВАК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</si>
  <si>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</si>
  <si>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</si>
  <si>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</si>
  <si>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</si>
  <si>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Субвенція з місцевого бюджету за рахунок залишку коштів освітньої субвенції, що утворився на початок бюджетного періоду </t>
  </si>
  <si>
    <t>Управління архітектури та містобудування Департаменту архітектури, містобудування та земельних ресурсів (головний розпорядник)</t>
  </si>
  <si>
    <t>Управління архітектури та містобудування Департаменту архітектури, містобудування та земельних ресурсів (відповідальний виконавець)</t>
  </si>
  <si>
    <t>Управління земельних ресурсів та земельної реформи Департаменту архітектури, містобудування та земельних ресурсів (головний розпорядник)</t>
  </si>
  <si>
    <t>Управління земельних ресурсів та земельної реформи Департаменту архітектури, містобудування та земельних ресурсів (відповідальний розпорядник)</t>
  </si>
  <si>
    <t>Програма розвитку міського електротранспорту м. Хмельницького на 2016 - 2020 роки</t>
  </si>
  <si>
    <t>Рішення 6-ї сесії Хмельницької міської ради від 18.05.2016 року №37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</si>
  <si>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</si>
  <si>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</si>
  <si>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</si>
  <si>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до рішення  № 1   від   16.07. 2020 року </t>
  </si>
  <si>
    <t>2817693</t>
  </si>
  <si>
    <t>0817693</t>
  </si>
  <si>
    <t xml:space="preserve">до рішення   №1    від                   2020  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</si>
  <si>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</si>
  <si>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</si>
  <si>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</si>
  <si>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Реконструкція спортивного майданчика під мультифункціональний  майданчик для занять ігровими видами спорту на території навчально-виховного об'єднання №5 міста Хмельницького імені Сергія Єфремова за адресою вул. Володимирська, 51 в м. Хмельницькому (в тому числі виготовлення проектно-кошторисної документації) </t>
  </si>
  <si>
    <t xml:space="preserve">Довгострокові зобов"язання </t>
  </si>
  <si>
    <t xml:space="preserve">    - для Центру комплексної реабілітації "Родинний затишок" 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</si>
  <si>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</si>
  <si>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  </t>
  </si>
  <si>
    <t>0813221</t>
  </si>
  <si>
    <t>3221</t>
  </si>
  <si>
    <t>Грошова компенсація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</t>
  </si>
  <si>
    <t xml:space="preserve">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</si>
  <si>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</si>
  <si>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</si>
  <si>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</si>
  <si>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</si>
  <si>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</t>
  </si>
  <si>
    <t>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</t>
  </si>
  <si>
    <t>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</si>
  <si>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0813224</t>
  </si>
  <si>
    <t>3224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</si>
  <si>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</t>
  </si>
  <si>
    <t xml:space="preserve">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</t>
  </si>
  <si>
    <t xml:space="preserve"> житлових умов</t>
  </si>
  <si>
    <t>Капітальний ремонт комунальних майданчиків для вигулу собак на території м. Хмельницького (в т.ч. ПКД)</t>
  </si>
  <si>
    <t>Реконстукція парку-пам'ятки садово-паркового мистецтва місцевого значення "Парк ім. Чекмана". Ділянка колеса огляду.</t>
  </si>
  <si>
    <t>Внески до статутного капіталу ХКП "Спецкомунтранс"(виготовлення проєкту "Капітальний ремонт частини нежитлового приміщення за адресою м. Хмельницький, вул. Марка Кропивницького, 6А")</t>
  </si>
  <si>
    <t>Внески до статутного капіталу ХКП "Спецкомунтранс"(придбання морських контейнерів)</t>
  </si>
  <si>
    <t>Будівництво вуличних мереж водопостачання, мікрорайон "Лезневе" у м.Хмельницький</t>
  </si>
  <si>
    <t>2017-2021</t>
  </si>
  <si>
    <t>Реконструкція самопливного каналізаційного колектора діаметром 200 мм по вул. Заводська, 155 в м. Хмельницький</t>
  </si>
  <si>
    <t>0210191</t>
  </si>
  <si>
    <t>0191</t>
  </si>
  <si>
    <t>Проведення місцевих виборів</t>
  </si>
  <si>
    <t>Програма
щодо забезпечення належних комунально-побутових умов засуджених та осіб, узятих під варту, які утримуються в Хмельницькому слідчому ізоляторі, на 2017 - 2020 роки (із змінами і доповненнями)</t>
  </si>
  <si>
    <t>Рішення 15-ї сесії Хмельницької міської ради від 31.05.2017 року №6</t>
  </si>
  <si>
    <t>РІЗНИЦЯ</t>
  </si>
  <si>
    <t>Капітальний ремонт системи кондиціювання (Mitsubishi Electrik Mr.Slim)</t>
  </si>
  <si>
    <t>3 720 000,00 грн - кошти ДБ</t>
  </si>
  <si>
    <t>Під'єднання теплових мереж до існуючої будівлі дошкільної групи навчально-виховного об'єднання №23 м.Хмельницького по вул. Курбишева, 6</t>
  </si>
  <si>
    <t>Нове будівництво котельні для опалення житлового корпусу "Рекреаційного центру сімейного типу по відновленню здоров’я дітей інвалідів та інших груп населення з обмеженими можливостями «Берег надії» по вул. Підлісній, 4/1 в с. Головчинці, Летичівського району, Хмельницької області" (в тому числі виготовлення проектно-кошторисної документації)</t>
  </si>
  <si>
    <t>Програма поводження з побутовими відходами у м. Хмельницькому - Програма "Розумне довкілля Хмельницький" на 2020р.</t>
  </si>
  <si>
    <t>Рішення 36-ї сесії Хмельницької міської ради від 24.12.2019р (зі змінами)</t>
  </si>
  <si>
    <t>Програма поводження з побутовими відходами у м. Хмельницькому - Програма "Розумне довкілля Хмельницький" на 2020 р. (зі змінами та доповненнями)</t>
  </si>
  <si>
    <t>Рішення 36-ї сесії Хмельницької міської ради від 24.12.2019 року №10</t>
  </si>
  <si>
    <t>Рішення 30-ї сесії Хмельницької міської ради від 17.04.2019 року № 48</t>
  </si>
  <si>
    <t>Рішення 30-ї сесії Хмельницької  міської ради від 17.04.2019 року № 49</t>
  </si>
  <si>
    <t>Міська цільова програма
забезпечення надання комплексної послуги «єМалятко» на 2020 рік</t>
  </si>
  <si>
    <t>Рішення 42-ї сесії Хмельницької міської ради від 17.06.2020 року №15</t>
  </si>
  <si>
    <t>Програма 
навчання, підготовки та підвищення кваліфікації посадових осіб місцевого самоврядування, керівних працівників підприємств, установ і організацій міста, членів виконавчого комітету та депутатів міської ради на 2020 рік</t>
  </si>
  <si>
    <t>Рішення 42-ї сесії Хмельницької міської ради від 17.06.2020 року №10</t>
  </si>
  <si>
    <t>Програма 
шефської допомоги військовим частинам Збройних Сил України, Національної гвардії України, які розташовані на території м. Хмельницького на 2020 – 2021 роки</t>
  </si>
  <si>
    <t>Рішення 42-ї сесії Хмельницької міської ради від 17.06.2020 року №8</t>
  </si>
  <si>
    <t>Рішення 42-ї сесії Хмельницької міської ради від 17.06.2020 року №39</t>
  </si>
  <si>
    <t>Внески до статутного капіталу МКП "Хмельницькводоканал" (Будівництво вуличних мереж водопостачання житлових будинків по вул. Криничній в м. Хмельницький)</t>
  </si>
  <si>
    <t>2719770</t>
  </si>
  <si>
    <t>Розробка проектно-кошторисної документації на "Реконструкцію аеродромного комплексу КП «Аеропорт Хмельницький» з подовженням штучної злітно-посадкової смуги на 500 метрів"</t>
  </si>
  <si>
    <t>Внески до статутного капіталу КП "Південно-Західні тепломережі" (Реконструкція існуючих газових мереж теплогенераторної КП "Хмельницький міський лікувально-діагностичний центр" по вул.Волочиська №6 в м. Хмельницькому )</t>
  </si>
  <si>
    <t xml:space="preserve">Керуючий справами виконавчого комітету </t>
  </si>
  <si>
    <t xml:space="preserve">Ю. САБІЙ </t>
  </si>
  <si>
    <t xml:space="preserve">Керуючий справами виконавчого комітету                                                                                                                                                                                                 Ю. САБІЙ </t>
  </si>
  <si>
    <t xml:space="preserve">                      Керуючий справами виконавчого комітету  </t>
  </si>
  <si>
    <t xml:space="preserve">     Ю. САБІЙ </t>
  </si>
  <si>
    <t xml:space="preserve">Керуючий справами виконавчого комітету                                                                                                                                                                                     Ю. САБІЙ </t>
  </si>
  <si>
    <t xml:space="preserve">                               Керуючий справами виконавчого комітету </t>
  </si>
  <si>
    <t xml:space="preserve">Керуючий справами виконавчого комітету                                                                                                                                     Ю. САБІЙ  </t>
  </si>
  <si>
    <t xml:space="preserve">до рішення  № 1   від   .. 2020 року </t>
  </si>
  <si>
    <t xml:space="preserve">від  </t>
  </si>
  <si>
    <t>Капітальний ремонт автоматичної  пожежної сигналізації та оповіщення про пожежу на об'єкті: ДНЗ "Хмельницький центр професійно-технічної освіти сфери послуг" по вул.П. Мирного, 5 (навчальний корпус, гуртожиток), вул. Деповська, 12 в м. Хмельницький, Хмельницької області (в тому числі виготовлення проектно-кошторисної документації)</t>
  </si>
  <si>
    <t xml:space="preserve">до рішення  №    від   07.10.2020 року </t>
  </si>
  <si>
    <t xml:space="preserve">Додаток 5
до рішення №       від   07.10.2020 року
</t>
  </si>
  <si>
    <t xml:space="preserve">до рішення  №        від         07.10.2020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</si>
</sst>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,##0.00000"/>
    <numFmt numFmtId="167" formatCode="#,##0.0000"/>
  </numFmts>
  <fonts count="134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b/>
      <i/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1"/>
      <color indexed="8"/>
      <name val="Times New Roman"/>
      <family val="1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28"/>
      <name val="Times New Roman Cyr"/>
      <family val="1"/>
      <charset val="204"/>
    </font>
    <font>
      <b/>
      <sz val="36"/>
      <name val="Times New Roman Cyr"/>
      <family val="1"/>
      <charset val="204"/>
    </font>
    <font>
      <b/>
      <sz val="2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8"/>
      <name val="Bookman Old Style"/>
      <family val="1"/>
      <charset val="204"/>
    </font>
    <font>
      <sz val="8"/>
      <name val="Bookman Old Style"/>
      <family val="1"/>
      <charset val="204"/>
    </font>
    <font>
      <b/>
      <i/>
      <sz val="9"/>
      <color indexed="62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36"/>
      <name val="Arial Cyr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22"/>
      <name val="Times New Roman Cyr"/>
      <family val="1"/>
      <charset val="204"/>
    </font>
    <font>
      <b/>
      <sz val="48"/>
      <name val="Times New Roman Cyr"/>
      <family val="1"/>
      <charset val="204"/>
    </font>
    <font>
      <sz val="48"/>
      <name val="Arial Cyr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b/>
      <sz val="10"/>
      <name val="Times New Roman CYR"/>
      <charset val="204"/>
    </font>
    <font>
      <b/>
      <i/>
      <sz val="37"/>
      <name val="Arial Cyr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72"/>
      <name val="Arial Cyr"/>
      <charset val="204"/>
    </font>
    <font>
      <i/>
      <sz val="36"/>
      <name val="Arial Cyr"/>
      <charset val="204"/>
    </font>
    <font>
      <sz val="4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vertAlign val="superscript"/>
      <sz val="36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sz val="9"/>
      <name val="Arial Cyr"/>
      <charset val="204"/>
    </font>
    <font>
      <u/>
      <sz val="9"/>
      <color indexed="8"/>
      <name val="Times New Roman"/>
      <family val="1"/>
      <charset val="204"/>
    </font>
    <font>
      <u/>
      <sz val="9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u/>
      <sz val="10"/>
      <color indexed="8"/>
      <name val="Times New Roman"/>
      <family val="1"/>
      <charset val="204"/>
    </font>
    <font>
      <u/>
      <sz val="10"/>
      <name val="Arial Cyr"/>
      <charset val="204"/>
    </font>
    <font>
      <sz val="12"/>
      <name val="Arial"/>
      <family val="2"/>
      <charset val="204"/>
    </font>
    <font>
      <b/>
      <sz val="14"/>
      <name val="Times New Roman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28"/>
      <name val="Times New Roman Cyr"/>
      <family val="1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99FF"/>
        <bgColor indexed="64"/>
      </patternFill>
    </fill>
    <fill>
      <gradientFill degree="90">
        <stop position="0">
          <color theme="0"/>
        </stop>
        <stop position="1">
          <color rgb="FFCC99FF"/>
        </stop>
      </gradientFill>
    </fill>
    <fill>
      <gradientFill type="path" left="0.5" right="0.5" top="0.5" bottom="0.5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auto="1"/>
      </patternFill>
    </fill>
    <fill>
      <gradientFill degree="270">
        <stop position="0">
          <color theme="0"/>
        </stop>
        <stop position="1">
          <color theme="9" tint="0.80001220740379042"/>
        </stop>
      </gradientFill>
    </fill>
    <fill>
      <patternFill patternType="solid">
        <fgColor rgb="FFFFFF00"/>
        <bgColor auto="1"/>
      </patternFill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gradientFill degree="270">
        <stop position="0">
          <color theme="0"/>
        </stop>
        <stop position="1">
          <color theme="8" tint="0.80001220740379042"/>
        </stop>
      </gradientFill>
    </fill>
    <fill>
      <patternFill patternType="solid">
        <fgColor theme="3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indexed="64"/>
      </right>
      <top style="double">
        <color theme="0" tint="-0.499984740745262"/>
      </top>
      <bottom style="double">
        <color theme="0" tint="-0.499984740745262"/>
      </bottom>
      <diagonal/>
    </border>
  </borders>
  <cellStyleXfs count="102">
    <xf numFmtId="0" fontId="0" fillId="0" borderId="0"/>
    <xf numFmtId="0" fontId="8" fillId="0" borderId="0"/>
    <xf numFmtId="0" fontId="21" fillId="2" borderId="1" applyNumberFormat="0" applyAlignment="0" applyProtection="0"/>
    <xf numFmtId="0" fontId="29" fillId="3" borderId="0" applyNumberFormat="0" applyBorder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53" fillId="0" borderId="0"/>
    <xf numFmtId="0" fontId="31" fillId="0" borderId="0"/>
    <xf numFmtId="0" fontId="8" fillId="0" borderId="0"/>
    <xf numFmtId="0" fontId="53" fillId="0" borderId="0"/>
    <xf numFmtId="0" fontId="8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0" fillId="0" borderId="0">
      <alignment vertical="top"/>
    </xf>
    <xf numFmtId="0" fontId="25" fillId="5" borderId="5" applyNumberFormat="0" applyAlignment="0" applyProtection="0"/>
    <xf numFmtId="0" fontId="26" fillId="0" borderId="0" applyNumberFormat="0" applyFill="0" applyBorder="0" applyAlignment="0" applyProtection="0"/>
    <xf numFmtId="0" fontId="8" fillId="0" borderId="0"/>
    <xf numFmtId="0" fontId="53" fillId="0" borderId="0"/>
    <xf numFmtId="0" fontId="10" fillId="0" borderId="0"/>
    <xf numFmtId="0" fontId="70" fillId="0" borderId="0" applyNumberFormat="0" applyFont="0" applyFill="0" applyBorder="0" applyAlignment="0" applyProtection="0">
      <alignment vertical="top"/>
    </xf>
    <xf numFmtId="0" fontId="30" fillId="0" borderId="0"/>
    <xf numFmtId="0" fontId="9" fillId="0" borderId="0" applyNumberFormat="0" applyFont="0" applyFill="0" applyBorder="0" applyAlignment="0" applyProtection="0">
      <alignment vertical="top"/>
    </xf>
    <xf numFmtId="0" fontId="10" fillId="0" borderId="0"/>
    <xf numFmtId="0" fontId="30" fillId="0" borderId="0"/>
    <xf numFmtId="0" fontId="27" fillId="0" borderId="6" applyNumberFormat="0" applyFill="0" applyAlignment="0" applyProtection="0"/>
    <xf numFmtId="0" fontId="32" fillId="4" borderId="0" applyNumberFormat="0" applyBorder="0" applyAlignment="0" applyProtection="0"/>
    <xf numFmtId="0" fontId="30" fillId="0" borderId="0"/>
    <xf numFmtId="0" fontId="28" fillId="0" borderId="0" applyNumberFormat="0" applyFill="0" applyBorder="0" applyAlignment="0" applyProtection="0"/>
    <xf numFmtId="0" fontId="8" fillId="0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3" borderId="0" applyNumberFormat="0" applyBorder="0" applyAlignment="0" applyProtection="0"/>
    <xf numFmtId="0" fontId="83" fillId="2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4" borderId="0" applyNumberFormat="0" applyBorder="0" applyAlignment="0" applyProtection="0"/>
    <xf numFmtId="0" fontId="84" fillId="15" borderId="0" applyNumberFormat="0" applyBorder="0" applyAlignment="0" applyProtection="0"/>
    <xf numFmtId="0" fontId="84" fillId="12" borderId="0" applyNumberFormat="0" applyBorder="0" applyAlignment="0" applyProtection="0"/>
    <xf numFmtId="0" fontId="84" fillId="13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22" borderId="0" applyNumberFormat="0" applyBorder="0" applyAlignment="0" applyProtection="0"/>
    <xf numFmtId="0" fontId="21" fillId="2" borderId="1" applyNumberFormat="0" applyAlignment="0" applyProtection="0"/>
    <xf numFmtId="0" fontId="85" fillId="23" borderId="18" applyNumberFormat="0" applyAlignment="0" applyProtection="0"/>
    <xf numFmtId="0" fontId="86" fillId="23" borderId="1" applyNumberFormat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7" fillId="0" borderId="19" applyNumberFormat="0" applyFill="0" applyAlignment="0" applyProtection="0"/>
    <xf numFmtId="0" fontId="25" fillId="5" borderId="5" applyNumberFormat="0" applyAlignment="0" applyProtection="0"/>
    <xf numFmtId="0" fontId="26" fillId="0" borderId="0" applyNumberFormat="0" applyFill="0" applyBorder="0" applyAlignment="0" applyProtection="0"/>
    <xf numFmtId="0" fontId="88" fillId="4" borderId="0" applyNumberFormat="0" applyBorder="0" applyAlignment="0" applyProtection="0"/>
    <xf numFmtId="0" fontId="89" fillId="8" borderId="0" applyNumberFormat="0" applyBorder="0" applyAlignment="0" applyProtection="0"/>
    <xf numFmtId="0" fontId="90" fillId="0" borderId="0" applyNumberFormat="0" applyFill="0" applyBorder="0" applyAlignment="0" applyProtection="0"/>
    <xf numFmtId="0" fontId="83" fillId="24" borderId="20" applyNumberFormat="0" applyFont="0" applyAlignment="0" applyProtection="0"/>
    <xf numFmtId="0" fontId="27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9" borderId="0" applyNumberFormat="0" applyBorder="0" applyAlignment="0" applyProtection="0"/>
    <xf numFmtId="0" fontId="100" fillId="0" borderId="0"/>
    <xf numFmtId="0" fontId="8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116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677">
    <xf numFmtId="0" fontId="0" fillId="0" borderId="0" xfId="0"/>
    <xf numFmtId="0" fontId="11" fillId="0" borderId="0" xfId="0" applyFont="1" applyAlignment="1">
      <alignment vertical="center"/>
    </xf>
    <xf numFmtId="0" fontId="13" fillId="0" borderId="0" xfId="0" applyFont="1"/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43" fillId="0" borderId="0" xfId="0" applyFont="1" applyAlignment="1">
      <alignment horizontal="right" vertical="center"/>
    </xf>
    <xf numFmtId="0" fontId="48" fillId="0" borderId="0" xfId="0" applyFont="1"/>
    <xf numFmtId="0" fontId="14" fillId="0" borderId="0" xfId="35" applyFont="1"/>
    <xf numFmtId="0" fontId="10" fillId="0" borderId="0" xfId="35"/>
    <xf numFmtId="0" fontId="10" fillId="6" borderId="0" xfId="35" applyFill="1"/>
    <xf numFmtId="4" fontId="59" fillId="0" borderId="0" xfId="0" applyNumberFormat="1" applyFont="1" applyAlignment="1">
      <alignment vertical="center"/>
    </xf>
    <xf numFmtId="0" fontId="59" fillId="0" borderId="0" xfId="0" applyFont="1" applyAlignment="1">
      <alignment vertical="center"/>
    </xf>
    <xf numFmtId="0" fontId="10" fillId="0" borderId="0" xfId="39"/>
    <xf numFmtId="0" fontId="33" fillId="0" borderId="0" xfId="39" applyFont="1" applyAlignment="1">
      <alignment horizontal="center" vertical="center"/>
    </xf>
    <xf numFmtId="0" fontId="19" fillId="0" borderId="11" xfId="39" applyFont="1" applyBorder="1" applyAlignment="1">
      <alignment vertical="center"/>
    </xf>
    <xf numFmtId="0" fontId="10" fillId="0" borderId="0" xfId="39" applyAlignment="1">
      <alignment vertical="center" wrapText="1"/>
    </xf>
    <xf numFmtId="0" fontId="18" fillId="0" borderId="7" xfId="39" applyFont="1" applyBorder="1" applyAlignment="1">
      <alignment horizontal="center" vertical="center" wrapText="1"/>
    </xf>
    <xf numFmtId="0" fontId="33" fillId="0" borderId="0" xfId="39" applyFont="1" applyAlignment="1">
      <alignment wrapText="1"/>
    </xf>
    <xf numFmtId="0" fontId="34" fillId="0" borderId="7" xfId="39" applyFont="1" applyBorder="1" applyAlignment="1">
      <alignment horizontal="center" vertical="center" wrapText="1"/>
    </xf>
    <xf numFmtId="0" fontId="34" fillId="0" borderId="7" xfId="39" applyFont="1" applyBorder="1" applyAlignment="1">
      <alignment horizontal="left" vertical="center" wrapText="1"/>
    </xf>
    <xf numFmtId="4" fontId="35" fillId="0" borderId="7" xfId="39" applyNumberFormat="1" applyFont="1" applyBorder="1" applyAlignment="1">
      <alignment vertical="center" wrapText="1"/>
    </xf>
    <xf numFmtId="0" fontId="34" fillId="0" borderId="0" xfId="39" applyFont="1" applyAlignment="1">
      <alignment wrapText="1"/>
    </xf>
    <xf numFmtId="0" fontId="33" fillId="0" borderId="7" xfId="39" applyFont="1" applyBorder="1" applyAlignment="1">
      <alignment horizontal="center" vertical="center" wrapText="1"/>
    </xf>
    <xf numFmtId="0" fontId="18" fillId="0" borderId="7" xfId="39" applyFont="1" applyBorder="1" applyAlignment="1">
      <alignment vertical="center" wrapText="1"/>
    </xf>
    <xf numFmtId="4" fontId="20" fillId="0" borderId="7" xfId="39" applyNumberFormat="1" applyFont="1" applyBorder="1" applyAlignment="1">
      <alignment vertical="center" wrapText="1"/>
    </xf>
    <xf numFmtId="4" fontId="36" fillId="0" borderId="7" xfId="39" applyNumberFormat="1" applyFont="1" applyBorder="1" applyAlignment="1">
      <alignment vertical="center" wrapText="1"/>
    </xf>
    <xf numFmtId="0" fontId="62" fillId="0" borderId="0" xfId="39" applyFont="1" applyAlignment="1">
      <alignment wrapText="1"/>
    </xf>
    <xf numFmtId="0" fontId="39" fillId="0" borderId="7" xfId="39" applyFont="1" applyBorder="1" applyAlignment="1">
      <alignment vertical="center" wrapText="1"/>
    </xf>
    <xf numFmtId="4" fontId="40" fillId="0" borderId="7" xfId="39" applyNumberFormat="1" applyFont="1" applyBorder="1" applyAlignment="1">
      <alignment vertical="center" wrapText="1"/>
    </xf>
    <xf numFmtId="0" fontId="62" fillId="0" borderId="7" xfId="39" applyFont="1" applyBorder="1" applyAlignment="1">
      <alignment horizontal="center" vertical="center" wrapText="1"/>
    </xf>
    <xf numFmtId="0" fontId="62" fillId="0" borderId="7" xfId="39" applyFont="1" applyBorder="1" applyAlignment="1">
      <alignment vertical="center" wrapText="1"/>
    </xf>
    <xf numFmtId="4" fontId="38" fillId="0" borderId="7" xfId="39" applyNumberFormat="1" applyFont="1" applyBorder="1" applyAlignment="1">
      <alignment vertical="center" wrapText="1"/>
    </xf>
    <xf numFmtId="4" fontId="34" fillId="0" borderId="7" xfId="39" applyNumberFormat="1" applyFont="1" applyBorder="1" applyAlignment="1">
      <alignment horizontal="right" vertical="center" wrapText="1"/>
    </xf>
    <xf numFmtId="4" fontId="33" fillId="0" borderId="7" xfId="39" applyNumberFormat="1" applyFont="1" applyBorder="1" applyAlignment="1">
      <alignment horizontal="right" vertical="center" wrapText="1"/>
    </xf>
    <xf numFmtId="0" fontId="62" fillId="0" borderId="7" xfId="37" applyFont="1" applyBorder="1" applyAlignment="1">
      <alignment horizontal="justify" vertical="top" wrapText="1"/>
    </xf>
    <xf numFmtId="4" fontId="33" fillId="0" borderId="7" xfId="39" applyNumberFormat="1" applyFont="1" applyBorder="1" applyAlignment="1">
      <alignment vertical="center" wrapText="1"/>
    </xf>
    <xf numFmtId="4" fontId="41" fillId="0" borderId="7" xfId="39" applyNumberFormat="1" applyFont="1" applyBorder="1" applyAlignment="1">
      <alignment vertical="center" wrapText="1"/>
    </xf>
    <xf numFmtId="0" fontId="10" fillId="0" borderId="0" xfId="39" applyAlignment="1">
      <alignment wrapText="1"/>
    </xf>
    <xf numFmtId="0" fontId="34" fillId="0" borderId="7" xfId="39" applyFont="1" applyBorder="1" applyAlignment="1">
      <alignment vertical="center" wrapText="1"/>
    </xf>
    <xf numFmtId="0" fontId="35" fillId="0" borderId="7" xfId="37" applyFont="1" applyBorder="1" applyAlignment="1">
      <alignment horizontal="justify" vertical="top" wrapText="1"/>
    </xf>
    <xf numFmtId="4" fontId="37" fillId="0" borderId="7" xfId="39" applyNumberFormat="1" applyFont="1" applyBorder="1" applyAlignment="1">
      <alignment vertical="center" wrapText="1"/>
    </xf>
    <xf numFmtId="0" fontId="38" fillId="0" borderId="7" xfId="37" applyFont="1" applyBorder="1" applyAlignment="1">
      <alignment horizontal="justify" vertical="top" wrapText="1"/>
    </xf>
    <xf numFmtId="0" fontId="62" fillId="0" borderId="13" xfId="37" applyFont="1" applyBorder="1" applyAlignment="1">
      <alignment horizontal="justify" vertical="top" wrapText="1"/>
    </xf>
    <xf numFmtId="0" fontId="63" fillId="0" borderId="7" xfId="37" applyFont="1" applyBorder="1" applyAlignment="1">
      <alignment horizontal="justify" vertical="top" wrapText="1"/>
    </xf>
    <xf numFmtId="0" fontId="64" fillId="0" borderId="7" xfId="37" applyFont="1" applyBorder="1" applyAlignment="1">
      <alignment horizontal="justify" vertical="top" wrapText="1"/>
    </xf>
    <xf numFmtId="0" fontId="39" fillId="0" borderId="7" xfId="39" applyFont="1" applyBorder="1" applyAlignment="1">
      <alignment horizontal="center" vertical="center" wrapText="1"/>
    </xf>
    <xf numFmtId="0" fontId="40" fillId="0" borderId="7" xfId="37" applyFont="1" applyBorder="1" applyAlignment="1">
      <alignment horizontal="justify" vertical="top" wrapText="1"/>
    </xf>
    <xf numFmtId="0" fontId="38" fillId="0" borderId="7" xfId="37" applyFont="1" applyBorder="1" applyAlignment="1">
      <alignment vertical="top" wrapText="1"/>
    </xf>
    <xf numFmtId="0" fontId="10" fillId="0" borderId="7" xfId="39" applyBorder="1" applyAlignment="1">
      <alignment vertical="center" wrapText="1"/>
    </xf>
    <xf numFmtId="0" fontId="65" fillId="0" borderId="0" xfId="39" applyFont="1" applyAlignment="1">
      <alignment wrapText="1"/>
    </xf>
    <xf numFmtId="0" fontId="64" fillId="0" borderId="7" xfId="39" applyFont="1" applyBorder="1" applyAlignment="1">
      <alignment horizontal="center" vertical="center" wrapText="1"/>
    </xf>
    <xf numFmtId="0" fontId="63" fillId="0" borderId="7" xfId="37" applyFont="1" applyBorder="1" applyAlignment="1">
      <alignment vertical="top" wrapText="1"/>
    </xf>
    <xf numFmtId="4" fontId="66" fillId="0" borderId="7" xfId="39" applyNumberFormat="1" applyFont="1" applyBorder="1" applyAlignment="1">
      <alignment vertical="center" wrapText="1"/>
    </xf>
    <xf numFmtId="0" fontId="67" fillId="0" borderId="7" xfId="37" applyFont="1" applyBorder="1" applyAlignment="1">
      <alignment horizontal="justify" vertical="top" wrapText="1"/>
    </xf>
    <xf numFmtId="0" fontId="68" fillId="0" borderId="7" xfId="37" applyFont="1" applyBorder="1" applyAlignment="1">
      <alignment horizontal="justify" vertical="top" wrapText="1"/>
    </xf>
    <xf numFmtId="0" fontId="33" fillId="0" borderId="7" xfId="39" applyFont="1" applyBorder="1" applyAlignment="1">
      <alignment vertical="center" wrapText="1"/>
    </xf>
    <xf numFmtId="0" fontId="69" fillId="0" borderId="7" xfId="37" applyFont="1" applyBorder="1" applyAlignment="1">
      <alignment horizontal="justify" vertical="top" wrapText="1"/>
    </xf>
    <xf numFmtId="0" fontId="18" fillId="0" borderId="7" xfId="37" applyFont="1" applyBorder="1" applyAlignment="1">
      <alignment horizontal="justify" vertical="top" wrapText="1"/>
    </xf>
    <xf numFmtId="0" fontId="16" fillId="0" borderId="7" xfId="37" applyFont="1" applyBorder="1" applyAlignment="1">
      <alignment horizontal="justify" vertical="top" wrapText="1"/>
    </xf>
    <xf numFmtId="0" fontId="10" fillId="0" borderId="7" xfId="39" applyBorder="1" applyAlignment="1">
      <alignment horizontal="center" vertical="center" wrapText="1"/>
    </xf>
    <xf numFmtId="0" fontId="61" fillId="0" borderId="7" xfId="39" applyFont="1" applyBorder="1" applyAlignment="1">
      <alignment vertical="center" wrapText="1"/>
    </xf>
    <xf numFmtId="0" fontId="15" fillId="0" borderId="0" xfId="39" applyFont="1"/>
    <xf numFmtId="2" fontId="10" fillId="0" borderId="0" xfId="39" applyNumberFormat="1"/>
    <xf numFmtId="4" fontId="10" fillId="0" borderId="0" xfId="39" applyNumberFormat="1"/>
    <xf numFmtId="0" fontId="20" fillId="0" borderId="0" xfId="0" applyFont="1"/>
    <xf numFmtId="0" fontId="19" fillId="0" borderId="7" xfId="0" applyFont="1" applyBorder="1" applyAlignment="1">
      <alignment horizontal="center" vertical="top" wrapText="1"/>
    </xf>
    <xf numFmtId="0" fontId="72" fillId="0" borderId="7" xfId="0" applyFont="1" applyBorder="1" applyAlignment="1">
      <alignment horizontal="center" vertical="top" wrapText="1"/>
    </xf>
    <xf numFmtId="4" fontId="18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73" fillId="0" borderId="0" xfId="35" applyFont="1"/>
    <xf numFmtId="0" fontId="16" fillId="0" borderId="0" xfId="35" applyFont="1" applyAlignment="1">
      <alignment horizontal="center" vertical="center" wrapText="1"/>
    </xf>
    <xf numFmtId="0" fontId="19" fillId="0" borderId="0" xfId="35" applyFont="1" applyAlignment="1">
      <alignment horizontal="center" vertical="center" wrapText="1"/>
    </xf>
    <xf numFmtId="0" fontId="16" fillId="0" borderId="0" xfId="35" applyFont="1" applyAlignment="1">
      <alignment horizontal="center"/>
    </xf>
    <xf numFmtId="0" fontId="73" fillId="0" borderId="0" xfId="35" applyFont="1" applyAlignment="1">
      <alignment horizontal="center"/>
    </xf>
    <xf numFmtId="0" fontId="19" fillId="0" borderId="0" xfId="35" applyFont="1" applyAlignment="1">
      <alignment horizontal="right"/>
    </xf>
    <xf numFmtId="0" fontId="73" fillId="0" borderId="15" xfId="35" applyFont="1" applyBorder="1"/>
    <xf numFmtId="0" fontId="73" fillId="0" borderId="16" xfId="35" applyFont="1" applyBorder="1"/>
    <xf numFmtId="0" fontId="62" fillId="0" borderId="0" xfId="35" applyFont="1"/>
    <xf numFmtId="0" fontId="74" fillId="0" borderId="0" xfId="35" applyFont="1"/>
    <xf numFmtId="0" fontId="70" fillId="0" borderId="0" xfId="36">
      <alignment vertical="top"/>
    </xf>
    <xf numFmtId="0" fontId="75" fillId="0" borderId="0" xfId="36" applyFont="1" applyAlignment="1">
      <alignment horizontal="center" vertical="top"/>
    </xf>
    <xf numFmtId="0" fontId="15" fillId="0" borderId="0" xfId="36" applyFont="1" applyAlignment="1">
      <alignment horizontal="center" vertical="top"/>
    </xf>
    <xf numFmtId="2" fontId="70" fillId="0" borderId="0" xfId="36" applyNumberFormat="1" applyAlignment="1">
      <alignment horizontal="center" vertical="top"/>
    </xf>
    <xf numFmtId="0" fontId="77" fillId="0" borderId="0" xfId="36" applyFont="1" applyAlignment="1">
      <alignment horizontal="center" vertical="top" wrapText="1"/>
    </xf>
    <xf numFmtId="2" fontId="77" fillId="0" borderId="0" xfId="36" applyNumberFormat="1" applyFont="1" applyAlignment="1">
      <alignment horizontal="center" vertical="top" wrapText="1"/>
    </xf>
    <xf numFmtId="165" fontId="14" fillId="0" borderId="0" xfId="36" applyNumberFormat="1" applyFont="1" applyAlignment="1">
      <alignment horizontal="center" vertical="top"/>
    </xf>
    <xf numFmtId="0" fontId="79" fillId="0" borderId="0" xfId="38" applyFont="1" applyAlignment="1" applyProtection="1">
      <alignment horizontal="left" vertical="center" wrapText="1"/>
      <protection locked="0"/>
    </xf>
    <xf numFmtId="0" fontId="77" fillId="0" borderId="0" xfId="36" applyFont="1" applyAlignment="1">
      <alignment horizontal="left" vertical="top" wrapText="1"/>
    </xf>
    <xf numFmtId="0" fontId="17" fillId="0" borderId="0" xfId="39" applyFont="1"/>
    <xf numFmtId="0" fontId="18" fillId="0" borderId="7" xfId="0" applyFont="1" applyBorder="1" applyAlignment="1">
      <alignment horizontal="left" vertical="center" wrapText="1"/>
    </xf>
    <xf numFmtId="4" fontId="10" fillId="0" borderId="0" xfId="35" applyNumberFormat="1"/>
    <xf numFmtId="4" fontId="92" fillId="0" borderId="0" xfId="0" applyNumberFormat="1" applyFont="1" applyAlignment="1">
      <alignment vertical="center"/>
    </xf>
    <xf numFmtId="0" fontId="56" fillId="0" borderId="0" xfId="0" applyFont="1"/>
    <xf numFmtId="0" fontId="10" fillId="0" borderId="0" xfId="0" applyFont="1"/>
    <xf numFmtId="0" fontId="14" fillId="0" borderId="0" xfId="0" applyFont="1"/>
    <xf numFmtId="2" fontId="14" fillId="0" borderId="0" xfId="36" applyNumberFormat="1" applyFont="1">
      <alignment vertical="top"/>
    </xf>
    <xf numFmtId="0" fontId="97" fillId="0" borderId="0" xfId="0" applyFont="1" applyAlignment="1">
      <alignment horizontal="center" vertical="center"/>
    </xf>
    <xf numFmtId="4" fontId="97" fillId="0" borderId="0" xfId="0" applyNumberFormat="1" applyFont="1" applyAlignment="1">
      <alignment horizontal="center" vertical="center"/>
    </xf>
    <xf numFmtId="4" fontId="101" fillId="0" borderId="0" xfId="0" applyNumberFormat="1" applyFont="1" applyAlignment="1">
      <alignment vertical="center"/>
    </xf>
    <xf numFmtId="0" fontId="15" fillId="0" borderId="7" xfId="37" applyFont="1" applyBorder="1" applyAlignment="1">
      <alignment horizontal="justify" vertical="top" wrapText="1"/>
    </xf>
    <xf numFmtId="0" fontId="18" fillId="0" borderId="7" xfId="0" applyFont="1" applyBorder="1" applyAlignment="1">
      <alignment horizontal="center" vertical="center" wrapText="1"/>
    </xf>
    <xf numFmtId="4" fontId="13" fillId="0" borderId="0" xfId="0" applyNumberFormat="1" applyFont="1"/>
    <xf numFmtId="0" fontId="10" fillId="0" borderId="0" xfId="35" applyAlignment="1">
      <alignment horizontal="center" vertical="center"/>
    </xf>
    <xf numFmtId="0" fontId="102" fillId="0" borderId="0" xfId="35" applyFont="1"/>
    <xf numFmtId="4" fontId="43" fillId="0" borderId="0" xfId="0" applyNumberFormat="1" applyFont="1" applyAlignment="1">
      <alignment horizontal="left" vertical="center"/>
    </xf>
    <xf numFmtId="4" fontId="45" fillId="26" borderId="0" xfId="0" applyNumberFormat="1" applyFont="1" applyFill="1" applyAlignment="1">
      <alignment horizontal="center" vertical="center" wrapText="1"/>
    </xf>
    <xf numFmtId="0" fontId="10" fillId="27" borderId="0" xfId="35" applyFill="1"/>
    <xf numFmtId="0" fontId="51" fillId="0" borderId="7" xfId="39" applyFont="1" applyBorder="1" applyAlignment="1">
      <alignment horizontal="center" vertical="center" wrapText="1"/>
    </xf>
    <xf numFmtId="0" fontId="51" fillId="0" borderId="0" xfId="39" applyFont="1" applyAlignment="1">
      <alignment wrapText="1"/>
    </xf>
    <xf numFmtId="0" fontId="103" fillId="0" borderId="0" xfId="0" applyFont="1"/>
    <xf numFmtId="0" fontId="46" fillId="0" borderId="0" xfId="0" applyFont="1"/>
    <xf numFmtId="0" fontId="33" fillId="0" borderId="0" xfId="35" applyFont="1" applyAlignment="1">
      <alignment horizontal="center" vertical="center" wrapText="1"/>
    </xf>
    <xf numFmtId="4" fontId="34" fillId="0" borderId="0" xfId="35" applyNumberFormat="1" applyFont="1" applyAlignment="1">
      <alignment horizontal="center" vertical="center"/>
    </xf>
    <xf numFmtId="0" fontId="104" fillId="0" borderId="0" xfId="0" applyFont="1" applyAlignment="1">
      <alignment vertical="center"/>
    </xf>
    <xf numFmtId="4" fontId="105" fillId="0" borderId="0" xfId="0" applyNumberFormat="1" applyFont="1" applyAlignment="1">
      <alignment vertical="center"/>
    </xf>
    <xf numFmtId="4" fontId="106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4" fontId="104" fillId="0" borderId="0" xfId="0" applyNumberFormat="1" applyFont="1" applyAlignment="1">
      <alignment vertical="center"/>
    </xf>
    <xf numFmtId="0" fontId="105" fillId="0" borderId="0" xfId="0" applyFont="1" applyAlignment="1">
      <alignment vertical="center"/>
    </xf>
    <xf numFmtId="0" fontId="54" fillId="0" borderId="0" xfId="35" applyFont="1"/>
    <xf numFmtId="0" fontId="98" fillId="0" borderId="0" xfId="0" applyFont="1" applyAlignment="1">
      <alignment horizontal="center" vertical="center"/>
    </xf>
    <xf numFmtId="4" fontId="98" fillId="0" borderId="0" xfId="0" applyNumberFormat="1" applyFont="1" applyAlignment="1">
      <alignment horizontal="center" vertical="center"/>
    </xf>
    <xf numFmtId="4" fontId="98" fillId="0" borderId="0" xfId="0" applyNumberFormat="1" applyFont="1" applyAlignment="1">
      <alignment horizontal="left" vertical="center"/>
    </xf>
    <xf numFmtId="2" fontId="17" fillId="0" borderId="0" xfId="36" applyNumberFormat="1" applyFont="1">
      <alignment vertical="top"/>
    </xf>
    <xf numFmtId="0" fontId="17" fillId="0" borderId="0" xfId="36" applyFont="1">
      <alignment vertical="top"/>
    </xf>
    <xf numFmtId="0" fontId="14" fillId="0" borderId="0" xfId="39" applyFont="1"/>
    <xf numFmtId="0" fontId="64" fillId="0" borderId="7" xfId="39" applyFont="1" applyBorder="1" applyAlignment="1">
      <alignment vertical="center" wrapText="1"/>
    </xf>
    <xf numFmtId="0" fontId="41" fillId="0" borderId="0" xfId="0" applyFont="1" applyAlignment="1">
      <alignment horizontal="right"/>
    </xf>
    <xf numFmtId="0" fontId="101" fillId="0" borderId="0" xfId="0" applyFont="1" applyAlignment="1">
      <alignment vertical="center"/>
    </xf>
    <xf numFmtId="4" fontId="47" fillId="27" borderId="9" xfId="0" applyNumberFormat="1" applyFont="1" applyFill="1" applyBorder="1" applyAlignment="1">
      <alignment horizontal="center" vertical="center" wrapText="1"/>
    </xf>
    <xf numFmtId="0" fontId="108" fillId="0" borderId="0" xfId="0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71" fillId="0" borderId="0" xfId="0" applyFont="1" applyAlignment="1">
      <alignment horizontal="center"/>
    </xf>
    <xf numFmtId="0" fontId="63" fillId="0" borderId="7" xfId="0" applyFont="1" applyBorder="1" applyAlignment="1">
      <alignment horizontal="center" vertical="center" wrapText="1"/>
    </xf>
    <xf numFmtId="0" fontId="8" fillId="0" borderId="0" xfId="0" applyFont="1"/>
    <xf numFmtId="4" fontId="8" fillId="0" borderId="0" xfId="0" applyNumberFormat="1" applyFont="1"/>
    <xf numFmtId="4" fontId="10" fillId="0" borderId="7" xfId="0" applyNumberFormat="1" applyFont="1" applyBorder="1" applyAlignment="1">
      <alignment horizontal="center" vertical="center" wrapText="1"/>
    </xf>
    <xf numFmtId="0" fontId="111" fillId="0" borderId="0" xfId="0" applyFont="1"/>
    <xf numFmtId="0" fontId="111" fillId="0" borderId="0" xfId="36" applyFont="1">
      <alignment vertical="top"/>
    </xf>
    <xf numFmtId="0" fontId="111" fillId="0" borderId="0" xfId="35" applyFont="1"/>
    <xf numFmtId="0" fontId="46" fillId="0" borderId="0" xfId="36" applyFont="1">
      <alignment vertical="top"/>
    </xf>
    <xf numFmtId="0" fontId="46" fillId="0" borderId="0" xfId="35" applyFont="1"/>
    <xf numFmtId="0" fontId="33" fillId="0" borderId="0" xfId="35" applyFont="1"/>
    <xf numFmtId="164" fontId="36" fillId="0" borderId="0" xfId="30" applyNumberFormat="1" applyFont="1" applyAlignment="1">
      <alignment horizontal="center" vertical="center" wrapText="1"/>
    </xf>
    <xf numFmtId="0" fontId="10" fillId="28" borderId="0" xfId="35" applyFill="1"/>
    <xf numFmtId="4" fontId="46" fillId="0" borderId="0" xfId="0" applyNumberFormat="1" applyFont="1" applyAlignment="1">
      <alignment horizontal="center" vertical="center" wrapText="1"/>
    </xf>
    <xf numFmtId="4" fontId="47" fillId="27" borderId="21" xfId="0" applyNumberFormat="1" applyFont="1" applyFill="1" applyBorder="1" applyAlignment="1">
      <alignment horizontal="center" vertical="center" wrapText="1"/>
    </xf>
    <xf numFmtId="4" fontId="108" fillId="0" borderId="0" xfId="0" applyNumberFormat="1" applyFont="1" applyAlignment="1">
      <alignment horizontal="center" vertical="center"/>
    </xf>
    <xf numFmtId="4" fontId="113" fillId="0" borderId="0" xfId="0" applyNumberFormat="1" applyFont="1" applyAlignment="1">
      <alignment horizontal="center" vertical="center" wrapText="1"/>
    </xf>
    <xf numFmtId="2" fontId="15" fillId="0" borderId="0" xfId="38" applyNumberFormat="1" applyFont="1" applyFill="1" applyAlignment="1" applyProtection="1">
      <alignment vertical="center" wrapText="1"/>
      <protection locked="0"/>
    </xf>
    <xf numFmtId="2" fontId="16" fillId="0" borderId="0" xfId="36" applyNumberFormat="1" applyFont="1" applyAlignment="1">
      <alignment horizontal="center" vertical="top"/>
    </xf>
    <xf numFmtId="0" fontId="70" fillId="0" borderId="0" xfId="36" applyAlignment="1">
      <alignment vertical="center"/>
    </xf>
    <xf numFmtId="0" fontId="14" fillId="0" borderId="0" xfId="36" applyFont="1" applyAlignment="1">
      <alignment horizontal="right" vertical="center"/>
    </xf>
    <xf numFmtId="4" fontId="18" fillId="0" borderId="7" xfId="39" applyNumberFormat="1" applyFont="1" applyBorder="1" applyAlignment="1">
      <alignment horizontal="right" vertical="center" wrapText="1"/>
    </xf>
    <xf numFmtId="4" fontId="10" fillId="0" borderId="7" xfId="39" applyNumberFormat="1" applyFont="1" applyBorder="1" applyAlignment="1">
      <alignment horizontal="right" vertical="center" wrapText="1"/>
    </xf>
    <xf numFmtId="4" fontId="42" fillId="31" borderId="7" xfId="36" applyNumberFormat="1" applyFont="1" applyFill="1" applyBorder="1" applyAlignment="1">
      <alignment horizontal="center" vertical="center" wrapText="1"/>
    </xf>
    <xf numFmtId="0" fontId="0" fillId="0" borderId="0" xfId="0" applyFont="1"/>
    <xf numFmtId="0" fontId="115" fillId="0" borderId="0" xfId="0" applyFont="1"/>
    <xf numFmtId="0" fontId="43" fillId="0" borderId="0" xfId="38" applyFont="1" applyFill="1" applyBorder="1" applyAlignment="1" applyProtection="1">
      <alignment horizontal="center" vertical="center" wrapText="1"/>
      <protection locked="0"/>
    </xf>
    <xf numFmtId="0" fontId="15" fillId="0" borderId="7" xfId="39" applyFont="1" applyBorder="1" applyAlignment="1">
      <alignment horizontal="center" vertical="center" wrapText="1"/>
    </xf>
    <xf numFmtId="0" fontId="61" fillId="0" borderId="0" xfId="39" applyFont="1" applyAlignment="1">
      <alignment horizontal="center" vertical="center"/>
    </xf>
    <xf numFmtId="0" fontId="15" fillId="0" borderId="0" xfId="39" applyFont="1" applyAlignment="1">
      <alignment horizontal="center" vertical="center"/>
    </xf>
    <xf numFmtId="0" fontId="7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73" fillId="0" borderId="0" xfId="35" applyFont="1"/>
    <xf numFmtId="0" fontId="16" fillId="0" borderId="0" xfId="35" applyFont="1" applyAlignment="1">
      <alignment horizontal="center" vertical="center" wrapText="1"/>
    </xf>
    <xf numFmtId="0" fontId="75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70" fillId="0" borderId="0" xfId="36">
      <alignment vertical="top"/>
    </xf>
    <xf numFmtId="0" fontId="75" fillId="0" borderId="0" xfId="36" applyFont="1" applyAlignment="1">
      <alignment horizontal="center" vertical="center"/>
    </xf>
    <xf numFmtId="0" fontId="8" fillId="0" borderId="0" xfId="0" applyFont="1" applyAlignment="1">
      <alignment horizontal="left"/>
    </xf>
    <xf numFmtId="49" fontId="42" fillId="0" borderId="22" xfId="0" applyNumberFormat="1" applyFont="1" applyBorder="1" applyAlignment="1">
      <alignment horizontal="center" vertical="center" wrapText="1"/>
    </xf>
    <xf numFmtId="0" fontId="42" fillId="30" borderId="22" xfId="0" applyFont="1" applyFill="1" applyBorder="1" applyAlignment="1">
      <alignment horizontal="center" vertical="center"/>
    </xf>
    <xf numFmtId="0" fontId="42" fillId="30" borderId="22" xfId="0" applyFont="1" applyFill="1" applyBorder="1" applyAlignment="1">
      <alignment horizontal="left" vertical="center"/>
    </xf>
    <xf numFmtId="4" fontId="45" fillId="30" borderId="22" xfId="0" applyNumberFormat="1" applyFont="1" applyFill="1" applyBorder="1" applyAlignment="1">
      <alignment horizontal="center" vertical="center"/>
    </xf>
    <xf numFmtId="0" fontId="10" fillId="0" borderId="0" xfId="35" applyBorder="1" applyAlignment="1">
      <alignment horizontal="right" vertical="center"/>
    </xf>
    <xf numFmtId="0" fontId="107" fillId="0" borderId="22" xfId="35" applyFont="1" applyBorder="1" applyAlignment="1">
      <alignment horizontal="center" vertical="top" wrapText="1"/>
    </xf>
    <xf numFmtId="0" fontId="18" fillId="0" borderId="22" xfId="35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34" fillId="30" borderId="22" xfId="0" applyFont="1" applyFill="1" applyBorder="1" applyAlignment="1">
      <alignment horizontal="center" vertical="center"/>
    </xf>
    <xf numFmtId="0" fontId="34" fillId="30" borderId="22" xfId="0" applyFont="1" applyFill="1" applyBorder="1" applyAlignment="1">
      <alignment horizontal="left" vertical="center"/>
    </xf>
    <xf numFmtId="4" fontId="34" fillId="30" borderId="22" xfId="0" applyNumberFormat="1" applyFont="1" applyFill="1" applyBorder="1" applyAlignment="1">
      <alignment horizontal="center" vertical="center"/>
    </xf>
    <xf numFmtId="0" fontId="126" fillId="0" borderId="0" xfId="36" applyFont="1">
      <alignment vertical="top"/>
    </xf>
    <xf numFmtId="0" fontId="10" fillId="0" borderId="17" xfId="35" applyBorder="1"/>
    <xf numFmtId="0" fontId="0" fillId="0" borderId="0" xfId="0" applyFont="1" applyBorder="1" applyAlignment="1">
      <alignment horizontal="center" vertical="center"/>
    </xf>
    <xf numFmtId="0" fontId="125" fillId="0" borderId="0" xfId="0" applyFont="1" applyBorder="1" applyAlignment="1">
      <alignment horizontal="center" vertical="center"/>
    </xf>
    <xf numFmtId="0" fontId="124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 vertical="top"/>
    </xf>
    <xf numFmtId="2" fontId="75" fillId="0" borderId="22" xfId="36" applyNumberFormat="1" applyFont="1" applyBorder="1" applyAlignment="1">
      <alignment horizontal="center" vertical="center"/>
    </xf>
    <xf numFmtId="2" fontId="14" fillId="0" borderId="22" xfId="36" applyNumberFormat="1" applyFont="1" applyFill="1" applyBorder="1" applyAlignment="1">
      <alignment horizontal="center" vertical="center" wrapText="1"/>
    </xf>
    <xf numFmtId="4" fontId="14" fillId="0" borderId="22" xfId="36" applyNumberFormat="1" applyFont="1" applyFill="1" applyBorder="1" applyAlignment="1">
      <alignment horizontal="center" vertical="center"/>
    </xf>
    <xf numFmtId="4" fontId="78" fillId="0" borderId="22" xfId="36" applyNumberFormat="1" applyFont="1" applyFill="1" applyBorder="1" applyAlignment="1">
      <alignment horizontal="center" vertical="center" wrapText="1"/>
    </xf>
    <xf numFmtId="2" fontId="14" fillId="0" borderId="22" xfId="36" applyNumberFormat="1" applyFont="1" applyBorder="1" applyAlignment="1">
      <alignment horizontal="center" vertical="center" wrapText="1"/>
    </xf>
    <xf numFmtId="4" fontId="97" fillId="25" borderId="14" xfId="0" applyNumberFormat="1" applyFont="1" applyFill="1" applyBorder="1" applyAlignment="1">
      <alignment horizontal="center" vertical="center"/>
    </xf>
    <xf numFmtId="0" fontId="98" fillId="0" borderId="22" xfId="0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 wrapText="1"/>
    </xf>
    <xf numFmtId="4" fontId="114" fillId="0" borderId="22" xfId="94" applyNumberFormat="1" applyFont="1" applyBorder="1" applyAlignment="1">
      <alignment horizontal="center" vertical="center"/>
    </xf>
    <xf numFmtId="0" fontId="98" fillId="0" borderId="22" xfId="0" applyFont="1" applyBorder="1" applyAlignment="1">
      <alignment horizontal="left" vertical="center" wrapText="1"/>
    </xf>
    <xf numFmtId="4" fontId="98" fillId="0" borderId="22" xfId="0" applyNumberFormat="1" applyFont="1" applyBorder="1" applyAlignment="1">
      <alignment horizontal="center" vertical="center"/>
    </xf>
    <xf numFmtId="4" fontId="75" fillId="30" borderId="22" xfId="36" applyNumberFormat="1" applyFont="1" applyFill="1" applyBorder="1" applyAlignment="1">
      <alignment horizontal="center" vertical="center" wrapText="1"/>
    </xf>
    <xf numFmtId="0" fontId="75" fillId="30" borderId="22" xfId="0" applyFont="1" applyFill="1" applyBorder="1" applyAlignment="1">
      <alignment horizontal="center" vertical="center"/>
    </xf>
    <xf numFmtId="0" fontId="15" fillId="30" borderId="22" xfId="0" applyFont="1" applyFill="1" applyBorder="1" applyAlignment="1">
      <alignment horizontal="center" vertical="center"/>
    </xf>
    <xf numFmtId="2" fontId="15" fillId="30" borderId="22" xfId="36" applyNumberFormat="1" applyFont="1" applyFill="1" applyBorder="1" applyAlignment="1">
      <alignment horizontal="left" vertical="center" wrapText="1"/>
    </xf>
    <xf numFmtId="4" fontId="15" fillId="30" borderId="22" xfId="36" applyNumberFormat="1" applyFont="1" applyFill="1" applyBorder="1" applyAlignment="1">
      <alignment horizontal="center" vertical="center" wrapText="1"/>
    </xf>
    <xf numFmtId="49" fontId="43" fillId="29" borderId="22" xfId="0" applyNumberFormat="1" applyFont="1" applyFill="1" applyBorder="1" applyAlignment="1">
      <alignment horizontal="center" vertical="center" wrapText="1"/>
    </xf>
    <xf numFmtId="4" fontId="42" fillId="29" borderId="22" xfId="0" applyNumberFormat="1" applyFont="1" applyFill="1" applyBorder="1" applyAlignment="1">
      <alignment horizontal="center" vertical="center" wrapText="1"/>
    </xf>
    <xf numFmtId="4" fontId="42" fillId="29" borderId="22" xfId="38" applyNumberFormat="1" applyFont="1" applyFill="1" applyBorder="1" applyAlignment="1" applyProtection="1">
      <alignment horizontal="center" vertical="center" wrapText="1"/>
      <protection locked="0"/>
    </xf>
    <xf numFmtId="4" fontId="43" fillId="29" borderId="22" xfId="38" applyNumberFormat="1" applyFont="1" applyFill="1" applyBorder="1" applyAlignment="1" applyProtection="1">
      <alignment horizontal="center" vertical="center" wrapText="1"/>
      <protection locked="0"/>
    </xf>
    <xf numFmtId="4" fontId="43" fillId="29" borderId="22" xfId="38" applyNumberFormat="1" applyFont="1" applyFill="1" applyBorder="1" applyAlignment="1">
      <alignment horizontal="center" vertical="center" wrapText="1"/>
    </xf>
    <xf numFmtId="4" fontId="42" fillId="30" borderId="22" xfId="0" applyNumberFormat="1" applyFont="1" applyFill="1" applyBorder="1" applyAlignment="1">
      <alignment horizontal="center" vertical="center"/>
    </xf>
    <xf numFmtId="0" fontId="97" fillId="0" borderId="22" xfId="0" applyFont="1" applyBorder="1" applyAlignment="1">
      <alignment horizontal="center" vertical="top" wrapText="1"/>
    </xf>
    <xf numFmtId="0" fontId="15" fillId="0" borderId="22" xfId="35" applyFont="1" applyBorder="1" applyAlignment="1">
      <alignment horizontal="center" vertical="top" wrapText="1"/>
    </xf>
    <xf numFmtId="0" fontId="97" fillId="0" borderId="22" xfId="0" applyFont="1" applyBorder="1" applyAlignment="1">
      <alignment horizontal="center" vertical="top"/>
    </xf>
    <xf numFmtId="4" fontId="97" fillId="0" borderId="7" xfId="39" applyNumberFormat="1" applyFont="1" applyBorder="1" applyAlignment="1">
      <alignment vertical="center" wrapText="1"/>
    </xf>
    <xf numFmtId="4" fontId="15" fillId="0" borderId="7" xfId="39" applyNumberFormat="1" applyFont="1" applyBorder="1" applyAlignment="1">
      <alignment horizontal="right" vertical="center" wrapText="1"/>
    </xf>
    <xf numFmtId="49" fontId="43" fillId="32" borderId="22" xfId="0" applyNumberFormat="1" applyFont="1" applyFill="1" applyBorder="1" applyAlignment="1">
      <alignment horizontal="center" vertical="center" wrapText="1"/>
    </xf>
    <xf numFmtId="49" fontId="43" fillId="32" borderId="22" xfId="0" applyNumberFormat="1" applyFont="1" applyFill="1" applyBorder="1" applyAlignment="1">
      <alignment horizontal="center" vertical="center"/>
    </xf>
    <xf numFmtId="4" fontId="45" fillId="32" borderId="0" xfId="0" applyNumberFormat="1" applyFont="1" applyFill="1" applyAlignment="1">
      <alignment horizontal="center" vertical="center" wrapText="1"/>
    </xf>
    <xf numFmtId="4" fontId="45" fillId="32" borderId="0" xfId="0" applyNumberFormat="1" applyFont="1" applyFill="1" applyAlignment="1">
      <alignment horizontal="left" vertical="center" wrapText="1"/>
    </xf>
    <xf numFmtId="0" fontId="0" fillId="32" borderId="0" xfId="0" applyFill="1"/>
    <xf numFmtId="4" fontId="43" fillId="32" borderId="22" xfId="0" applyNumberFormat="1" applyFont="1" applyFill="1" applyBorder="1" applyAlignment="1">
      <alignment horizontal="center" vertical="center" wrapText="1"/>
    </xf>
    <xf numFmtId="4" fontId="42" fillId="32" borderId="22" xfId="0" applyNumberFormat="1" applyFont="1" applyFill="1" applyBorder="1" applyAlignment="1">
      <alignment horizontal="center" vertical="center" wrapText="1"/>
    </xf>
    <xf numFmtId="49" fontId="43" fillId="0" borderId="22" xfId="0" applyNumberFormat="1" applyFont="1" applyFill="1" applyBorder="1" applyAlignment="1">
      <alignment horizontal="center" vertical="center"/>
    </xf>
    <xf numFmtId="0" fontId="73" fillId="0" borderId="0" xfId="35" applyFont="1"/>
    <xf numFmtId="4" fontId="46" fillId="0" borderId="7" xfId="0" applyNumberFormat="1" applyFont="1" applyBorder="1" applyAlignment="1">
      <alignment horizontal="center" vertical="center" wrapText="1"/>
    </xf>
    <xf numFmtId="4" fontId="46" fillId="0" borderId="22" xfId="0" applyNumberFormat="1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43" fillId="0" borderId="22" xfId="38" applyFont="1" applyFill="1" applyBorder="1" applyAlignment="1" applyProtection="1">
      <alignment horizontal="center" vertical="center" wrapText="1"/>
      <protection locked="0"/>
    </xf>
    <xf numFmtId="4" fontId="46" fillId="0" borderId="22" xfId="38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38" applyFont="1" applyFill="1" applyBorder="1" applyAlignment="1" applyProtection="1">
      <alignment horizontal="center" wrapText="1"/>
      <protection locked="0"/>
    </xf>
    <xf numFmtId="0" fontId="43" fillId="0" borderId="24" xfId="38" applyFont="1" applyFill="1" applyBorder="1" applyAlignment="1" applyProtection="1">
      <alignment horizontal="center" vertical="top" wrapText="1"/>
      <protection locked="0"/>
    </xf>
    <xf numFmtId="0" fontId="43" fillId="0" borderId="23" xfId="38" applyFont="1" applyFill="1" applyBorder="1" applyAlignment="1" applyProtection="1">
      <alignment horizontal="center" wrapText="1"/>
      <protection locked="0"/>
    </xf>
    <xf numFmtId="0" fontId="43" fillId="0" borderId="0" xfId="38" applyFont="1" applyFill="1" applyBorder="1" applyAlignment="1" applyProtection="1">
      <alignment horizontal="center" vertical="top" wrapText="1"/>
      <protection locked="0"/>
    </xf>
    <xf numFmtId="49" fontId="33" fillId="0" borderId="22" xfId="35" applyNumberFormat="1" applyFont="1" applyFill="1" applyBorder="1" applyAlignment="1">
      <alignment horizontal="center" vertical="center" wrapText="1"/>
    </xf>
    <xf numFmtId="0" fontId="33" fillId="0" borderId="22" xfId="35" applyFont="1" applyFill="1" applyBorder="1" applyAlignment="1">
      <alignment horizontal="center" vertical="center" wrapText="1"/>
    </xf>
    <xf numFmtId="4" fontId="33" fillId="0" borderId="22" xfId="35" applyNumberFormat="1" applyFont="1" applyFill="1" applyBorder="1" applyAlignment="1">
      <alignment horizontal="center" vertical="center"/>
    </xf>
    <xf numFmtId="0" fontId="127" fillId="0" borderId="0" xfId="35" applyFont="1" applyAlignment="1">
      <alignment horizontal="center" vertical="center"/>
    </xf>
    <xf numFmtId="4" fontId="43" fillId="0" borderId="7" xfId="0" applyNumberFormat="1" applyFont="1" applyBorder="1" applyAlignment="1">
      <alignment horizontal="center" vertical="center" wrapText="1"/>
    </xf>
    <xf numFmtId="4" fontId="47" fillId="27" borderId="16" xfId="0" applyNumberFormat="1" applyFont="1" applyFill="1" applyBorder="1" applyAlignment="1">
      <alignment horizontal="center" vertical="center" wrapText="1"/>
    </xf>
    <xf numFmtId="0" fontId="10" fillId="0" borderId="0" xfId="35" applyAlignment="1">
      <alignment horizontal="left" vertical="center"/>
    </xf>
    <xf numFmtId="0" fontId="43" fillId="0" borderId="24" xfId="38" applyFont="1" applyFill="1" applyBorder="1" applyAlignment="1" applyProtection="1">
      <alignment horizontal="center" vertical="center" wrapText="1"/>
      <protection locked="0"/>
    </xf>
    <xf numFmtId="0" fontId="114" fillId="0" borderId="22" xfId="94" applyFont="1" applyBorder="1" applyAlignment="1">
      <alignment horizontal="center" vertical="center"/>
    </xf>
    <xf numFmtId="0" fontId="98" fillId="0" borderId="2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" fontId="18" fillId="0" borderId="7" xfId="0" applyNumberFormat="1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4" fontId="42" fillId="31" borderId="0" xfId="36" applyNumberFormat="1" applyFont="1" applyFill="1" applyBorder="1" applyAlignment="1">
      <alignment horizontal="center" vertical="center" wrapText="1"/>
    </xf>
    <xf numFmtId="0" fontId="110" fillId="0" borderId="22" xfId="0" applyFont="1" applyBorder="1" applyAlignment="1">
      <alignment horizontal="center" vertical="center" wrapText="1"/>
    </xf>
    <xf numFmtId="10" fontId="59" fillId="0" borderId="0" xfId="0" applyNumberFormat="1" applyFont="1" applyAlignment="1">
      <alignment vertical="center"/>
    </xf>
    <xf numFmtId="4" fontId="45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6" fillId="0" borderId="22" xfId="38" applyNumberFormat="1" applyFont="1" applyFill="1" applyBorder="1" applyAlignment="1">
      <alignment horizontal="center" vertical="center" wrapText="1"/>
    </xf>
    <xf numFmtId="4" fontId="45" fillId="0" borderId="22" xfId="38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34" fillId="0" borderId="22" xfId="0" applyFont="1" applyBorder="1" applyAlignment="1">
      <alignment horizontal="center" vertical="top" wrapText="1"/>
    </xf>
    <xf numFmtId="0" fontId="34" fillId="0" borderId="22" xfId="35" applyFont="1" applyBorder="1" applyAlignment="1">
      <alignment horizontal="center" vertical="top" wrapText="1"/>
    </xf>
    <xf numFmtId="4" fontId="10" fillId="0" borderId="0" xfId="35" applyNumberFormat="1" applyAlignment="1">
      <alignment horizontal="left" vertical="center"/>
    </xf>
    <xf numFmtId="4" fontId="33" fillId="32" borderId="22" xfId="0" applyNumberFormat="1" applyFont="1" applyFill="1" applyBorder="1" applyAlignment="1">
      <alignment horizontal="center" vertical="center" wrapText="1"/>
    </xf>
    <xf numFmtId="0" fontId="130" fillId="0" borderId="0" xfId="35" applyFont="1" applyAlignment="1">
      <alignment vertical="center"/>
    </xf>
    <xf numFmtId="4" fontId="34" fillId="30" borderId="22" xfId="0" applyNumberFormat="1" applyFont="1" applyFill="1" applyBorder="1" applyAlignment="1">
      <alignment horizontal="left" vertical="center"/>
    </xf>
    <xf numFmtId="0" fontId="10" fillId="32" borderId="0" xfId="35" applyFill="1" applyAlignment="1">
      <alignment horizontal="center" vertical="center"/>
    </xf>
    <xf numFmtId="0" fontId="46" fillId="32" borderId="0" xfId="35" applyFont="1" applyFill="1" applyAlignment="1">
      <alignment horizontal="center" vertical="center"/>
    </xf>
    <xf numFmtId="49" fontId="33" fillId="32" borderId="22" xfId="0" applyNumberFormat="1" applyFont="1" applyFill="1" applyBorder="1" applyAlignment="1">
      <alignment horizontal="center" vertical="center" wrapText="1"/>
    </xf>
    <xf numFmtId="0" fontId="33" fillId="32" borderId="22" xfId="18" applyFont="1" applyFill="1" applyBorder="1" applyAlignment="1">
      <alignment horizontal="center" vertical="center" wrapText="1"/>
    </xf>
    <xf numFmtId="0" fontId="34" fillId="32" borderId="22" xfId="35" applyFont="1" applyFill="1" applyBorder="1" applyAlignment="1">
      <alignment horizontal="center" vertical="center" wrapText="1"/>
    </xf>
    <xf numFmtId="4" fontId="34" fillId="32" borderId="22" xfId="35" applyNumberFormat="1" applyFont="1" applyFill="1" applyBorder="1" applyAlignment="1">
      <alignment horizontal="center" vertical="center" wrapText="1"/>
    </xf>
    <xf numFmtId="164" fontId="33" fillId="32" borderId="22" xfId="30" applyNumberFormat="1" applyFont="1" applyFill="1" applyBorder="1" applyAlignment="1">
      <alignment horizontal="center" vertical="center"/>
    </xf>
    <xf numFmtId="4" fontId="36" fillId="32" borderId="22" xfId="30" applyNumberFormat="1" applyFont="1" applyFill="1" applyBorder="1" applyAlignment="1">
      <alignment horizontal="center" vertical="center"/>
    </xf>
    <xf numFmtId="9" fontId="33" fillId="32" borderId="22" xfId="0" applyNumberFormat="1" applyFont="1" applyFill="1" applyBorder="1" applyAlignment="1">
      <alignment horizontal="center" vertical="center" wrapText="1"/>
    </xf>
    <xf numFmtId="164" fontId="36" fillId="32" borderId="22" xfId="30" applyNumberFormat="1" applyFont="1" applyFill="1" applyBorder="1" applyAlignment="1">
      <alignment horizontal="center" vertical="center"/>
    </xf>
    <xf numFmtId="164" fontId="36" fillId="32" borderId="22" xfId="30" applyNumberFormat="1" applyFont="1" applyFill="1" applyBorder="1" applyAlignment="1">
      <alignment horizontal="center" vertical="center" wrapText="1"/>
    </xf>
    <xf numFmtId="4" fontId="57" fillId="32" borderId="22" xfId="0" applyNumberFormat="1" applyFont="1" applyFill="1" applyBorder="1" applyAlignment="1">
      <alignment horizontal="center" vertical="center" wrapText="1"/>
    </xf>
    <xf numFmtId="0" fontId="57" fillId="32" borderId="22" xfId="0" applyFont="1" applyFill="1" applyBorder="1" applyAlignment="1">
      <alignment horizontal="center" vertical="center" wrapText="1"/>
    </xf>
    <xf numFmtId="0" fontId="10" fillId="0" borderId="0" xfId="35" applyFill="1"/>
    <xf numFmtId="0" fontId="33" fillId="0" borderId="22" xfId="38" applyFont="1" applyFill="1" applyBorder="1" applyAlignment="1" applyProtection="1">
      <alignment horizontal="center" vertical="center" wrapText="1"/>
      <protection locked="0"/>
    </xf>
    <xf numFmtId="0" fontId="34" fillId="0" borderId="22" xfId="38" applyFont="1" applyFill="1" applyBorder="1" applyAlignment="1" applyProtection="1">
      <alignment horizontal="center" vertical="center" wrapText="1"/>
      <protection locked="0"/>
    </xf>
    <xf numFmtId="4" fontId="33" fillId="0" borderId="22" xfId="38" applyNumberFormat="1" applyFont="1" applyFill="1" applyBorder="1" applyAlignment="1" applyProtection="1">
      <alignment horizontal="center" vertical="center" wrapText="1"/>
      <protection locked="0"/>
    </xf>
    <xf numFmtId="2" fontId="14" fillId="0" borderId="22" xfId="36" applyNumberFormat="1" applyFont="1" applyFill="1" applyBorder="1" applyAlignment="1">
      <alignment horizontal="center" vertical="center" wrapText="1"/>
    </xf>
    <xf numFmtId="2" fontId="14" fillId="0" borderId="22" xfId="36" applyNumberFormat="1" applyFont="1" applyFill="1" applyBorder="1" applyAlignment="1">
      <alignment horizontal="center" vertical="center" wrapText="1"/>
    </xf>
    <xf numFmtId="0" fontId="33" fillId="0" borderId="22" xfId="18" applyFont="1" applyBorder="1" applyAlignment="1">
      <alignment horizontal="center" vertical="center" wrapText="1"/>
    </xf>
    <xf numFmtId="0" fontId="0" fillId="0" borderId="0" xfId="0"/>
    <xf numFmtId="0" fontId="4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98" fillId="0" borderId="0" xfId="0" applyFont="1" applyAlignment="1">
      <alignment horizontal="right" vertical="center"/>
    </xf>
    <xf numFmtId="49" fontId="33" fillId="0" borderId="22" xfId="0" applyNumberFormat="1" applyFont="1" applyBorder="1" applyAlignment="1">
      <alignment horizontal="center" vertical="center" wrapText="1"/>
    </xf>
    <xf numFmtId="164" fontId="33" fillId="0" borderId="22" xfId="30" applyNumberFormat="1" applyFont="1" applyBorder="1" applyAlignment="1">
      <alignment horizontal="center" vertical="center"/>
    </xf>
    <xf numFmtId="4" fontId="33" fillId="0" borderId="22" xfId="30" applyNumberFormat="1" applyFont="1" applyBorder="1" applyAlignment="1">
      <alignment horizontal="center" vertical="center"/>
    </xf>
    <xf numFmtId="49" fontId="52" fillId="0" borderId="22" xfId="0" applyNumberFormat="1" applyFont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 wrapText="1"/>
    </xf>
    <xf numFmtId="4" fontId="52" fillId="0" borderId="22" xfId="30" applyNumberFormat="1" applyFont="1" applyBorder="1" applyAlignment="1">
      <alignment horizontal="center" vertical="center"/>
    </xf>
    <xf numFmtId="9" fontId="33" fillId="0" borderId="22" xfId="0" applyNumberFormat="1" applyFont="1" applyBorder="1" applyAlignment="1">
      <alignment horizontal="center" vertical="center" wrapText="1"/>
    </xf>
    <xf numFmtId="4" fontId="33" fillId="0" borderId="22" xfId="0" applyNumberFormat="1" applyFont="1" applyBorder="1" applyAlignment="1">
      <alignment horizontal="center" vertical="center" wrapText="1"/>
    </xf>
    <xf numFmtId="164" fontId="52" fillId="0" borderId="22" xfId="30" applyNumberFormat="1" applyFont="1" applyBorder="1" applyAlignment="1">
      <alignment horizontal="center" vertical="center"/>
    </xf>
    <xf numFmtId="9" fontId="33" fillId="0" borderId="22" xfId="30" applyNumberFormat="1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 wrapText="1"/>
    </xf>
    <xf numFmtId="0" fontId="52" fillId="0" borderId="22" xfId="45" applyFont="1" applyBorder="1" applyAlignment="1">
      <alignment horizontal="center" vertical="center" wrapText="1"/>
    </xf>
    <xf numFmtId="49" fontId="33" fillId="0" borderId="22" xfId="18" applyNumberFormat="1" applyFont="1" applyBorder="1" applyAlignment="1">
      <alignment horizontal="center" vertical="center" wrapText="1"/>
    </xf>
    <xf numFmtId="0" fontId="33" fillId="0" borderId="22" xfId="92" applyFont="1" applyBorder="1" applyAlignment="1">
      <alignment horizontal="center" vertical="center" wrapText="1"/>
    </xf>
    <xf numFmtId="4" fontId="36" fillId="0" borderId="22" xfId="30" applyNumberFormat="1" applyFont="1" applyBorder="1" applyAlignment="1">
      <alignment horizontal="center" vertical="center"/>
    </xf>
    <xf numFmtId="9" fontId="36" fillId="0" borderId="22" xfId="30" applyNumberFormat="1" applyFont="1" applyBorder="1" applyAlignment="1">
      <alignment horizontal="center" vertical="center"/>
    </xf>
    <xf numFmtId="164" fontId="55" fillId="0" borderId="22" xfId="30" applyNumberFormat="1" applyFont="1" applyBorder="1" applyAlignment="1">
      <alignment horizontal="center" vertical="center"/>
    </xf>
    <xf numFmtId="0" fontId="36" fillId="0" borderId="22" xfId="18" applyFont="1" applyBorder="1" applyAlignment="1">
      <alignment horizontal="center" vertical="center" wrapText="1"/>
    </xf>
    <xf numFmtId="0" fontId="33" fillId="0" borderId="22" xfId="84" applyFont="1" applyBorder="1" applyAlignment="1">
      <alignment horizontal="center" vertical="center" wrapText="1"/>
    </xf>
    <xf numFmtId="0" fontId="33" fillId="0" borderId="22" xfId="40" applyFont="1" applyBorder="1" applyAlignment="1">
      <alignment horizontal="center" vertical="center" wrapText="1"/>
    </xf>
    <xf numFmtId="0" fontId="61" fillId="0" borderId="0" xfId="35" applyFont="1" applyAlignment="1">
      <alignment horizontal="left"/>
    </xf>
    <xf numFmtId="0" fontId="10" fillId="0" borderId="7" xfId="37" applyFont="1" applyBorder="1" applyAlignment="1">
      <alignment horizontal="justify" vertical="top" wrapText="1"/>
    </xf>
    <xf numFmtId="0" fontId="43" fillId="0" borderId="0" xfId="0" applyFont="1"/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/>
    </xf>
    <xf numFmtId="4" fontId="34" fillId="0" borderId="0" xfId="0" applyNumberFormat="1" applyFont="1" applyFill="1" applyBorder="1" applyAlignment="1">
      <alignment horizontal="center" vertical="center"/>
    </xf>
    <xf numFmtId="0" fontId="73" fillId="0" borderId="0" xfId="35" applyFont="1" applyFill="1"/>
    <xf numFmtId="0" fontId="75" fillId="0" borderId="0" xfId="0" applyFont="1" applyFill="1" applyBorder="1" applyAlignment="1">
      <alignment horizontal="center" vertical="center"/>
    </xf>
    <xf numFmtId="2" fontId="75" fillId="0" borderId="0" xfId="36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4" fontId="75" fillId="0" borderId="0" xfId="36" applyNumberFormat="1" applyFont="1" applyFill="1" applyBorder="1" applyAlignment="1">
      <alignment horizontal="center" vertical="center" wrapText="1"/>
    </xf>
    <xf numFmtId="2" fontId="16" fillId="0" borderId="0" xfId="36" applyNumberFormat="1" applyFont="1" applyFill="1" applyAlignment="1">
      <alignment horizontal="center" vertical="top"/>
    </xf>
    <xf numFmtId="2" fontId="70" fillId="0" borderId="0" xfId="36" applyNumberFormat="1" applyFill="1" applyAlignment="1">
      <alignment horizontal="center" vertical="top"/>
    </xf>
    <xf numFmtId="164" fontId="110" fillId="0" borderId="22" xfId="30" applyNumberFormat="1" applyFont="1" applyBorder="1" applyAlignment="1">
      <alignment horizontal="center" vertical="center" wrapText="1"/>
    </xf>
    <xf numFmtId="0" fontId="33" fillId="0" borderId="0" xfId="35" applyFont="1" applyAlignment="1">
      <alignment horizontal="center" vertical="center" wrapText="1"/>
    </xf>
    <xf numFmtId="0" fontId="18" fillId="0" borderId="0" xfId="39" applyFont="1" applyAlignment="1">
      <alignment wrapText="1"/>
    </xf>
    <xf numFmtId="0" fontId="33" fillId="0" borderId="0" xfId="0" applyFont="1" applyFill="1" applyBorder="1" applyAlignment="1">
      <alignment horizontal="center" vertical="center"/>
    </xf>
    <xf numFmtId="4" fontId="33" fillId="0" borderId="0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49" fontId="43" fillId="0" borderId="0" xfId="0" applyNumberFormat="1" applyFont="1" applyAlignment="1">
      <alignment horizontal="center" vertical="center" wrapText="1"/>
    </xf>
    <xf numFmtId="4" fontId="42" fillId="0" borderId="0" xfId="0" applyNumberFormat="1" applyFont="1" applyAlignment="1">
      <alignment horizontal="left" vertical="center"/>
    </xf>
    <xf numFmtId="0" fontId="18" fillId="0" borderId="0" xfId="0" applyFont="1"/>
    <xf numFmtId="4" fontId="112" fillId="0" borderId="0" xfId="0" applyNumberFormat="1" applyFont="1" applyAlignment="1">
      <alignment horizontal="center" vertical="center"/>
    </xf>
    <xf numFmtId="4" fontId="48" fillId="0" borderId="0" xfId="0" applyNumberFormat="1" applyFont="1"/>
    <xf numFmtId="0" fontId="81" fillId="0" borderId="0" xfId="0" applyFont="1"/>
    <xf numFmtId="4" fontId="80" fillId="0" borderId="0" xfId="0" applyNumberFormat="1" applyFont="1" applyAlignment="1">
      <alignment horizontal="left" vertical="center"/>
    </xf>
    <xf numFmtId="4" fontId="45" fillId="0" borderId="0" xfId="0" applyNumberFormat="1" applyFont="1" applyAlignment="1">
      <alignment horizontal="center" vertical="center" wrapText="1"/>
    </xf>
    <xf numFmtId="4" fontId="45" fillId="0" borderId="0" xfId="0" applyNumberFormat="1" applyFont="1" applyAlignment="1">
      <alignment horizontal="left" vertical="center" wrapText="1"/>
    </xf>
    <xf numFmtId="0" fontId="43" fillId="0" borderId="22" xfId="0" applyFont="1" applyBorder="1" applyAlignment="1">
      <alignment horizontal="center" vertical="center" wrapText="1"/>
    </xf>
    <xf numFmtId="4" fontId="93" fillId="0" borderId="0" xfId="0" applyNumberFormat="1" applyFont="1" applyAlignment="1">
      <alignment vertical="center"/>
    </xf>
    <xf numFmtId="49" fontId="43" fillId="0" borderId="22" xfId="0" applyNumberFormat="1" applyFont="1" applyBorder="1" applyAlignment="1">
      <alignment horizontal="center" vertical="center"/>
    </xf>
    <xf numFmtId="4" fontId="113" fillId="0" borderId="0" xfId="0" applyNumberFormat="1" applyFont="1" applyAlignment="1">
      <alignment vertical="center"/>
    </xf>
    <xf numFmtId="4" fontId="43" fillId="0" borderId="0" xfId="0" applyNumberFormat="1" applyFont="1" applyAlignment="1">
      <alignment horizontal="center" vertical="center"/>
    </xf>
    <xf numFmtId="4" fontId="60" fillId="0" borderId="0" xfId="0" applyNumberFormat="1" applyFont="1" applyAlignment="1">
      <alignment vertical="center"/>
    </xf>
    <xf numFmtId="4" fontId="58" fillId="0" borderId="0" xfId="0" applyNumberFormat="1" applyFont="1" applyAlignment="1">
      <alignment vertical="center"/>
    </xf>
    <xf numFmtId="167" fontId="101" fillId="0" borderId="0" xfId="0" applyNumberFormat="1" applyFont="1" applyAlignment="1">
      <alignment vertical="center"/>
    </xf>
    <xf numFmtId="0" fontId="91" fillId="0" borderId="0" xfId="0" applyFont="1" applyAlignment="1">
      <alignment vertical="center"/>
    </xf>
    <xf numFmtId="2" fontId="109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166" fontId="59" fillId="0" borderId="0" xfId="0" applyNumberFormat="1" applyFont="1" applyAlignment="1">
      <alignment vertical="center"/>
    </xf>
    <xf numFmtId="0" fontId="42" fillId="0" borderId="0" xfId="0" applyFont="1" applyAlignment="1">
      <alignment horizontal="right" vertical="center"/>
    </xf>
    <xf numFmtId="49" fontId="44" fillId="33" borderId="22" xfId="0" applyNumberFormat="1" applyFont="1" applyFill="1" applyBorder="1" applyAlignment="1">
      <alignment horizontal="center" vertical="center" wrapText="1"/>
    </xf>
    <xf numFmtId="0" fontId="44" fillId="33" borderId="22" xfId="38" applyFont="1" applyFill="1" applyBorder="1" applyAlignment="1" applyProtection="1">
      <alignment horizontal="center" vertical="center" wrapText="1"/>
      <protection locked="0"/>
    </xf>
    <xf numFmtId="4" fontId="44" fillId="33" borderId="22" xfId="38" applyNumberFormat="1" applyFont="1" applyFill="1" applyBorder="1" applyAlignment="1" applyProtection="1">
      <alignment horizontal="center" vertical="center" wrapText="1"/>
      <protection locked="0"/>
    </xf>
    <xf numFmtId="4" fontId="44" fillId="33" borderId="22" xfId="0" applyNumberFormat="1" applyFont="1" applyFill="1" applyBorder="1" applyAlignment="1">
      <alignment horizontal="center" vertical="center" wrapText="1"/>
    </xf>
    <xf numFmtId="49" fontId="42" fillId="34" borderId="22" xfId="0" applyNumberFormat="1" applyFont="1" applyFill="1" applyBorder="1" applyAlignment="1">
      <alignment horizontal="center" vertical="center" wrapText="1"/>
    </xf>
    <xf numFmtId="0" fontId="42" fillId="34" borderId="22" xfId="38" applyFont="1" applyFill="1" applyBorder="1" applyAlignment="1" applyProtection="1">
      <alignment horizontal="center" vertical="center" wrapText="1"/>
      <protection locked="0"/>
    </xf>
    <xf numFmtId="4" fontId="42" fillId="34" borderId="22" xfId="38" applyNumberFormat="1" applyFont="1" applyFill="1" applyBorder="1" applyAlignment="1" applyProtection="1">
      <alignment horizontal="center" vertical="center" wrapText="1"/>
      <protection locked="0"/>
    </xf>
    <xf numFmtId="4" fontId="42" fillId="34" borderId="22" xfId="0" applyNumberFormat="1" applyFont="1" applyFill="1" applyBorder="1" applyAlignment="1">
      <alignment horizontal="center" vertical="center" wrapText="1"/>
    </xf>
    <xf numFmtId="0" fontId="10" fillId="0" borderId="7" xfId="39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" fontId="46" fillId="0" borderId="22" xfId="0" applyNumberFormat="1" applyFon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 wrapText="1"/>
    </xf>
    <xf numFmtId="49" fontId="43" fillId="0" borderId="22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2" fillId="0" borderId="22" xfId="0" applyFont="1" applyBorder="1" applyAlignment="1">
      <alignment horizontal="center" vertical="top" wrapText="1"/>
    </xf>
    <xf numFmtId="0" fontId="33" fillId="0" borderId="0" xfId="0" applyFont="1"/>
    <xf numFmtId="0" fontId="33" fillId="0" borderId="0" xfId="35" applyFont="1" applyAlignment="1">
      <alignment horizontal="center" vertical="center" wrapText="1"/>
    </xf>
    <xf numFmtId="0" fontId="16" fillId="0" borderId="0" xfId="35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49" fillId="0" borderId="0" xfId="35" applyFont="1" applyAlignment="1">
      <alignment horizontal="center" vertical="center" wrapText="1"/>
    </xf>
    <xf numFmtId="4" fontId="43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22" xfId="38" applyNumberFormat="1" applyFont="1" applyFill="1" applyBorder="1" applyAlignment="1">
      <alignment horizontal="center" vertical="center" wrapText="1"/>
    </xf>
    <xf numFmtId="49" fontId="43" fillId="0" borderId="23" xfId="0" applyNumberFormat="1" applyFont="1" applyFill="1" applyBorder="1" applyAlignment="1">
      <alignment horizontal="center" vertical="center" wrapText="1"/>
    </xf>
    <xf numFmtId="49" fontId="43" fillId="0" borderId="24" xfId="0" applyNumberFormat="1" applyFont="1" applyFill="1" applyBorder="1" applyAlignment="1">
      <alignment horizontal="center" vertical="center" wrapText="1"/>
    </xf>
    <xf numFmtId="49" fontId="43" fillId="0" borderId="22" xfId="0" applyNumberFormat="1" applyFont="1" applyBorder="1" applyAlignment="1">
      <alignment horizontal="center" vertical="center" wrapText="1"/>
    </xf>
    <xf numFmtId="4" fontId="43" fillId="0" borderId="22" xfId="0" applyNumberFormat="1" applyFont="1" applyBorder="1" applyAlignment="1">
      <alignment horizontal="center" vertical="center" wrapText="1"/>
    </xf>
    <xf numFmtId="0" fontId="94" fillId="0" borderId="0" xfId="0" applyFont="1" applyAlignment="1">
      <alignment horizontal="left" vertical="center"/>
    </xf>
    <xf numFmtId="0" fontId="96" fillId="0" borderId="0" xfId="0" applyFont="1" applyAlignment="1">
      <alignment horizontal="left" vertical="center"/>
    </xf>
    <xf numFmtId="0" fontId="0" fillId="0" borderId="0" xfId="0"/>
    <xf numFmtId="4" fontId="45" fillId="0" borderId="22" xfId="0" applyNumberFormat="1" applyFont="1" applyFill="1" applyBorder="1" applyAlignment="1">
      <alignment horizontal="center" vertical="center" wrapText="1"/>
    </xf>
    <xf numFmtId="4" fontId="46" fillId="0" borderId="22" xfId="0" applyNumberFormat="1" applyFont="1" applyFill="1" applyBorder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 wrapText="1"/>
    </xf>
    <xf numFmtId="4" fontId="43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Border="1" applyAlignment="1">
      <alignment horizontal="center" vertical="center" wrapText="1"/>
    </xf>
    <xf numFmtId="0" fontId="34" fillId="0" borderId="22" xfId="35" applyFont="1" applyBorder="1" applyAlignment="1">
      <alignment horizontal="center" vertical="center" wrapText="1"/>
    </xf>
    <xf numFmtId="4" fontId="34" fillId="0" borderId="22" xfId="35" applyNumberFormat="1" applyFont="1" applyBorder="1" applyAlignment="1">
      <alignment horizontal="center" vertical="center" wrapText="1"/>
    </xf>
    <xf numFmtId="164" fontId="36" fillId="0" borderId="22" xfId="30" applyNumberFormat="1" applyFont="1" applyBorder="1" applyAlignment="1">
      <alignment horizontal="center" vertical="center"/>
    </xf>
    <xf numFmtId="164" fontId="36" fillId="0" borderId="22" xfId="30" applyNumberFormat="1" applyFont="1" applyBorder="1" applyAlignment="1">
      <alignment horizontal="center" vertical="center" wrapText="1"/>
    </xf>
    <xf numFmtId="0" fontId="33" fillId="0" borderId="22" xfId="100" applyFont="1" applyBorder="1" applyAlignment="1">
      <alignment horizontal="center" vertical="center" wrapText="1"/>
    </xf>
    <xf numFmtId="0" fontId="33" fillId="32" borderId="22" xfId="100" applyFont="1" applyFill="1" applyBorder="1" applyAlignment="1">
      <alignment horizontal="center" vertical="center" wrapText="1"/>
    </xf>
    <xf numFmtId="4" fontId="57" fillId="0" borderId="22" xfId="0" applyNumberFormat="1" applyFont="1" applyBorder="1" applyAlignment="1">
      <alignment horizontal="center" vertical="center" wrapText="1"/>
    </xf>
    <xf numFmtId="0" fontId="57" fillId="0" borderId="22" xfId="0" applyFont="1" applyBorder="1" applyAlignment="1">
      <alignment horizontal="center" vertical="center" wrapText="1"/>
    </xf>
    <xf numFmtId="49" fontId="33" fillId="0" borderId="28" xfId="0" applyNumberFormat="1" applyFont="1" applyBorder="1" applyAlignment="1">
      <alignment horizontal="center" wrapText="1"/>
    </xf>
    <xf numFmtId="49" fontId="33" fillId="0" borderId="0" xfId="0" applyNumberFormat="1" applyFont="1" applyAlignment="1">
      <alignment horizontal="center" vertical="center" wrapText="1"/>
    </xf>
    <xf numFmtId="49" fontId="33" fillId="0" borderId="0" xfId="0" applyNumberFormat="1" applyFont="1" applyAlignment="1">
      <alignment horizontal="center" vertical="top" wrapText="1"/>
    </xf>
    <xf numFmtId="49" fontId="33" fillId="0" borderId="23" xfId="0" applyNumberFormat="1" applyFont="1" applyBorder="1" applyAlignment="1">
      <alignment horizontal="center" vertical="center" wrapText="1"/>
    </xf>
    <xf numFmtId="49" fontId="33" fillId="0" borderId="24" xfId="0" applyNumberFormat="1" applyFont="1" applyBorder="1" applyAlignment="1">
      <alignment horizontal="center" vertical="center" wrapText="1"/>
    </xf>
    <xf numFmtId="164" fontId="33" fillId="0" borderId="22" xfId="0" applyNumberFormat="1" applyFont="1" applyBorder="1" applyAlignment="1">
      <alignment horizontal="center" vertical="center" wrapText="1"/>
    </xf>
    <xf numFmtId="49" fontId="34" fillId="0" borderId="22" xfId="0" applyNumberFormat="1" applyFont="1" applyBorder="1" applyAlignment="1">
      <alignment horizontal="center" vertical="center" wrapText="1"/>
    </xf>
    <xf numFmtId="0" fontId="52" fillId="0" borderId="22" xfId="100" applyFont="1" applyBorder="1" applyAlignment="1">
      <alignment horizontal="center" vertical="center" wrapText="1"/>
    </xf>
    <xf numFmtId="164" fontId="114" fillId="0" borderId="22" xfId="101" applyNumberFormat="1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49" fontId="43" fillId="25" borderId="22" xfId="0" applyNumberFormat="1" applyFont="1" applyFill="1" applyBorder="1" applyAlignment="1">
      <alignment horizontal="center" vertical="center" wrapText="1"/>
    </xf>
    <xf numFmtId="4" fontId="45" fillId="25" borderId="22" xfId="0" applyNumberFormat="1" applyFont="1" applyFill="1" applyBorder="1" applyAlignment="1">
      <alignment horizontal="center" vertical="center" wrapText="1"/>
    </xf>
    <xf numFmtId="4" fontId="46" fillId="25" borderId="22" xfId="38" applyNumberFormat="1" applyFont="1" applyFill="1" applyBorder="1" applyAlignment="1" applyProtection="1">
      <alignment horizontal="center" vertical="center" wrapText="1"/>
      <protection locked="0"/>
    </xf>
    <xf numFmtId="4" fontId="46" fillId="25" borderId="22" xfId="0" applyNumberFormat="1" applyFont="1" applyFill="1" applyBorder="1" applyAlignment="1">
      <alignment horizontal="center" vertical="center"/>
    </xf>
    <xf numFmtId="4" fontId="46" fillId="25" borderId="22" xfId="0" applyNumberFormat="1" applyFont="1" applyFill="1" applyBorder="1" applyAlignment="1">
      <alignment horizontal="center" vertical="center" wrapText="1"/>
    </xf>
    <xf numFmtId="4" fontId="0" fillId="25" borderId="22" xfId="0" applyNumberFormat="1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/>
    </xf>
    <xf numFmtId="49" fontId="44" fillId="35" borderId="22" xfId="0" applyNumberFormat="1" applyFont="1" applyFill="1" applyBorder="1" applyAlignment="1">
      <alignment horizontal="center" vertical="center" wrapText="1"/>
    </xf>
    <xf numFmtId="0" fontId="44" fillId="35" borderId="22" xfId="38" applyFont="1" applyFill="1" applyBorder="1" applyAlignment="1" applyProtection="1">
      <alignment horizontal="center" vertical="center" wrapText="1"/>
      <protection locked="0"/>
    </xf>
    <xf numFmtId="4" fontId="44" fillId="35" borderId="22" xfId="38" applyNumberFormat="1" applyFont="1" applyFill="1" applyBorder="1" applyAlignment="1" applyProtection="1">
      <alignment horizontal="center" vertical="center" wrapText="1"/>
      <protection locked="0"/>
    </xf>
    <xf numFmtId="4" fontId="44" fillId="35" borderId="22" xfId="0" applyNumberFormat="1" applyFont="1" applyFill="1" applyBorder="1" applyAlignment="1">
      <alignment horizontal="center" vertical="center" wrapText="1"/>
    </xf>
    <xf numFmtId="49" fontId="42" fillId="35" borderId="22" xfId="0" applyNumberFormat="1" applyFont="1" applyFill="1" applyBorder="1" applyAlignment="1">
      <alignment horizontal="center" vertical="center" wrapText="1"/>
    </xf>
    <xf numFmtId="0" fontId="42" fillId="35" borderId="22" xfId="38" applyFont="1" applyFill="1" applyBorder="1" applyAlignment="1" applyProtection="1">
      <alignment horizontal="center" vertical="center" wrapText="1"/>
      <protection locked="0"/>
    </xf>
    <xf numFmtId="4" fontId="42" fillId="35" borderId="22" xfId="38" applyNumberFormat="1" applyFont="1" applyFill="1" applyBorder="1" applyAlignment="1" applyProtection="1">
      <alignment horizontal="center" vertical="center" wrapText="1"/>
      <protection locked="0"/>
    </xf>
    <xf numFmtId="4" fontId="42" fillId="35" borderId="22" xfId="0" applyNumberFormat="1" applyFont="1" applyFill="1" applyBorder="1" applyAlignment="1">
      <alignment horizontal="center" vertical="center" wrapText="1"/>
    </xf>
    <xf numFmtId="4" fontId="45" fillId="25" borderId="22" xfId="38" applyNumberFormat="1" applyFont="1" applyFill="1" applyBorder="1" applyAlignment="1" applyProtection="1">
      <alignment horizontal="center" vertical="center" wrapText="1"/>
      <protection locked="0"/>
    </xf>
    <xf numFmtId="49" fontId="43" fillId="25" borderId="22" xfId="0" applyNumberFormat="1" applyFont="1" applyFill="1" applyBorder="1" applyAlignment="1">
      <alignment horizontal="center" vertical="center"/>
    </xf>
    <xf numFmtId="4" fontId="45" fillId="0" borderId="23" xfId="0" applyNumberFormat="1" applyFont="1" applyFill="1" applyBorder="1" applyAlignment="1">
      <alignment horizontal="center" vertical="center" wrapText="1"/>
    </xf>
    <xf numFmtId="49" fontId="43" fillId="0" borderId="28" xfId="0" applyNumberFormat="1" applyFont="1" applyFill="1" applyBorder="1" applyAlignment="1">
      <alignment horizontal="center" wrapText="1"/>
    </xf>
    <xf numFmtId="49" fontId="43" fillId="0" borderId="0" xfId="0" applyNumberFormat="1" applyFont="1" applyFill="1" applyAlignment="1">
      <alignment horizontal="center" vertical="center" wrapText="1"/>
    </xf>
    <xf numFmtId="49" fontId="43" fillId="0" borderId="0" xfId="0" applyNumberFormat="1" applyFont="1" applyFill="1" applyAlignment="1">
      <alignment horizontal="center" vertical="top" wrapText="1"/>
    </xf>
    <xf numFmtId="0" fontId="0" fillId="0" borderId="0" xfId="0"/>
    <xf numFmtId="4" fontId="43" fillId="0" borderId="22" xfId="0" applyNumberFormat="1" applyFont="1" applyFill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 wrapText="1"/>
    </xf>
    <xf numFmtId="49" fontId="43" fillId="0" borderId="22" xfId="0" applyNumberFormat="1" applyFont="1" applyFill="1" applyBorder="1" applyAlignment="1">
      <alignment horizontal="center" vertical="center" wrapText="1"/>
    </xf>
    <xf numFmtId="4" fontId="0" fillId="0" borderId="22" xfId="0" applyNumberFormat="1" applyFill="1" applyBorder="1" applyAlignment="1">
      <alignment horizontal="center" vertical="center" wrapText="1"/>
    </xf>
    <xf numFmtId="49" fontId="43" fillId="0" borderId="23" xfId="0" applyNumberFormat="1" applyFont="1" applyFill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top" wrapText="1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4" fontId="43" fillId="0" borderId="22" xfId="38" applyNumberFormat="1" applyFont="1" applyFill="1" applyBorder="1" applyAlignment="1">
      <alignment horizontal="center" vertical="center" wrapText="1"/>
    </xf>
    <xf numFmtId="4" fontId="43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Border="1" applyAlignment="1">
      <alignment horizontal="center" vertical="center" wrapText="1"/>
    </xf>
    <xf numFmtId="4" fontId="43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14" fillId="36" borderId="0" xfId="35" applyNumberFormat="1" applyFont="1" applyFill="1" applyAlignment="1">
      <alignment horizontal="center" vertical="center"/>
    </xf>
    <xf numFmtId="4" fontId="14" fillId="0" borderId="0" xfId="35" applyNumberFormat="1" applyFont="1" applyAlignment="1">
      <alignment horizontal="center" vertical="center"/>
    </xf>
    <xf numFmtId="4" fontId="33" fillId="0" borderId="30" xfId="30" applyNumberFormat="1" applyFont="1" applyBorder="1" applyAlignment="1">
      <alignment horizontal="center" vertical="center"/>
    </xf>
    <xf numFmtId="4" fontId="14" fillId="25" borderId="7" xfId="35" applyNumberFormat="1" applyFont="1" applyFill="1" applyBorder="1" applyAlignment="1">
      <alignment horizontal="center" vertical="center"/>
    </xf>
    <xf numFmtId="4" fontId="33" fillId="0" borderId="30" xfId="0" applyNumberFormat="1" applyFont="1" applyBorder="1" applyAlignment="1">
      <alignment horizontal="center" vertical="center" wrapText="1"/>
    </xf>
    <xf numFmtId="4" fontId="52" fillId="0" borderId="31" xfId="30" applyNumberFormat="1" applyFont="1" applyBorder="1" applyAlignment="1">
      <alignment horizontal="center" vertical="center"/>
    </xf>
    <xf numFmtId="4" fontId="14" fillId="37" borderId="7" xfId="35" applyNumberFormat="1" applyFont="1" applyFill="1" applyBorder="1" applyAlignment="1">
      <alignment horizontal="center" vertical="center"/>
    </xf>
    <xf numFmtId="4" fontId="52" fillId="0" borderId="22" xfId="30" applyNumberFormat="1" applyFont="1" applyFill="1" applyBorder="1" applyAlignment="1">
      <alignment horizontal="center" vertical="center"/>
    </xf>
    <xf numFmtId="0" fontId="52" fillId="0" borderId="22" xfId="0" applyFont="1" applyFill="1" applyBorder="1" applyAlignment="1">
      <alignment horizontal="center" vertical="center" wrapText="1"/>
    </xf>
    <xf numFmtId="49" fontId="44" fillId="38" borderId="22" xfId="0" applyNumberFormat="1" applyFont="1" applyFill="1" applyBorder="1" applyAlignment="1">
      <alignment horizontal="center" vertical="center" wrapText="1"/>
    </xf>
    <xf numFmtId="0" fontId="44" fillId="38" borderId="22" xfId="38" applyFont="1" applyFill="1" applyBorder="1" applyAlignment="1" applyProtection="1">
      <alignment horizontal="center" vertical="center" wrapText="1"/>
      <protection locked="0"/>
    </xf>
    <xf numFmtId="4" fontId="44" fillId="38" borderId="22" xfId="38" applyNumberFormat="1" applyFont="1" applyFill="1" applyBorder="1" applyAlignment="1" applyProtection="1">
      <alignment horizontal="center" vertical="center" wrapText="1"/>
      <protection locked="0"/>
    </xf>
    <xf numFmtId="4" fontId="44" fillId="38" borderId="22" xfId="0" applyNumberFormat="1" applyFont="1" applyFill="1" applyBorder="1" applyAlignment="1">
      <alignment horizontal="center" vertical="center" wrapText="1"/>
    </xf>
    <xf numFmtId="49" fontId="42" fillId="39" borderId="22" xfId="0" applyNumberFormat="1" applyFont="1" applyFill="1" applyBorder="1" applyAlignment="1">
      <alignment horizontal="center" vertical="center" wrapText="1"/>
    </xf>
    <xf numFmtId="0" fontId="42" fillId="39" borderId="22" xfId="38" applyFont="1" applyFill="1" applyBorder="1" applyAlignment="1" applyProtection="1">
      <alignment horizontal="center" vertical="center" wrapText="1"/>
      <protection locked="0"/>
    </xf>
    <xf numFmtId="4" fontId="42" fillId="39" borderId="22" xfId="38" applyNumberFormat="1" applyFont="1" applyFill="1" applyBorder="1" applyAlignment="1" applyProtection="1">
      <alignment horizontal="center" vertical="center" wrapText="1"/>
      <protection locked="0"/>
    </xf>
    <xf numFmtId="4" fontId="42" fillId="39" borderId="22" xfId="0" applyNumberFormat="1" applyFont="1" applyFill="1" applyBorder="1" applyAlignment="1">
      <alignment horizontal="center" vertical="center" wrapText="1"/>
    </xf>
    <xf numFmtId="49" fontId="51" fillId="38" borderId="22" xfId="0" applyNumberFormat="1" applyFont="1" applyFill="1" applyBorder="1" applyAlignment="1">
      <alignment horizontal="center" vertical="center" wrapText="1"/>
    </xf>
    <xf numFmtId="0" fontId="51" fillId="38" borderId="22" xfId="38" applyFont="1" applyFill="1" applyBorder="1" applyAlignment="1" applyProtection="1">
      <alignment horizontal="center" vertical="center" wrapText="1"/>
      <protection locked="0"/>
    </xf>
    <xf numFmtId="4" fontId="51" fillId="38" borderId="22" xfId="0" applyNumberFormat="1" applyFont="1" applyFill="1" applyBorder="1" applyAlignment="1">
      <alignment horizontal="center" vertical="center" wrapText="1"/>
    </xf>
    <xf numFmtId="49" fontId="34" fillId="39" borderId="22" xfId="0" applyNumberFormat="1" applyFont="1" applyFill="1" applyBorder="1" applyAlignment="1">
      <alignment horizontal="center" vertical="center" wrapText="1"/>
    </xf>
    <xf numFmtId="0" fontId="34" fillId="39" borderId="22" xfId="38" applyFont="1" applyFill="1" applyBorder="1" applyAlignment="1" applyProtection="1">
      <alignment horizontal="center" vertical="center" wrapText="1"/>
      <protection locked="0"/>
    </xf>
    <xf numFmtId="4" fontId="34" fillId="39" borderId="22" xfId="0" applyNumberFormat="1" applyFont="1" applyFill="1" applyBorder="1" applyAlignment="1">
      <alignment horizontal="center" vertical="center" wrapText="1"/>
    </xf>
    <xf numFmtId="49" fontId="33" fillId="0" borderId="22" xfId="0" applyNumberFormat="1" applyFont="1" applyFill="1" applyBorder="1" applyAlignment="1">
      <alignment horizontal="center" vertical="center" wrapText="1"/>
    </xf>
    <xf numFmtId="0" fontId="33" fillId="0" borderId="22" xfId="18" applyFont="1" applyFill="1" applyBorder="1" applyAlignment="1">
      <alignment horizontal="center" vertical="center" wrapText="1"/>
    </xf>
    <xf numFmtId="164" fontId="33" fillId="0" borderId="22" xfId="30" applyNumberFormat="1" applyFont="1" applyFill="1" applyBorder="1" applyAlignment="1">
      <alignment horizontal="center" vertical="center"/>
    </xf>
    <xf numFmtId="4" fontId="36" fillId="0" borderId="22" xfId="30" applyNumberFormat="1" applyFont="1" applyFill="1" applyBorder="1" applyAlignment="1">
      <alignment horizontal="center" vertical="center"/>
    </xf>
    <xf numFmtId="9" fontId="33" fillId="0" borderId="22" xfId="0" applyNumberFormat="1" applyFont="1" applyFill="1" applyBorder="1" applyAlignment="1">
      <alignment horizontal="center" vertical="center" wrapText="1"/>
    </xf>
    <xf numFmtId="4" fontId="33" fillId="0" borderId="22" xfId="0" applyNumberFormat="1" applyFont="1" applyFill="1" applyBorder="1" applyAlignment="1">
      <alignment horizontal="center" vertical="center" wrapText="1"/>
    </xf>
    <xf numFmtId="4" fontId="51" fillId="38" borderId="22" xfId="38" applyNumberFormat="1" applyFont="1" applyFill="1" applyBorder="1" applyAlignment="1" applyProtection="1">
      <alignment horizontal="center" vertical="center" wrapText="1"/>
      <protection locked="0"/>
    </xf>
    <xf numFmtId="4" fontId="34" fillId="39" borderId="22" xfId="38" applyNumberFormat="1" applyFont="1" applyFill="1" applyBorder="1" applyAlignment="1" applyProtection="1">
      <alignment horizontal="center" vertical="center" wrapText="1"/>
      <protection locked="0"/>
    </xf>
    <xf numFmtId="164" fontId="36" fillId="0" borderId="22" xfId="30" applyNumberFormat="1" applyFont="1" applyFill="1" applyBorder="1" applyAlignment="1">
      <alignment horizontal="center" vertical="center"/>
    </xf>
    <xf numFmtId="4" fontId="33" fillId="0" borderId="22" xfId="30" applyNumberFormat="1" applyFont="1" applyFill="1" applyBorder="1" applyAlignment="1">
      <alignment horizontal="center" vertical="center"/>
    </xf>
    <xf numFmtId="0" fontId="0" fillId="0" borderId="0" xfId="0"/>
    <xf numFmtId="49" fontId="43" fillId="0" borderId="22" xfId="0" applyNumberFormat="1" applyFont="1" applyFill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 wrapText="1"/>
    </xf>
    <xf numFmtId="4" fontId="46" fillId="0" borderId="22" xfId="0" applyNumberFormat="1" applyFont="1" applyFill="1" applyBorder="1" applyAlignment="1">
      <alignment horizontal="center" vertical="center"/>
    </xf>
    <xf numFmtId="4" fontId="43" fillId="0" borderId="22" xfId="38" applyNumberFormat="1" applyFont="1" applyFill="1" applyBorder="1" applyAlignment="1" applyProtection="1">
      <alignment horizontal="center" vertical="center" wrapText="1"/>
      <protection locked="0"/>
    </xf>
    <xf numFmtId="0" fontId="110" fillId="0" borderId="22" xfId="0" applyFont="1" applyFill="1" applyBorder="1" applyAlignment="1">
      <alignment horizontal="center" vertical="center" wrapText="1"/>
    </xf>
    <xf numFmtId="4" fontId="133" fillId="0" borderId="0" xfId="0" applyNumberFormat="1" applyFont="1" applyAlignment="1">
      <alignment vertical="center"/>
    </xf>
    <xf numFmtId="0" fontId="0" fillId="0" borderId="0" xfId="0"/>
    <xf numFmtId="4" fontId="45" fillId="0" borderId="22" xfId="0" applyNumberFormat="1" applyFont="1" applyFill="1" applyBorder="1" applyAlignment="1">
      <alignment horizontal="center" vertical="center" wrapText="1"/>
    </xf>
    <xf numFmtId="49" fontId="43" fillId="0" borderId="22" xfId="0" applyNumberFormat="1" applyFont="1" applyFill="1" applyBorder="1" applyAlignment="1">
      <alignment horizontal="center" vertical="center" wrapText="1"/>
    </xf>
    <xf numFmtId="4" fontId="46" fillId="0" borderId="22" xfId="0" applyNumberFormat="1" applyFont="1" applyFill="1" applyBorder="1" applyAlignment="1">
      <alignment horizontal="center" vertical="center"/>
    </xf>
    <xf numFmtId="0" fontId="0" fillId="0" borderId="0" xfId="0"/>
    <xf numFmtId="49" fontId="43" fillId="0" borderId="22" xfId="0" applyNumberFormat="1" applyFont="1" applyFill="1" applyBorder="1" applyAlignment="1">
      <alignment horizontal="center" vertical="center" wrapText="1"/>
    </xf>
    <xf numFmtId="4" fontId="43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22" xfId="0" applyNumberFormat="1" applyFont="1" applyBorder="1" applyAlignment="1">
      <alignment horizontal="center" vertical="center" wrapText="1"/>
    </xf>
    <xf numFmtId="4" fontId="35" fillId="0" borderId="7" xfId="39" applyNumberFormat="1" applyFont="1" applyFill="1" applyBorder="1" applyAlignment="1">
      <alignment vertical="center" wrapText="1"/>
    </xf>
    <xf numFmtId="4" fontId="14" fillId="37" borderId="0" xfId="35" applyNumberFormat="1" applyFont="1" applyFill="1" applyBorder="1" applyAlignment="1">
      <alignment horizontal="center" vertical="center"/>
    </xf>
    <xf numFmtId="0" fontId="43" fillId="0" borderId="0" xfId="0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4" fontId="33" fillId="0" borderId="0" xfId="0" applyNumberFormat="1" applyFont="1" applyAlignment="1">
      <alignment horizontal="center" vertical="center"/>
    </xf>
    <xf numFmtId="0" fontId="0" fillId="0" borderId="0" xfId="0"/>
    <xf numFmtId="0" fontId="42" fillId="0" borderId="22" xfId="0" applyFont="1" applyBorder="1" applyAlignment="1">
      <alignment horizontal="center" vertical="top" wrapText="1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 wrapText="1"/>
    </xf>
    <xf numFmtId="4" fontId="46" fillId="0" borderId="22" xfId="0" applyNumberFormat="1" applyFont="1" applyFill="1" applyBorder="1" applyAlignment="1">
      <alignment horizontal="center" vertical="center"/>
    </xf>
    <xf numFmtId="49" fontId="43" fillId="0" borderId="23" xfId="0" applyNumberFormat="1" applyFont="1" applyFill="1" applyBorder="1" applyAlignment="1">
      <alignment horizontal="center" vertical="center" wrapText="1"/>
    </xf>
    <xf numFmtId="0" fontId="94" fillId="0" borderId="0" xfId="0" applyFont="1" applyAlignment="1">
      <alignment horizontal="left" vertical="center"/>
    </xf>
    <xf numFmtId="0" fontId="96" fillId="0" borderId="0" xfId="0" applyFont="1" applyAlignment="1">
      <alignment horizontal="left" vertical="center"/>
    </xf>
    <xf numFmtId="49" fontId="43" fillId="0" borderId="22" xfId="0" applyNumberFormat="1" applyFont="1" applyBorder="1" applyAlignment="1">
      <alignment horizontal="center" vertical="center" wrapText="1"/>
    </xf>
    <xf numFmtId="49" fontId="43" fillId="0" borderId="23" xfId="0" applyNumberFormat="1" applyFont="1" applyBorder="1" applyAlignment="1">
      <alignment horizontal="center" vertical="center" wrapText="1"/>
    </xf>
    <xf numFmtId="49" fontId="43" fillId="0" borderId="24" xfId="0" applyNumberFormat="1" applyFont="1" applyBorder="1" applyAlignment="1">
      <alignment horizontal="center" vertical="center" wrapText="1"/>
    </xf>
    <xf numFmtId="4" fontId="45" fillId="0" borderId="22" xfId="0" applyNumberFormat="1" applyFont="1" applyBorder="1" applyAlignment="1">
      <alignment horizontal="center" vertical="center" wrapText="1"/>
    </xf>
    <xf numFmtId="4" fontId="46" fillId="0" borderId="22" xfId="0" applyNumberFormat="1" applyFont="1" applyBorder="1" applyAlignment="1">
      <alignment horizontal="center" vertical="center"/>
    </xf>
    <xf numFmtId="4" fontId="46" fillId="0" borderId="22" xfId="0" applyNumberFormat="1" applyFont="1" applyBorder="1" applyAlignment="1">
      <alignment horizontal="center" vertical="center" wrapText="1"/>
    </xf>
    <xf numFmtId="49" fontId="43" fillId="40" borderId="22" xfId="0" applyNumberFormat="1" applyFont="1" applyFill="1" applyBorder="1" applyAlignment="1">
      <alignment horizontal="center" vertical="center" wrapText="1"/>
    </xf>
    <xf numFmtId="4" fontId="45" fillId="40" borderId="22" xfId="0" applyNumberFormat="1" applyFont="1" applyFill="1" applyBorder="1" applyAlignment="1">
      <alignment horizontal="center" vertical="center" wrapText="1"/>
    </xf>
    <xf numFmtId="4" fontId="46" fillId="40" borderId="22" xfId="0" applyNumberFormat="1" applyFont="1" applyFill="1" applyBorder="1" applyAlignment="1">
      <alignment horizontal="center" vertical="center" wrapText="1"/>
    </xf>
    <xf numFmtId="4" fontId="0" fillId="40" borderId="22" xfId="0" applyNumberFormat="1" applyFill="1" applyBorder="1" applyAlignment="1">
      <alignment horizontal="center" vertical="center" wrapText="1"/>
    </xf>
    <xf numFmtId="0" fontId="0" fillId="40" borderId="22" xfId="0" applyFill="1" applyBorder="1" applyAlignment="1">
      <alignment horizontal="center" vertical="center" wrapText="1"/>
    </xf>
    <xf numFmtId="0" fontId="0" fillId="40" borderId="22" xfId="0" applyFill="1" applyBorder="1" applyAlignment="1">
      <alignment horizontal="center" vertical="center"/>
    </xf>
    <xf numFmtId="4" fontId="46" fillId="40" borderId="22" xfId="0" applyNumberFormat="1" applyFont="1" applyFill="1" applyBorder="1" applyAlignment="1">
      <alignment horizontal="center" vertical="center"/>
    </xf>
    <xf numFmtId="4" fontId="45" fillId="0" borderId="23" xfId="0" applyNumberFormat="1" applyFont="1" applyBorder="1" applyAlignment="1">
      <alignment horizontal="center" vertical="center" wrapText="1"/>
    </xf>
    <xf numFmtId="49" fontId="43" fillId="0" borderId="28" xfId="0" applyNumberFormat="1" applyFont="1" applyBorder="1" applyAlignment="1">
      <alignment horizontal="center" wrapText="1"/>
    </xf>
    <xf numFmtId="49" fontId="43" fillId="0" borderId="0" xfId="0" applyNumberFormat="1" applyFont="1" applyAlignment="1">
      <alignment horizontal="center" vertical="top" wrapText="1"/>
    </xf>
    <xf numFmtId="0" fontId="15" fillId="0" borderId="7" xfId="39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61" fillId="0" borderId="0" xfId="39" applyFont="1" applyAlignment="1">
      <alignment horizontal="center" vertical="center"/>
    </xf>
    <xf numFmtId="0" fontId="18" fillId="0" borderId="17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wrapText="1"/>
    </xf>
    <xf numFmtId="0" fontId="71" fillId="0" borderId="0" xfId="0" applyFont="1" applyAlignment="1">
      <alignment horizontal="center"/>
    </xf>
    <xf numFmtId="0" fontId="63" fillId="0" borderId="7" xfId="0" applyFont="1" applyBorder="1" applyAlignment="1">
      <alignment horizontal="center" vertical="center" wrapText="1"/>
    </xf>
    <xf numFmtId="0" fontId="63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top"/>
    </xf>
    <xf numFmtId="0" fontId="119" fillId="0" borderId="0" xfId="0" applyFont="1" applyBorder="1" applyAlignment="1">
      <alignment horizontal="center" vertical="top"/>
    </xf>
    <xf numFmtId="0" fontId="120" fillId="0" borderId="0" xfId="0" applyFont="1" applyBorder="1" applyAlignment="1">
      <alignment horizontal="center"/>
    </xf>
    <xf numFmtId="0" fontId="121" fillId="0" borderId="0" xfId="0" applyFont="1" applyBorder="1" applyAlignment="1">
      <alignment horizontal="center"/>
    </xf>
    <xf numFmtId="0" fontId="43" fillId="0" borderId="0" xfId="0" applyFont="1"/>
    <xf numFmtId="0" fontId="110" fillId="0" borderId="0" xfId="0" applyFont="1" applyAlignment="1">
      <alignment horizontal="center" vertical="top"/>
    </xf>
    <xf numFmtId="0" fontId="48" fillId="0" borderId="0" xfId="0" applyFont="1" applyAlignment="1">
      <alignment horizontal="center" vertical="top"/>
    </xf>
    <xf numFmtId="0" fontId="42" fillId="0" borderId="22" xfId="0" applyFont="1" applyBorder="1" applyAlignment="1">
      <alignment horizontal="center" vertical="top" wrapText="1"/>
    </xf>
    <xf numFmtId="0" fontId="42" fillId="0" borderId="22" xfId="0" applyFont="1" applyBorder="1" applyAlignment="1">
      <alignment horizontal="center" vertical="top"/>
    </xf>
    <xf numFmtId="0" fontId="13" fillId="0" borderId="22" xfId="0" applyFont="1" applyBorder="1" applyAlignment="1">
      <alignment horizontal="center" vertical="top"/>
    </xf>
    <xf numFmtId="0" fontId="4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122" fillId="0" borderId="0" xfId="0" applyFont="1" applyAlignment="1">
      <alignment horizontal="center"/>
    </xf>
    <xf numFmtId="0" fontId="123" fillId="0" borderId="0" xfId="0" applyFont="1" applyAlignment="1">
      <alignment horizontal="center"/>
    </xf>
    <xf numFmtId="0" fontId="0" fillId="0" borderId="22" xfId="0" applyBorder="1" applyAlignment="1">
      <alignment horizontal="center" vertical="top"/>
    </xf>
    <xf numFmtId="49" fontId="43" fillId="0" borderId="22" xfId="0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 wrapText="1"/>
    </xf>
    <xf numFmtId="4" fontId="43" fillId="0" borderId="23" xfId="0" applyNumberFormat="1" applyFont="1" applyFill="1" applyBorder="1" applyAlignment="1">
      <alignment horizontal="center" vertical="center" wrapText="1"/>
    </xf>
    <xf numFmtId="4" fontId="43" fillId="0" borderId="24" xfId="0" applyNumberFormat="1" applyFont="1" applyFill="1" applyBorder="1" applyAlignment="1">
      <alignment horizontal="center" vertical="center" wrapText="1"/>
    </xf>
    <xf numFmtId="4" fontId="43" fillId="0" borderId="22" xfId="0" applyNumberFormat="1" applyFont="1" applyFill="1" applyBorder="1" applyAlignment="1">
      <alignment horizontal="center" vertical="center" wrapText="1"/>
    </xf>
    <xf numFmtId="4" fontId="0" fillId="0" borderId="22" xfId="0" applyNumberFormat="1" applyFill="1" applyBorder="1" applyAlignment="1">
      <alignment horizontal="center" vertical="center" wrapText="1"/>
    </xf>
    <xf numFmtId="4" fontId="46" fillId="0" borderId="22" xfId="0" applyNumberFormat="1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4" fontId="42" fillId="0" borderId="22" xfId="0" applyNumberFormat="1" applyFont="1" applyFill="1" applyBorder="1" applyAlignment="1">
      <alignment horizontal="center" vertical="center" wrapText="1"/>
    </xf>
    <xf numFmtId="4" fontId="13" fillId="0" borderId="22" xfId="0" applyNumberFormat="1" applyFont="1" applyFill="1" applyBorder="1" applyAlignment="1">
      <alignment horizontal="center" vertical="center" wrapText="1"/>
    </xf>
    <xf numFmtId="4" fontId="45" fillId="0" borderId="23" xfId="0" applyNumberFormat="1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4" fontId="46" fillId="0" borderId="23" xfId="0" applyNumberFormat="1" applyFont="1" applyFill="1" applyBorder="1" applyAlignment="1">
      <alignment horizontal="center" vertical="center" wrapText="1"/>
    </xf>
    <xf numFmtId="49" fontId="43" fillId="0" borderId="23" xfId="0" applyNumberFormat="1" applyFont="1" applyFill="1" applyBorder="1" applyAlignment="1">
      <alignment horizontal="center" vertical="center" wrapText="1"/>
    </xf>
    <xf numFmtId="4" fontId="46" fillId="0" borderId="27" xfId="0" applyNumberFormat="1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94" fillId="0" borderId="0" xfId="0" applyFont="1" applyAlignment="1">
      <alignment horizontal="left" vertical="center"/>
    </xf>
    <xf numFmtId="0" fontId="96" fillId="0" borderId="0" xfId="0" applyFont="1" applyAlignment="1">
      <alignment horizontal="left" vertical="center"/>
    </xf>
    <xf numFmtId="0" fontId="107" fillId="0" borderId="22" xfId="35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33" fillId="0" borderId="0" xfId="0" applyFont="1"/>
    <xf numFmtId="0" fontId="33" fillId="0" borderId="0" xfId="35" applyFont="1" applyAlignment="1">
      <alignment horizontal="center" vertical="center" wrapText="1"/>
    </xf>
    <xf numFmtId="0" fontId="16" fillId="0" borderId="0" xfId="35" applyFont="1" applyAlignment="1">
      <alignment horizontal="center" vertical="center" wrapText="1"/>
    </xf>
    <xf numFmtId="0" fontId="18" fillId="0" borderId="22" xfId="35" applyFont="1" applyBorder="1" applyAlignment="1">
      <alignment horizontal="center" vertical="top" wrapText="1"/>
    </xf>
    <xf numFmtId="0" fontId="124" fillId="0" borderId="0" xfId="0" applyFont="1" applyBorder="1" applyAlignment="1">
      <alignment horizontal="center" vertical="center"/>
    </xf>
    <xf numFmtId="0" fontId="125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24" fillId="0" borderId="0" xfId="0" applyFont="1" applyBorder="1" applyAlignment="1">
      <alignment horizontal="center"/>
    </xf>
    <xf numFmtId="0" fontId="125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73" fillId="0" borderId="0" xfId="35" applyFont="1"/>
    <xf numFmtId="0" fontId="18" fillId="0" borderId="22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/>
    </xf>
    <xf numFmtId="0" fontId="14" fillId="0" borderId="0" xfId="35" applyFont="1" applyAlignment="1">
      <alignment horizontal="center" vertical="center"/>
    </xf>
    <xf numFmtId="0" fontId="49" fillId="0" borderId="0" xfId="35" applyFont="1" applyAlignment="1">
      <alignment horizontal="center" vertical="center" wrapText="1"/>
    </xf>
    <xf numFmtId="0" fontId="124" fillId="0" borderId="0" xfId="0" applyFont="1" applyAlignment="1">
      <alignment horizontal="center"/>
    </xf>
    <xf numFmtId="0" fontId="125" fillId="0" borderId="0" xfId="0" applyFont="1" applyAlignment="1">
      <alignment horizontal="center"/>
    </xf>
    <xf numFmtId="0" fontId="4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4" fontId="36" fillId="0" borderId="23" xfId="3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" fontId="36" fillId="0" borderId="23" xfId="30" applyNumberFormat="1" applyFon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49" fontId="33" fillId="0" borderId="23" xfId="0" applyNumberFormat="1" applyFont="1" applyBorder="1" applyAlignment="1">
      <alignment horizontal="center" vertical="center" wrapText="1"/>
    </xf>
    <xf numFmtId="0" fontId="57" fillId="0" borderId="25" xfId="0" applyFont="1" applyBorder="1" applyAlignment="1">
      <alignment horizontal="center" vertical="center" wrapText="1"/>
    </xf>
    <xf numFmtId="0" fontId="57" fillId="0" borderId="24" xfId="0" applyFont="1" applyBorder="1" applyAlignment="1">
      <alignment horizontal="center" vertical="center" wrapText="1"/>
    </xf>
    <xf numFmtId="4" fontId="33" fillId="0" borderId="23" xfId="0" applyNumberFormat="1" applyFont="1" applyBorder="1" applyAlignment="1">
      <alignment horizontal="center" vertical="center" wrapText="1"/>
    </xf>
    <xf numFmtId="4" fontId="33" fillId="0" borderId="27" xfId="0" applyNumberFormat="1" applyFont="1" applyBorder="1" applyAlignment="1">
      <alignment horizontal="center" vertical="center" wrapText="1"/>
    </xf>
    <xf numFmtId="0" fontId="57" fillId="0" borderId="29" xfId="0" applyFont="1" applyBorder="1" applyAlignment="1">
      <alignment horizontal="center" vertical="center" wrapText="1"/>
    </xf>
    <xf numFmtId="0" fontId="57" fillId="0" borderId="26" xfId="0" applyFont="1" applyBorder="1" applyAlignment="1">
      <alignment horizontal="center" vertical="center" wrapText="1"/>
    </xf>
    <xf numFmtId="0" fontId="9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76" fillId="0" borderId="0" xfId="0" applyFont="1" applyAlignment="1">
      <alignment horizontal="center" vertical="center"/>
    </xf>
    <xf numFmtId="2" fontId="77" fillId="0" borderId="22" xfId="36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/>
    </xf>
    <xf numFmtId="2" fontId="15" fillId="0" borderId="22" xfId="36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2" fontId="75" fillId="0" borderId="22" xfId="36" applyNumberFormat="1" applyFont="1" applyBorder="1" applyAlignment="1">
      <alignment horizontal="center" vertical="center"/>
    </xf>
    <xf numFmtId="2" fontId="75" fillId="30" borderId="22" xfId="36" applyNumberFormat="1" applyFont="1" applyFill="1" applyBorder="1" applyAlignment="1">
      <alignment horizontal="left" vertical="center" wrapText="1"/>
    </xf>
    <xf numFmtId="0" fontId="0" fillId="30" borderId="22" xfId="0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75" fillId="0" borderId="0" xfId="36" applyFont="1" applyAlignment="1">
      <alignment horizontal="center"/>
    </xf>
    <xf numFmtId="0" fontId="7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5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75" fillId="0" borderId="0" xfId="0" applyFont="1" applyAlignment="1">
      <alignment horizontal="center" vertical="center"/>
    </xf>
    <xf numFmtId="0" fontId="70" fillId="0" borderId="0" xfId="36">
      <alignment vertical="top"/>
    </xf>
    <xf numFmtId="0" fontId="14" fillId="0" borderId="0" xfId="36" applyFont="1" applyAlignment="1">
      <alignment horizontal="center" vertical="center" wrapText="1"/>
    </xf>
    <xf numFmtId="0" fontId="17" fillId="0" borderId="0" xfId="36" applyFont="1" applyAlignment="1">
      <alignment horizontal="left" vertical="top" wrapText="1"/>
    </xf>
    <xf numFmtId="2" fontId="75" fillId="0" borderId="22" xfId="36" applyNumberFormat="1" applyFont="1" applyFill="1" applyBorder="1" applyAlignment="1">
      <alignment horizontal="center" vertical="center" wrapText="1"/>
    </xf>
    <xf numFmtId="2" fontId="77" fillId="0" borderId="26" xfId="36" applyNumberFormat="1" applyFont="1" applyFill="1" applyBorder="1" applyAlignment="1">
      <alignment horizontal="center" vertical="top" wrapText="1"/>
    </xf>
    <xf numFmtId="0" fontId="0" fillId="0" borderId="24" xfId="0" applyFill="1" applyBorder="1" applyAlignment="1">
      <alignment horizontal="center" vertical="top"/>
    </xf>
    <xf numFmtId="2" fontId="77" fillId="0" borderId="0" xfId="36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2" fontId="14" fillId="0" borderId="22" xfId="36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" fontId="14" fillId="0" borderId="22" xfId="36" applyNumberFormat="1" applyFont="1" applyFill="1" applyBorder="1" applyAlignment="1">
      <alignment horizontal="center" vertical="center" wrapText="1"/>
    </xf>
    <xf numFmtId="0" fontId="75" fillId="0" borderId="0" xfId="36" applyFont="1" applyAlignment="1">
      <alignment horizontal="center" vertical="center"/>
    </xf>
    <xf numFmtId="0" fontId="98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36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center"/>
    </xf>
    <xf numFmtId="49" fontId="43" fillId="0" borderId="22" xfId="0" applyNumberFormat="1" applyFont="1" applyBorder="1" applyAlignment="1">
      <alignment horizontal="center" vertical="center" wrapText="1"/>
    </xf>
    <xf numFmtId="164" fontId="110" fillId="0" borderId="23" xfId="3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4" fontId="43" fillId="0" borderId="23" xfId="0" applyNumberFormat="1" applyFont="1" applyBorder="1" applyAlignment="1">
      <alignment horizontal="center" vertical="center" wrapText="1"/>
    </xf>
    <xf numFmtId="4" fontId="43" fillId="0" borderId="24" xfId="0" applyNumberFormat="1" applyFont="1" applyBorder="1" applyAlignment="1">
      <alignment horizontal="center" vertical="center" wrapText="1"/>
    </xf>
    <xf numFmtId="4" fontId="43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22" xfId="38" applyNumberFormat="1" applyFont="1" applyFill="1" applyBorder="1" applyAlignment="1">
      <alignment horizontal="center" vertical="center" wrapText="1"/>
    </xf>
    <xf numFmtId="4" fontId="43" fillId="0" borderId="22" xfId="0" applyNumberFormat="1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49" fontId="43" fillId="0" borderId="23" xfId="0" applyNumberFormat="1" applyFont="1" applyBorder="1" applyAlignment="1">
      <alignment horizontal="center" vertical="center" wrapText="1"/>
    </xf>
    <xf numFmtId="4" fontId="0" fillId="0" borderId="24" xfId="0" applyNumberFormat="1" applyBorder="1" applyAlignment="1">
      <alignment horizontal="center" vertical="center" wrapText="1"/>
    </xf>
    <xf numFmtId="49" fontId="43" fillId="0" borderId="25" xfId="0" applyNumberFormat="1" applyFont="1" applyBorder="1" applyAlignment="1">
      <alignment horizontal="center" vertical="center" wrapText="1"/>
    </xf>
    <xf numFmtId="49" fontId="43" fillId="0" borderId="24" xfId="0" applyNumberFormat="1" applyFont="1" applyBorder="1" applyAlignment="1">
      <alignment horizontal="center" vertical="center" wrapText="1"/>
    </xf>
    <xf numFmtId="4" fontId="43" fillId="0" borderId="23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24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vertical="center" wrapText="1"/>
    </xf>
    <xf numFmtId="4" fontId="45" fillId="0" borderId="22" xfId="0" applyNumberFormat="1" applyFont="1" applyBorder="1" applyAlignment="1">
      <alignment horizontal="center" vertical="center" wrapText="1"/>
    </xf>
    <xf numFmtId="4" fontId="45" fillId="0" borderId="23" xfId="0" applyNumberFormat="1" applyFont="1" applyBorder="1" applyAlignment="1">
      <alignment horizontal="center" vertical="center" wrapText="1"/>
    </xf>
    <xf numFmtId="4" fontId="46" fillId="0" borderId="23" xfId="0" applyNumberFormat="1" applyFont="1" applyBorder="1" applyAlignment="1">
      <alignment horizontal="center" vertical="center" wrapText="1"/>
    </xf>
    <xf numFmtId="4" fontId="46" fillId="0" borderId="22" xfId="0" applyNumberFormat="1" applyFont="1" applyBorder="1" applyAlignment="1">
      <alignment horizontal="center" vertical="center"/>
    </xf>
    <xf numFmtId="4" fontId="42" fillId="0" borderId="22" xfId="0" applyNumberFormat="1" applyFont="1" applyBorder="1" applyAlignment="1">
      <alignment horizontal="center" vertical="center" wrapText="1"/>
    </xf>
    <xf numFmtId="4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4" fontId="13" fillId="0" borderId="22" xfId="0" applyNumberFormat="1" applyFont="1" applyBorder="1" applyAlignment="1">
      <alignment horizontal="center" vertical="center" wrapText="1"/>
    </xf>
    <xf numFmtId="4" fontId="46" fillId="0" borderId="27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</cellXfs>
  <cellStyles count="102">
    <cellStyle name="20% - Акцент1" xfId="46" xr:uid="{00000000-0005-0000-0000-000000000000}"/>
    <cellStyle name="20% - Акцент2" xfId="47" xr:uid="{00000000-0005-0000-0000-000001000000}"/>
    <cellStyle name="20% - Акцент3" xfId="48" xr:uid="{00000000-0005-0000-0000-000002000000}"/>
    <cellStyle name="20% - Акцент4" xfId="49" xr:uid="{00000000-0005-0000-0000-000003000000}"/>
    <cellStyle name="20% - Акцент5" xfId="50" xr:uid="{00000000-0005-0000-0000-000004000000}"/>
    <cellStyle name="20% - Акцент6" xfId="51" xr:uid="{00000000-0005-0000-0000-000005000000}"/>
    <cellStyle name="40% - Акцент1" xfId="52" xr:uid="{00000000-0005-0000-0000-000006000000}"/>
    <cellStyle name="40% - Акцент2" xfId="53" xr:uid="{00000000-0005-0000-0000-000007000000}"/>
    <cellStyle name="40% - Акцент3" xfId="54" xr:uid="{00000000-0005-0000-0000-000008000000}"/>
    <cellStyle name="40% - Акцент4" xfId="55" xr:uid="{00000000-0005-0000-0000-000009000000}"/>
    <cellStyle name="40% - Акцент5" xfId="56" xr:uid="{00000000-0005-0000-0000-00000A000000}"/>
    <cellStyle name="40% - Акцент6" xfId="57" xr:uid="{00000000-0005-0000-0000-00000B000000}"/>
    <cellStyle name="60% - Акцент1" xfId="58" xr:uid="{00000000-0005-0000-0000-00000C000000}"/>
    <cellStyle name="60% - Акцент2" xfId="59" xr:uid="{00000000-0005-0000-0000-00000D000000}"/>
    <cellStyle name="60% - Акцент3" xfId="60" xr:uid="{00000000-0005-0000-0000-00000E000000}"/>
    <cellStyle name="60% - Акцент4" xfId="61" xr:uid="{00000000-0005-0000-0000-00000F000000}"/>
    <cellStyle name="60% - Акцент5" xfId="62" xr:uid="{00000000-0005-0000-0000-000010000000}"/>
    <cellStyle name="60% - Акцент6" xfId="63" xr:uid="{00000000-0005-0000-0000-000011000000}"/>
    <cellStyle name="Excel Built-in Обычный_УКБ до бюджету 2016р ост" xfId="84" xr:uid="{00000000-0005-0000-0000-000012000000}"/>
    <cellStyle name="Normal_meresha_07" xfId="1" xr:uid="{00000000-0005-0000-0000-000013000000}"/>
    <cellStyle name="Акцент1" xfId="64" xr:uid="{00000000-0005-0000-0000-000014000000}"/>
    <cellStyle name="Акцент2" xfId="65" xr:uid="{00000000-0005-0000-0000-000015000000}"/>
    <cellStyle name="Акцент3" xfId="66" xr:uid="{00000000-0005-0000-0000-000016000000}"/>
    <cellStyle name="Акцент4" xfId="67" xr:uid="{00000000-0005-0000-0000-000017000000}"/>
    <cellStyle name="Акцент5" xfId="68" xr:uid="{00000000-0005-0000-0000-000018000000}"/>
    <cellStyle name="Акцент6" xfId="69" xr:uid="{00000000-0005-0000-0000-000019000000}"/>
    <cellStyle name="Ввід" xfId="2" xr:uid="{00000000-0005-0000-0000-00001A000000}"/>
    <cellStyle name="Ввод " xfId="70" xr:uid="{00000000-0005-0000-0000-00001B000000}"/>
    <cellStyle name="Вывод" xfId="71" xr:uid="{00000000-0005-0000-0000-00001C000000}"/>
    <cellStyle name="Вычисление" xfId="72" xr:uid="{00000000-0005-0000-0000-00001D000000}"/>
    <cellStyle name="Гіперпосилання 2" xfId="73" xr:uid="{00000000-0005-0000-0000-00001E000000}"/>
    <cellStyle name="Добре" xfId="3" xr:uid="{00000000-0005-0000-0000-00001F000000}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Звичайний" xfId="0" builtinId="0"/>
    <cellStyle name="Звичайний 10" xfId="8" xr:uid="{00000000-0005-0000-0000-000025000000}"/>
    <cellStyle name="Звичайний 11" xfId="9" xr:uid="{00000000-0005-0000-0000-000026000000}"/>
    <cellStyle name="Звичайний 12" xfId="10" xr:uid="{00000000-0005-0000-0000-000027000000}"/>
    <cellStyle name="Звичайний 13" xfId="11" xr:uid="{00000000-0005-0000-0000-000028000000}"/>
    <cellStyle name="Звичайний 14" xfId="12" xr:uid="{00000000-0005-0000-0000-000029000000}"/>
    <cellStyle name="Звичайний 15" xfId="13" xr:uid="{00000000-0005-0000-0000-00002A000000}"/>
    <cellStyle name="Звичайний 16" xfId="14" xr:uid="{00000000-0005-0000-0000-00002B000000}"/>
    <cellStyle name="Звичайний 17" xfId="15" xr:uid="{00000000-0005-0000-0000-00002C000000}"/>
    <cellStyle name="Звичайний 18" xfId="16" xr:uid="{00000000-0005-0000-0000-00002D000000}"/>
    <cellStyle name="Звичайний 19" xfId="17" xr:uid="{00000000-0005-0000-0000-00002E000000}"/>
    <cellStyle name="Звичайний 2" xfId="18" xr:uid="{00000000-0005-0000-0000-00002F000000}"/>
    <cellStyle name="Звичайний 2 2" xfId="19" xr:uid="{00000000-0005-0000-0000-000030000000}"/>
    <cellStyle name="Звичайний 2 2 2" xfId="88" xr:uid="{00000000-0005-0000-0000-000031000000}"/>
    <cellStyle name="Звичайний 2 3" xfId="94" xr:uid="{00000000-0005-0000-0000-000032000000}"/>
    <cellStyle name="Звичайний 20" xfId="20" xr:uid="{00000000-0005-0000-0000-000033000000}"/>
    <cellStyle name="Звичайний 21" xfId="86" xr:uid="{00000000-0005-0000-0000-000034000000}"/>
    <cellStyle name="Звичайний 21 2" xfId="93" xr:uid="{00000000-0005-0000-0000-000035000000}"/>
    <cellStyle name="Звичайний 21 2 2" xfId="96" xr:uid="{00000000-0005-0000-0000-000036000000}"/>
    <cellStyle name="Звичайний 21 2 3" xfId="98" xr:uid="{00000000-0005-0000-0000-000037000000}"/>
    <cellStyle name="Звичайний 21 2 3 2" xfId="100" xr:uid="{00000000-0005-0000-0000-000038000000}"/>
    <cellStyle name="Звичайний 27 3 2" xfId="87" xr:uid="{00000000-0005-0000-0000-000039000000}"/>
    <cellStyle name="Звичайний 3" xfId="21" xr:uid="{00000000-0005-0000-0000-00003A000000}"/>
    <cellStyle name="Звичайний 3 2" xfId="22" xr:uid="{00000000-0005-0000-0000-00003B000000}"/>
    <cellStyle name="Звичайний 3 2 2" xfId="89" xr:uid="{00000000-0005-0000-0000-00003C000000}"/>
    <cellStyle name="Звичайний 30 2" xfId="95" xr:uid="{00000000-0005-0000-0000-00003D000000}"/>
    <cellStyle name="Звичайний 30 2 2" xfId="97" xr:uid="{00000000-0005-0000-0000-00003E000000}"/>
    <cellStyle name="Звичайний 30 2 3" xfId="99" xr:uid="{00000000-0005-0000-0000-00003F000000}"/>
    <cellStyle name="Звичайний 30 2 3 2" xfId="101" xr:uid="{00000000-0005-0000-0000-000040000000}"/>
    <cellStyle name="Звичайний 4" xfId="23" xr:uid="{00000000-0005-0000-0000-000041000000}"/>
    <cellStyle name="Звичайний 4 2" xfId="24" xr:uid="{00000000-0005-0000-0000-000042000000}"/>
    <cellStyle name="Звичайний 4 2 2" xfId="90" xr:uid="{00000000-0005-0000-0000-000043000000}"/>
    <cellStyle name="Звичайний 5" xfId="25" xr:uid="{00000000-0005-0000-0000-000044000000}"/>
    <cellStyle name="Звичайний 6" xfId="26" xr:uid="{00000000-0005-0000-0000-000045000000}"/>
    <cellStyle name="Звичайний 7" xfId="27" xr:uid="{00000000-0005-0000-0000-000046000000}"/>
    <cellStyle name="Звичайний 8" xfId="28" xr:uid="{00000000-0005-0000-0000-000047000000}"/>
    <cellStyle name="Звичайний 9" xfId="29" xr:uid="{00000000-0005-0000-0000-000048000000}"/>
    <cellStyle name="Звичайний_Додаток _ 3 зм_ни 4575" xfId="30" xr:uid="{00000000-0005-0000-0000-000049000000}"/>
    <cellStyle name="Зв'язана клітинка" xfId="41" xr:uid="{00000000-0005-0000-0000-00004A000000}"/>
    <cellStyle name="Итог" xfId="74" xr:uid="{00000000-0005-0000-0000-00004B000000}"/>
    <cellStyle name="Контрольна клітинка" xfId="31" xr:uid="{00000000-0005-0000-0000-00004C000000}"/>
    <cellStyle name="Контрольная ячейка" xfId="75" xr:uid="{00000000-0005-0000-0000-00004D000000}"/>
    <cellStyle name="Назва" xfId="32" xr:uid="{00000000-0005-0000-0000-00004E000000}"/>
    <cellStyle name="Название" xfId="76" xr:uid="{00000000-0005-0000-0000-00004F000000}"/>
    <cellStyle name="Нейтральный" xfId="77" xr:uid="{00000000-0005-0000-0000-000050000000}"/>
    <cellStyle name="Обычный 2" xfId="33" xr:uid="{00000000-0005-0000-0000-000051000000}"/>
    <cellStyle name="Обычный 2 2" xfId="34" xr:uid="{00000000-0005-0000-0000-000052000000}"/>
    <cellStyle name="Обычный 2 2 2" xfId="91" xr:uid="{00000000-0005-0000-0000-000053000000}"/>
    <cellStyle name="Обычный 3" xfId="35" xr:uid="{00000000-0005-0000-0000-000054000000}"/>
    <cellStyle name="Обычный 4 3" xfId="85" xr:uid="{00000000-0005-0000-0000-000055000000}"/>
    <cellStyle name="Обычный_Plan_kapbud_2006 уточн." xfId="36" xr:uid="{00000000-0005-0000-0000-000056000000}"/>
    <cellStyle name="Обычный_дод.1" xfId="37" xr:uid="{00000000-0005-0000-0000-000057000000}"/>
    <cellStyle name="Обычный_Додаток 2 до бюджету 2000 року" xfId="38" xr:uid="{00000000-0005-0000-0000-000058000000}"/>
    <cellStyle name="Обычный_Додаток №1" xfId="39" xr:uid="{00000000-0005-0000-0000-000059000000}"/>
    <cellStyle name="Обычный_КАПІТАЛЬНІ  ВКЛАДЕННЯ 2015 2 2" xfId="45" xr:uid="{00000000-0005-0000-0000-00005A000000}"/>
    <cellStyle name="Обычный_УЖКГ бюджет 2016 Після Ямчука 2" xfId="40" xr:uid="{00000000-0005-0000-0000-00005B000000}"/>
    <cellStyle name="Обычный_УКБ до бюджету 2016р ост 2" xfId="92" xr:uid="{00000000-0005-0000-0000-00005C000000}"/>
    <cellStyle name="Плохой" xfId="78" xr:uid="{00000000-0005-0000-0000-00005D000000}"/>
    <cellStyle name="Пояснение" xfId="79" xr:uid="{00000000-0005-0000-0000-00005E000000}"/>
    <cellStyle name="Примечание" xfId="80" xr:uid="{00000000-0005-0000-0000-00005F000000}"/>
    <cellStyle name="Связанная ячейка" xfId="81" xr:uid="{00000000-0005-0000-0000-000060000000}"/>
    <cellStyle name="Середній" xfId="42" xr:uid="{00000000-0005-0000-0000-000061000000}"/>
    <cellStyle name="Стиль 1" xfId="43" xr:uid="{00000000-0005-0000-0000-000062000000}"/>
    <cellStyle name="Текст попередження" xfId="44" xr:uid="{00000000-0005-0000-0000-000063000000}"/>
    <cellStyle name="Текст предупреждения" xfId="82" xr:uid="{00000000-0005-0000-0000-000064000000}"/>
    <cellStyle name="Хороший" xfId="83" xr:uid="{00000000-0005-0000-0000-000065000000}"/>
  </cellStyles>
  <dxfs count="0"/>
  <tableStyles count="0" defaultTableStyle="TableStyleMedium2" defaultPivotStyle="PivotStyleLight16"/>
  <colors>
    <mruColors>
      <color rgb="FFFFCC99"/>
      <color rgb="FFFFCC00"/>
      <color rgb="FF66FFFF"/>
      <color rgb="FFFFCCCC"/>
      <color rgb="FF99FF99"/>
      <color rgb="FFFFFF99"/>
      <color rgb="FFFFFFCC"/>
      <color rgb="FFCCFF99"/>
      <color rgb="FFCC99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JET/2020/&#1056;&#1110;&#1096;&#1077;&#1085;&#1085;&#1103;%20&#1074;&#1110;&#1076;%2028.08.2020%20&#1088;&#1086;&#1082;&#1091;%20&#8470;1/&#1076;&#1086;&#1076;&#1072;&#1090;&#1082;&#1080;%202020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3-попер."/>
      <sheetName val="Р-попер."/>
    </sheetNames>
    <sheetDataSet>
      <sheetData sheetId="0"/>
      <sheetData sheetId="1"/>
      <sheetData sheetId="2"/>
      <sheetData sheetId="3"/>
      <sheetData sheetId="4">
        <row r="12">
          <cell r="J12">
            <v>5317946</v>
          </cell>
        </row>
        <row r="13">
          <cell r="J13">
            <v>595300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1334646</v>
          </cell>
        </row>
        <row r="18">
          <cell r="J18">
            <v>3088000</v>
          </cell>
        </row>
        <row r="19">
          <cell r="J19">
            <v>300000</v>
          </cell>
        </row>
        <row r="22">
          <cell r="J22">
            <v>44322639.700000003</v>
          </cell>
        </row>
        <row r="23">
          <cell r="J23">
            <v>1177835</v>
          </cell>
        </row>
        <row r="25">
          <cell r="J25">
            <v>3570900</v>
          </cell>
        </row>
        <row r="26">
          <cell r="J26">
            <v>200000</v>
          </cell>
        </row>
        <row r="27">
          <cell r="J27">
            <v>300000</v>
          </cell>
        </row>
        <row r="30">
          <cell r="J30">
            <v>150000</v>
          </cell>
        </row>
        <row r="31">
          <cell r="J31">
            <v>17909463</v>
          </cell>
        </row>
        <row r="32">
          <cell r="J32">
            <v>1497539</v>
          </cell>
        </row>
        <row r="33">
          <cell r="J33">
            <v>0</v>
          </cell>
        </row>
        <row r="34">
          <cell r="J34">
            <v>367140</v>
          </cell>
        </row>
        <row r="35">
          <cell r="J35">
            <v>300000</v>
          </cell>
        </row>
        <row r="36">
          <cell r="J36">
            <v>400000</v>
          </cell>
        </row>
        <row r="37">
          <cell r="J37">
            <v>2858647.6799999997</v>
          </cell>
        </row>
        <row r="38">
          <cell r="J38">
            <v>604430</v>
          </cell>
        </row>
        <row r="40">
          <cell r="J40">
            <v>300000</v>
          </cell>
        </row>
        <row r="41">
          <cell r="J41">
            <v>299873</v>
          </cell>
        </row>
        <row r="43">
          <cell r="J43">
            <v>1450000</v>
          </cell>
        </row>
        <row r="44">
          <cell r="J44">
            <v>331648</v>
          </cell>
        </row>
        <row r="45">
          <cell r="J45">
            <v>866129.64</v>
          </cell>
        </row>
        <row r="46">
          <cell r="J46">
            <v>900000</v>
          </cell>
        </row>
        <row r="47">
          <cell r="J47">
            <v>300000</v>
          </cell>
        </row>
        <row r="48">
          <cell r="J48">
            <v>1490878</v>
          </cell>
        </row>
        <row r="49">
          <cell r="J49">
            <v>1100000</v>
          </cell>
        </row>
        <row r="51">
          <cell r="J51">
            <v>1489695</v>
          </cell>
        </row>
        <row r="52">
          <cell r="J52">
            <v>217419.5</v>
          </cell>
        </row>
        <row r="53">
          <cell r="J53">
            <v>60000</v>
          </cell>
        </row>
        <row r="54">
          <cell r="J54">
            <v>69551</v>
          </cell>
        </row>
        <row r="55">
          <cell r="J55">
            <v>619000</v>
          </cell>
        </row>
        <row r="56">
          <cell r="J56">
            <v>3000000</v>
          </cell>
        </row>
        <row r="57">
          <cell r="J57">
            <v>1500000</v>
          </cell>
        </row>
        <row r="61">
          <cell r="J61">
            <v>992490.88</v>
          </cell>
        </row>
        <row r="62">
          <cell r="J62">
            <v>29041907.600000001</v>
          </cell>
        </row>
        <row r="64">
          <cell r="J64">
            <v>10087110</v>
          </cell>
        </row>
        <row r="65">
          <cell r="J65">
            <v>3919152</v>
          </cell>
        </row>
        <row r="66">
          <cell r="J66">
            <v>457500</v>
          </cell>
        </row>
        <row r="67">
          <cell r="J67">
            <v>6508000</v>
          </cell>
        </row>
        <row r="68">
          <cell r="J68">
            <v>3456400</v>
          </cell>
        </row>
        <row r="69">
          <cell r="J69">
            <v>731270</v>
          </cell>
        </row>
        <row r="70">
          <cell r="J70">
            <v>300000</v>
          </cell>
        </row>
        <row r="72">
          <cell r="J72">
            <v>762675.6</v>
          </cell>
        </row>
        <row r="73">
          <cell r="J73">
            <v>2819800</v>
          </cell>
        </row>
        <row r="75">
          <cell r="J75">
            <v>21197493.940000001</v>
          </cell>
        </row>
        <row r="76">
          <cell r="J76">
            <v>500000</v>
          </cell>
        </row>
        <row r="77">
          <cell r="J77">
            <v>400000</v>
          </cell>
        </row>
        <row r="78">
          <cell r="J78">
            <v>150000</v>
          </cell>
        </row>
        <row r="80">
          <cell r="J80">
            <v>84800</v>
          </cell>
        </row>
        <row r="81">
          <cell r="J81">
            <v>4456154.9400000004</v>
          </cell>
        </row>
        <row r="84">
          <cell r="J84">
            <v>1917540</v>
          </cell>
        </row>
        <row r="88">
          <cell r="J88">
            <v>1344563</v>
          </cell>
        </row>
        <row r="91">
          <cell r="J91">
            <v>157120</v>
          </cell>
        </row>
        <row r="92">
          <cell r="J92">
            <v>500000</v>
          </cell>
        </row>
        <row r="93">
          <cell r="J93">
            <v>1498897</v>
          </cell>
        </row>
        <row r="94">
          <cell r="J94">
            <v>1217131</v>
          </cell>
        </row>
        <row r="95">
          <cell r="J95">
            <v>53051</v>
          </cell>
        </row>
        <row r="96">
          <cell r="J96">
            <v>300000</v>
          </cell>
        </row>
        <row r="97">
          <cell r="J97">
            <v>150000</v>
          </cell>
        </row>
        <row r="98">
          <cell r="J98">
            <v>4104237</v>
          </cell>
        </row>
        <row r="99">
          <cell r="J99">
            <v>364000</v>
          </cell>
        </row>
        <row r="100">
          <cell r="J100">
            <v>4000000</v>
          </cell>
        </row>
        <row r="101">
          <cell r="J101"/>
        </row>
        <row r="103">
          <cell r="J103">
            <v>6123889</v>
          </cell>
        </row>
        <row r="106">
          <cell r="J106">
            <v>80000</v>
          </cell>
        </row>
        <row r="107">
          <cell r="J107">
            <v>700000</v>
          </cell>
        </row>
        <row r="108">
          <cell r="J108">
            <v>114000</v>
          </cell>
        </row>
        <row r="109">
          <cell r="J109">
            <v>80000</v>
          </cell>
        </row>
        <row r="110">
          <cell r="J110">
            <v>5000000</v>
          </cell>
        </row>
        <row r="111">
          <cell r="J111">
            <v>149889</v>
          </cell>
        </row>
        <row r="113">
          <cell r="J113">
            <v>4742772</v>
          </cell>
        </row>
        <row r="115">
          <cell r="J115">
            <v>55000</v>
          </cell>
        </row>
        <row r="116">
          <cell r="J116">
            <v>150000</v>
          </cell>
        </row>
        <row r="117">
          <cell r="J117">
            <v>60000</v>
          </cell>
        </row>
        <row r="118">
          <cell r="J118">
            <v>10107</v>
          </cell>
        </row>
        <row r="119">
          <cell r="J119">
            <v>602000</v>
          </cell>
        </row>
        <row r="120">
          <cell r="J120">
            <v>1450000</v>
          </cell>
        </row>
        <row r="121">
          <cell r="J121">
            <v>1655200</v>
          </cell>
        </row>
        <row r="122">
          <cell r="J122">
            <v>91865</v>
          </cell>
        </row>
        <row r="123">
          <cell r="J123">
            <v>169100</v>
          </cell>
        </row>
        <row r="124">
          <cell r="J124">
            <v>299500</v>
          </cell>
        </row>
        <row r="125">
          <cell r="J125">
            <v>200000</v>
          </cell>
        </row>
        <row r="126">
          <cell r="J126">
            <v>143554868.59</v>
          </cell>
        </row>
        <row r="128">
          <cell r="J128">
            <v>17000</v>
          </cell>
        </row>
        <row r="193">
          <cell r="J193">
            <v>48000</v>
          </cell>
        </row>
        <row r="194">
          <cell r="J194">
            <v>90440172</v>
          </cell>
        </row>
        <row r="215">
          <cell r="J215">
            <v>441220</v>
          </cell>
        </row>
        <row r="218">
          <cell r="J218">
            <v>49000</v>
          </cell>
        </row>
        <row r="220">
          <cell r="J220">
            <v>49000</v>
          </cell>
        </row>
        <row r="222">
          <cell r="J222">
            <v>620000</v>
          </cell>
        </row>
        <row r="223">
          <cell r="J223">
            <v>0</v>
          </cell>
        </row>
        <row r="224">
          <cell r="J224">
            <v>620000</v>
          </cell>
        </row>
        <row r="225">
          <cell r="J225">
            <v>300000</v>
          </cell>
        </row>
        <row r="232">
          <cell r="J232">
            <v>346151908.83000004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9"/>
  <sheetViews>
    <sheetView showZeros="0" view="pageBreakPreview" topLeftCell="A103" zoomScaleSheetLayoutView="100" workbookViewId="0">
      <selection activeCell="A113" sqref="A113"/>
    </sheetView>
  </sheetViews>
  <sheetFormatPr defaultColWidth="6.85546875" defaultRowHeight="12.75" x14ac:dyDescent="0.2"/>
  <cols>
    <col min="1" max="1" width="10.140625" style="13" customWidth="1"/>
    <col min="2" max="2" width="40.42578125" style="13" customWidth="1"/>
    <col min="3" max="4" width="17.28515625" style="13" customWidth="1"/>
    <col min="5" max="5" width="15.7109375" style="13" customWidth="1"/>
    <col min="6" max="6" width="14.5703125" style="13" customWidth="1"/>
    <col min="7" max="252" width="7.85546875" style="13" customWidth="1"/>
    <col min="253" max="16384" width="6.85546875" style="13"/>
  </cols>
  <sheetData>
    <row r="1" spans="1:7" ht="15.75" x14ac:dyDescent="0.2">
      <c r="D1" s="524" t="s">
        <v>72</v>
      </c>
      <c r="E1" s="525"/>
      <c r="F1" s="525"/>
      <c r="G1" s="525"/>
    </row>
    <row r="2" spans="1:7" ht="15.75" x14ac:dyDescent="0.2">
      <c r="C2" s="14"/>
      <c r="D2" s="524" t="s">
        <v>940</v>
      </c>
      <c r="E2" s="526"/>
      <c r="F2" s="526"/>
      <c r="G2" s="526"/>
    </row>
    <row r="3" spans="1:7" ht="6" customHeight="1" x14ac:dyDescent="0.2">
      <c r="C3" s="14"/>
      <c r="D3" s="524"/>
      <c r="E3" s="526"/>
      <c r="F3" s="526"/>
      <c r="G3" s="526"/>
    </row>
    <row r="4" spans="1:7" ht="20.25" hidden="1" x14ac:dyDescent="0.2">
      <c r="A4" s="527"/>
      <c r="B4" s="527"/>
      <c r="C4" s="527"/>
      <c r="D4" s="527"/>
      <c r="E4" s="527"/>
    </row>
    <row r="5" spans="1:7" ht="25.5" customHeight="1" x14ac:dyDescent="0.2">
      <c r="A5" s="527" t="s">
        <v>577</v>
      </c>
      <c r="B5" s="527"/>
      <c r="C5" s="527"/>
      <c r="D5" s="527"/>
      <c r="E5" s="527"/>
    </row>
    <row r="6" spans="1:7" ht="25.5" customHeight="1" x14ac:dyDescent="0.2">
      <c r="A6" s="163"/>
      <c r="B6" s="164" t="s">
        <v>690</v>
      </c>
      <c r="C6" s="163"/>
      <c r="D6" s="163"/>
      <c r="E6" s="163"/>
    </row>
    <row r="7" spans="1:7" ht="10.5" customHeight="1" x14ac:dyDescent="0.2">
      <c r="B7" s="15"/>
      <c r="C7" s="15"/>
      <c r="D7" s="15"/>
      <c r="E7" s="15"/>
      <c r="F7" s="15" t="s">
        <v>73</v>
      </c>
    </row>
    <row r="8" spans="1:7" s="16" customFormat="1" ht="31.7" customHeight="1" x14ac:dyDescent="0.2">
      <c r="A8" s="523" t="s">
        <v>74</v>
      </c>
      <c r="B8" s="523" t="s">
        <v>75</v>
      </c>
      <c r="C8" s="523" t="s">
        <v>472</v>
      </c>
      <c r="D8" s="523" t="s">
        <v>14</v>
      </c>
      <c r="E8" s="523" t="s">
        <v>65</v>
      </c>
      <c r="F8" s="523"/>
    </row>
    <row r="9" spans="1:7" s="18" customFormat="1" ht="38.25" x14ac:dyDescent="0.25">
      <c r="A9" s="523"/>
      <c r="B9" s="523"/>
      <c r="C9" s="523"/>
      <c r="D9" s="523"/>
      <c r="E9" s="162" t="s">
        <v>472</v>
      </c>
      <c r="F9" s="17" t="s">
        <v>535</v>
      </c>
    </row>
    <row r="10" spans="1:7" s="18" customFormat="1" ht="15.75" x14ac:dyDescent="0.25">
      <c r="A10" s="162">
        <v>1</v>
      </c>
      <c r="B10" s="162">
        <v>2</v>
      </c>
      <c r="C10" s="162">
        <v>3</v>
      </c>
      <c r="D10" s="162">
        <v>4</v>
      </c>
      <c r="E10" s="162">
        <v>5</v>
      </c>
      <c r="F10" s="17">
        <v>6</v>
      </c>
    </row>
    <row r="11" spans="1:7" s="22" customFormat="1" ht="14.25" x14ac:dyDescent="0.2">
      <c r="A11" s="19">
        <v>10000000</v>
      </c>
      <c r="B11" s="20" t="s">
        <v>76</v>
      </c>
      <c r="C11" s="21">
        <f>SUM(D11,E11)</f>
        <v>1851712363</v>
      </c>
      <c r="D11" s="21">
        <f>SUM(D12,D20,D21,D22,D23,D41)</f>
        <v>1851212363</v>
      </c>
      <c r="E11" s="21">
        <v>500000</v>
      </c>
      <c r="F11" s="21"/>
    </row>
    <row r="12" spans="1:7" s="27" customFormat="1" ht="25.5" x14ac:dyDescent="0.2">
      <c r="A12" s="23">
        <v>11000000</v>
      </c>
      <c r="B12" s="24" t="s">
        <v>77</v>
      </c>
      <c r="C12" s="25">
        <f t="shared" ref="C12:C79" si="0">SUM(D12,E12)</f>
        <v>1208707363</v>
      </c>
      <c r="D12" s="25">
        <f>SUM(D13,D18)</f>
        <v>1208707363</v>
      </c>
      <c r="E12" s="26"/>
      <c r="F12" s="26"/>
    </row>
    <row r="13" spans="1:7" s="27" customFormat="1" ht="14.25" x14ac:dyDescent="0.2">
      <c r="A13" s="19">
        <v>11010000</v>
      </c>
      <c r="B13" s="28" t="s">
        <v>78</v>
      </c>
      <c r="C13" s="25">
        <f t="shared" si="0"/>
        <v>1207057363</v>
      </c>
      <c r="D13" s="29">
        <f>SUM(D14:D17)</f>
        <v>1207057363</v>
      </c>
      <c r="E13" s="21"/>
      <c r="F13" s="21"/>
    </row>
    <row r="14" spans="1:7" s="27" customFormat="1" ht="36" x14ac:dyDescent="0.2">
      <c r="A14" s="30">
        <v>11010100</v>
      </c>
      <c r="B14" s="31" t="s">
        <v>79</v>
      </c>
      <c r="C14" s="25">
        <f t="shared" si="0"/>
        <v>1012207363</v>
      </c>
      <c r="D14" s="37">
        <f>1007207363+5000000</f>
        <v>1012207363</v>
      </c>
      <c r="E14" s="32"/>
      <c r="F14" s="32"/>
    </row>
    <row r="15" spans="1:7" s="27" customFormat="1" ht="60" x14ac:dyDescent="0.2">
      <c r="A15" s="30">
        <v>11010200</v>
      </c>
      <c r="B15" s="31" t="s">
        <v>80</v>
      </c>
      <c r="C15" s="25">
        <f t="shared" si="0"/>
        <v>167600000</v>
      </c>
      <c r="D15" s="37">
        <v>167600000</v>
      </c>
      <c r="E15" s="32"/>
      <c r="F15" s="32"/>
    </row>
    <row r="16" spans="1:7" s="27" customFormat="1" ht="36" x14ac:dyDescent="0.2">
      <c r="A16" s="30">
        <v>11010400</v>
      </c>
      <c r="B16" s="31" t="s">
        <v>81</v>
      </c>
      <c r="C16" s="25">
        <f t="shared" si="0"/>
        <v>17250000</v>
      </c>
      <c r="D16" s="37">
        <v>17250000</v>
      </c>
      <c r="E16" s="32"/>
      <c r="F16" s="32"/>
    </row>
    <row r="17" spans="1:6" s="18" customFormat="1" ht="36" x14ac:dyDescent="0.25">
      <c r="A17" s="30">
        <v>11010500</v>
      </c>
      <c r="B17" s="31" t="s">
        <v>82</v>
      </c>
      <c r="C17" s="25">
        <f t="shared" si="0"/>
        <v>10000000</v>
      </c>
      <c r="D17" s="37">
        <v>10000000</v>
      </c>
      <c r="E17" s="32"/>
      <c r="F17" s="32"/>
    </row>
    <row r="18" spans="1:6" s="22" customFormat="1" ht="15" x14ac:dyDescent="0.2">
      <c r="A18" s="23">
        <v>11020000</v>
      </c>
      <c r="B18" s="28" t="s">
        <v>83</v>
      </c>
      <c r="C18" s="25">
        <f t="shared" si="0"/>
        <v>1650000</v>
      </c>
      <c r="D18" s="156">
        <v>1650000</v>
      </c>
      <c r="E18" s="34"/>
      <c r="F18" s="34"/>
    </row>
    <row r="19" spans="1:6" s="18" customFormat="1" ht="24" x14ac:dyDescent="0.25">
      <c r="A19" s="30">
        <v>11020200</v>
      </c>
      <c r="B19" s="35" t="s">
        <v>84</v>
      </c>
      <c r="C19" s="25">
        <f t="shared" si="0"/>
        <v>1650000</v>
      </c>
      <c r="D19" s="37">
        <v>1650000</v>
      </c>
      <c r="E19" s="36"/>
      <c r="F19" s="26"/>
    </row>
    <row r="20" spans="1:6" s="38" customFormat="1" ht="26.45" customHeight="1" x14ac:dyDescent="0.2">
      <c r="A20" s="17">
        <v>14021900</v>
      </c>
      <c r="B20" s="24" t="s">
        <v>184</v>
      </c>
      <c r="C20" s="25">
        <f>SUM(D20,E20)</f>
        <v>12250000</v>
      </c>
      <c r="D20" s="25">
        <v>12250000</v>
      </c>
      <c r="E20" s="37"/>
      <c r="F20" s="37"/>
    </row>
    <row r="21" spans="1:6" s="38" customFormat="1" ht="22.7" customHeight="1" x14ac:dyDescent="0.2">
      <c r="A21" s="17">
        <v>14031900</v>
      </c>
      <c r="B21" s="24" t="s">
        <v>185</v>
      </c>
      <c r="C21" s="25">
        <f>SUM(D21,E21)</f>
        <v>58000000</v>
      </c>
      <c r="D21" s="25">
        <v>58000000</v>
      </c>
      <c r="E21" s="37"/>
      <c r="F21" s="37"/>
    </row>
    <row r="22" spans="1:6" s="38" customFormat="1" ht="39.75" customHeight="1" x14ac:dyDescent="0.2">
      <c r="A22" s="17">
        <v>14040000</v>
      </c>
      <c r="B22" s="24" t="s">
        <v>85</v>
      </c>
      <c r="C22" s="25">
        <f>SUM(D22,E22)</f>
        <v>78855000</v>
      </c>
      <c r="D22" s="25">
        <v>78855000</v>
      </c>
      <c r="E22" s="37"/>
      <c r="F22" s="37"/>
    </row>
    <row r="23" spans="1:6" s="18" customFormat="1" ht="15" x14ac:dyDescent="0.25">
      <c r="A23" s="19">
        <v>18000000</v>
      </c>
      <c r="B23" s="39" t="s">
        <v>86</v>
      </c>
      <c r="C23" s="25">
        <f t="shared" si="0"/>
        <v>493400000</v>
      </c>
      <c r="D23" s="25">
        <f>SUM(D24,D35,D38)</f>
        <v>493400000</v>
      </c>
      <c r="E23" s="21"/>
      <c r="F23" s="21"/>
    </row>
    <row r="24" spans="1:6" s="18" customFormat="1" ht="15" x14ac:dyDescent="0.25">
      <c r="A24" s="23">
        <v>18010000</v>
      </c>
      <c r="B24" s="40" t="s">
        <v>87</v>
      </c>
      <c r="C24" s="25">
        <f t="shared" si="0"/>
        <v>176165000</v>
      </c>
      <c r="D24" s="29">
        <f>SUM(D25:D34)</f>
        <v>176165000</v>
      </c>
      <c r="E24" s="26"/>
      <c r="F24" s="26"/>
    </row>
    <row r="25" spans="1:6" s="18" customFormat="1" ht="36" x14ac:dyDescent="0.25">
      <c r="A25" s="23">
        <v>18010100</v>
      </c>
      <c r="B25" s="42" t="s">
        <v>88</v>
      </c>
      <c r="C25" s="25">
        <f t="shared" si="0"/>
        <v>178300</v>
      </c>
      <c r="D25" s="37">
        <v>178300</v>
      </c>
      <c r="E25" s="26"/>
      <c r="F25" s="26"/>
    </row>
    <row r="26" spans="1:6" s="18" customFormat="1" ht="36" x14ac:dyDescent="0.25">
      <c r="A26" s="23">
        <v>18010200</v>
      </c>
      <c r="B26" s="42" t="s">
        <v>89</v>
      </c>
      <c r="C26" s="25">
        <f t="shared" si="0"/>
        <v>12200000</v>
      </c>
      <c r="D26" s="37">
        <v>12200000</v>
      </c>
      <c r="E26" s="26"/>
      <c r="F26" s="26"/>
    </row>
    <row r="27" spans="1:6" s="18" customFormat="1" ht="36" x14ac:dyDescent="0.25">
      <c r="A27" s="23">
        <v>18010300</v>
      </c>
      <c r="B27" s="42" t="s">
        <v>90</v>
      </c>
      <c r="C27" s="25">
        <f t="shared" si="0"/>
        <v>1850000</v>
      </c>
      <c r="D27" s="37">
        <v>1850000</v>
      </c>
      <c r="E27" s="26"/>
      <c r="F27" s="26"/>
    </row>
    <row r="28" spans="1:6" s="18" customFormat="1" ht="36" x14ac:dyDescent="0.25">
      <c r="A28" s="23">
        <v>18010400</v>
      </c>
      <c r="B28" s="42" t="s">
        <v>91</v>
      </c>
      <c r="C28" s="25">
        <f t="shared" si="0"/>
        <v>10771700</v>
      </c>
      <c r="D28" s="37">
        <v>10771700</v>
      </c>
      <c r="E28" s="26"/>
      <c r="F28" s="26"/>
    </row>
    <row r="29" spans="1:6" s="18" customFormat="1" ht="15" x14ac:dyDescent="0.25">
      <c r="A29" s="23">
        <v>18010500</v>
      </c>
      <c r="B29" s="43" t="s">
        <v>92</v>
      </c>
      <c r="C29" s="25">
        <f t="shared" si="0"/>
        <v>39735000</v>
      </c>
      <c r="D29" s="37">
        <v>39735000</v>
      </c>
      <c r="E29" s="26"/>
      <c r="F29" s="26"/>
    </row>
    <row r="30" spans="1:6" s="18" customFormat="1" ht="15" x14ac:dyDescent="0.25">
      <c r="A30" s="23">
        <v>18010600</v>
      </c>
      <c r="B30" s="42" t="s">
        <v>93</v>
      </c>
      <c r="C30" s="25">
        <f t="shared" si="0"/>
        <v>85050000</v>
      </c>
      <c r="D30" s="37">
        <v>85050000</v>
      </c>
      <c r="E30" s="26"/>
      <c r="F30" s="26"/>
    </row>
    <row r="31" spans="1:6" s="18" customFormat="1" ht="15" x14ac:dyDescent="0.25">
      <c r="A31" s="23">
        <v>18010700</v>
      </c>
      <c r="B31" s="42" t="s">
        <v>94</v>
      </c>
      <c r="C31" s="25">
        <f t="shared" si="0"/>
        <v>1500000</v>
      </c>
      <c r="D31" s="37">
        <v>1500000</v>
      </c>
      <c r="E31" s="26"/>
      <c r="F31" s="26"/>
    </row>
    <row r="32" spans="1:6" s="18" customFormat="1" ht="15" x14ac:dyDescent="0.25">
      <c r="A32" s="23">
        <v>18010900</v>
      </c>
      <c r="B32" s="42" t="s">
        <v>95</v>
      </c>
      <c r="C32" s="25">
        <f t="shared" si="0"/>
        <v>23000000</v>
      </c>
      <c r="D32" s="37">
        <v>23000000</v>
      </c>
      <c r="E32" s="26"/>
      <c r="F32" s="26"/>
    </row>
    <row r="33" spans="1:6" s="22" customFormat="1" ht="15" x14ac:dyDescent="0.2">
      <c r="A33" s="23">
        <v>18011000</v>
      </c>
      <c r="B33" s="42" t="s">
        <v>96</v>
      </c>
      <c r="C33" s="25">
        <f t="shared" si="0"/>
        <v>1050000</v>
      </c>
      <c r="D33" s="37">
        <v>1050000</v>
      </c>
      <c r="E33" s="26"/>
      <c r="F33" s="26"/>
    </row>
    <row r="34" spans="1:6" s="18" customFormat="1" ht="15" x14ac:dyDescent="0.25">
      <c r="A34" s="23">
        <v>18011100</v>
      </c>
      <c r="B34" s="42" t="s">
        <v>97</v>
      </c>
      <c r="C34" s="25">
        <f t="shared" si="0"/>
        <v>830000</v>
      </c>
      <c r="D34" s="37">
        <v>830000</v>
      </c>
      <c r="E34" s="26"/>
      <c r="F34" s="26"/>
    </row>
    <row r="35" spans="1:6" s="18" customFormat="1" ht="15" x14ac:dyDescent="0.25">
      <c r="A35" s="19">
        <v>1803000</v>
      </c>
      <c r="B35" s="44" t="s">
        <v>98</v>
      </c>
      <c r="C35" s="25">
        <f t="shared" si="0"/>
        <v>350000</v>
      </c>
      <c r="D35" s="25">
        <f>SUM(D36:D37)</f>
        <v>350000</v>
      </c>
      <c r="E35" s="21"/>
      <c r="F35" s="21"/>
    </row>
    <row r="36" spans="1:6" s="18" customFormat="1" ht="15" x14ac:dyDescent="0.25">
      <c r="A36" s="23">
        <v>18030100</v>
      </c>
      <c r="B36" s="42" t="s">
        <v>99</v>
      </c>
      <c r="C36" s="25">
        <f t="shared" si="0"/>
        <v>225000</v>
      </c>
      <c r="D36" s="37">
        <v>225000</v>
      </c>
      <c r="E36" s="26"/>
      <c r="F36" s="26"/>
    </row>
    <row r="37" spans="1:6" s="18" customFormat="1" ht="15" x14ac:dyDescent="0.25">
      <c r="A37" s="23">
        <v>18030200</v>
      </c>
      <c r="B37" s="42" t="s">
        <v>100</v>
      </c>
      <c r="C37" s="25">
        <f t="shared" si="0"/>
        <v>125000</v>
      </c>
      <c r="D37" s="37">
        <v>125000</v>
      </c>
      <c r="E37" s="26"/>
      <c r="F37" s="26"/>
    </row>
    <row r="38" spans="1:6" s="18" customFormat="1" ht="15" x14ac:dyDescent="0.25">
      <c r="A38" s="19">
        <v>18050000</v>
      </c>
      <c r="B38" s="40" t="s">
        <v>101</v>
      </c>
      <c r="C38" s="25">
        <f t="shared" si="0"/>
        <v>316885000</v>
      </c>
      <c r="D38" s="25">
        <f>SUM(D39:D40)</f>
        <v>316885000</v>
      </c>
      <c r="E38" s="26"/>
      <c r="F38" s="26"/>
    </row>
    <row r="39" spans="1:6" s="18" customFormat="1" ht="17.45" customHeight="1" x14ac:dyDescent="0.25">
      <c r="A39" s="23">
        <v>18050300</v>
      </c>
      <c r="B39" s="31" t="s">
        <v>102</v>
      </c>
      <c r="C39" s="25">
        <f t="shared" si="0"/>
        <v>54250000</v>
      </c>
      <c r="D39" s="37">
        <v>54250000</v>
      </c>
      <c r="E39" s="26"/>
      <c r="F39" s="26"/>
    </row>
    <row r="40" spans="1:6" s="22" customFormat="1" ht="15" x14ac:dyDescent="0.2">
      <c r="A40" s="23">
        <v>18050400</v>
      </c>
      <c r="B40" s="42" t="s">
        <v>103</v>
      </c>
      <c r="C40" s="25">
        <f t="shared" si="0"/>
        <v>262635000</v>
      </c>
      <c r="D40" s="37">
        <v>262635000</v>
      </c>
      <c r="E40" s="26"/>
      <c r="F40" s="26"/>
    </row>
    <row r="41" spans="1:6" s="18" customFormat="1" ht="15" x14ac:dyDescent="0.25">
      <c r="A41" s="19">
        <v>1901000</v>
      </c>
      <c r="B41" s="39" t="s">
        <v>104</v>
      </c>
      <c r="C41" s="25">
        <f t="shared" si="0"/>
        <v>500000</v>
      </c>
      <c r="D41" s="25">
        <f>SUM(D42:D44)</f>
        <v>0</v>
      </c>
      <c r="E41" s="21">
        <v>500000</v>
      </c>
      <c r="F41" s="21"/>
    </row>
    <row r="42" spans="1:6" s="18" customFormat="1" ht="36" x14ac:dyDescent="0.25">
      <c r="A42" s="23">
        <v>19010100</v>
      </c>
      <c r="B42" s="31" t="s">
        <v>105</v>
      </c>
      <c r="C42" s="25">
        <f t="shared" si="0"/>
        <v>205000</v>
      </c>
      <c r="D42" s="37"/>
      <c r="E42" s="26">
        <v>205000</v>
      </c>
      <c r="F42" s="26"/>
    </row>
    <row r="43" spans="1:6" s="38" customFormat="1" ht="24" x14ac:dyDescent="0.2">
      <c r="A43" s="23">
        <v>19010200</v>
      </c>
      <c r="B43" s="31" t="s">
        <v>106</v>
      </c>
      <c r="C43" s="25">
        <f t="shared" si="0"/>
        <v>110000</v>
      </c>
      <c r="D43" s="37"/>
      <c r="E43" s="26">
        <v>110000</v>
      </c>
      <c r="F43" s="26"/>
    </row>
    <row r="44" spans="1:6" s="18" customFormat="1" ht="36" x14ac:dyDescent="0.25">
      <c r="A44" s="23">
        <v>19010300</v>
      </c>
      <c r="B44" s="31" t="s">
        <v>107</v>
      </c>
      <c r="C44" s="25">
        <f t="shared" si="0"/>
        <v>185000</v>
      </c>
      <c r="D44" s="37"/>
      <c r="E44" s="26">
        <v>185000</v>
      </c>
      <c r="F44" s="26"/>
    </row>
    <row r="45" spans="1:6" s="18" customFormat="1" ht="15" x14ac:dyDescent="0.25">
      <c r="A45" s="19">
        <v>20000000</v>
      </c>
      <c r="B45" s="20" t="s">
        <v>108</v>
      </c>
      <c r="C45" s="21">
        <f t="shared" si="0"/>
        <v>215251034</v>
      </c>
      <c r="D45" s="21">
        <f>SUM(D46,D47,D48,D51,D52,D60,D64)</f>
        <v>49730000</v>
      </c>
      <c r="E45" s="21">
        <f>SUM(E46,E52,E60,E57,E64)</f>
        <v>165521034</v>
      </c>
      <c r="F45" s="21">
        <f>SUM(F46,F52,F60,F57)</f>
        <v>18861600</v>
      </c>
    </row>
    <row r="46" spans="1:6" s="18" customFormat="1" ht="41.25" customHeight="1" x14ac:dyDescent="0.25">
      <c r="A46" s="23">
        <v>21010300</v>
      </c>
      <c r="B46" s="45" t="s">
        <v>109</v>
      </c>
      <c r="C46" s="25">
        <f t="shared" si="0"/>
        <v>1500000</v>
      </c>
      <c r="D46" s="37">
        <v>1500000</v>
      </c>
      <c r="E46" s="26"/>
      <c r="F46" s="26"/>
    </row>
    <row r="47" spans="1:6" s="18" customFormat="1" ht="27" customHeight="1" x14ac:dyDescent="0.25">
      <c r="A47" s="23">
        <v>21050000</v>
      </c>
      <c r="B47" s="45" t="s">
        <v>110</v>
      </c>
      <c r="C47" s="25">
        <f t="shared" si="0"/>
        <v>2500000</v>
      </c>
      <c r="D47" s="37">
        <v>2500000</v>
      </c>
      <c r="E47" s="26"/>
      <c r="F47" s="26"/>
    </row>
    <row r="48" spans="1:6" s="38" customFormat="1" ht="27" x14ac:dyDescent="0.2">
      <c r="A48" s="46">
        <v>21800000</v>
      </c>
      <c r="B48" s="47" t="s">
        <v>111</v>
      </c>
      <c r="C48" s="25">
        <f>SUM(D48,E48)</f>
        <v>2350000</v>
      </c>
      <c r="D48" s="29">
        <f>SUM(D49:D50)</f>
        <v>2350000</v>
      </c>
      <c r="E48" s="29"/>
      <c r="F48" s="29"/>
    </row>
    <row r="49" spans="1:6" s="18" customFormat="1" ht="15" x14ac:dyDescent="0.25">
      <c r="A49" s="30">
        <v>21081100</v>
      </c>
      <c r="B49" s="48" t="s">
        <v>112</v>
      </c>
      <c r="C49" s="25">
        <f>SUM(D49,E49)</f>
        <v>1730000</v>
      </c>
      <c r="D49" s="37">
        <v>1730000</v>
      </c>
      <c r="E49" s="26"/>
      <c r="F49" s="26"/>
    </row>
    <row r="50" spans="1:6" s="18" customFormat="1" ht="36" x14ac:dyDescent="0.25">
      <c r="A50" s="23">
        <v>21081500</v>
      </c>
      <c r="B50" s="31" t="s">
        <v>113</v>
      </c>
      <c r="C50" s="25">
        <f>SUM(D50,E50)</f>
        <v>620000</v>
      </c>
      <c r="D50" s="37">
        <v>620000</v>
      </c>
      <c r="E50" s="26"/>
      <c r="F50" s="26"/>
    </row>
    <row r="51" spans="1:6" s="110" customFormat="1" ht="15" x14ac:dyDescent="0.25">
      <c r="A51" s="109">
        <v>21081700</v>
      </c>
      <c r="B51" s="128" t="s">
        <v>461</v>
      </c>
      <c r="C51" s="29">
        <f>SUM(D51,E51)</f>
        <v>8100000</v>
      </c>
      <c r="D51" s="29">
        <v>8100000</v>
      </c>
      <c r="E51" s="41"/>
      <c r="F51" s="41"/>
    </row>
    <row r="52" spans="1:6" s="18" customFormat="1" ht="27" x14ac:dyDescent="0.25">
      <c r="A52" s="19">
        <v>22000000</v>
      </c>
      <c r="B52" s="28" t="s">
        <v>114</v>
      </c>
      <c r="C52" s="25">
        <f t="shared" si="0"/>
        <v>32280000</v>
      </c>
      <c r="D52" s="37">
        <f>SUM(D53:D57)</f>
        <v>32280000</v>
      </c>
      <c r="E52" s="26"/>
      <c r="F52" s="26"/>
    </row>
    <row r="53" spans="1:6" s="18" customFormat="1" ht="38.25" x14ac:dyDescent="0.25">
      <c r="A53" s="23">
        <v>22010300</v>
      </c>
      <c r="B53" s="49" t="s">
        <v>187</v>
      </c>
      <c r="C53" s="25">
        <f t="shared" si="0"/>
        <v>1350000</v>
      </c>
      <c r="D53" s="37">
        <v>1350000</v>
      </c>
      <c r="E53" s="26"/>
      <c r="F53" s="26"/>
    </row>
    <row r="54" spans="1:6" s="18" customFormat="1" ht="25.5" x14ac:dyDescent="0.25">
      <c r="A54" s="23">
        <v>22012600</v>
      </c>
      <c r="B54" s="49" t="s">
        <v>115</v>
      </c>
      <c r="C54" s="25">
        <f t="shared" si="0"/>
        <v>1100000</v>
      </c>
      <c r="D54" s="37">
        <v>1100000</v>
      </c>
      <c r="E54" s="26"/>
      <c r="F54" s="26"/>
    </row>
    <row r="55" spans="1:6" s="50" customFormat="1" ht="15" x14ac:dyDescent="0.2">
      <c r="A55" s="23">
        <v>22012500</v>
      </c>
      <c r="B55" s="31" t="s">
        <v>116</v>
      </c>
      <c r="C55" s="25">
        <f t="shared" si="0"/>
        <v>20350000</v>
      </c>
      <c r="D55" s="37">
        <v>20350000</v>
      </c>
      <c r="E55" s="26"/>
      <c r="F55" s="26"/>
    </row>
    <row r="56" spans="1:6" s="18" customFormat="1" ht="36" x14ac:dyDescent="0.25">
      <c r="A56" s="30">
        <v>22080400</v>
      </c>
      <c r="B56" s="48" t="s">
        <v>117</v>
      </c>
      <c r="C56" s="25">
        <f t="shared" si="0"/>
        <v>8580000</v>
      </c>
      <c r="D56" s="37">
        <v>8580000</v>
      </c>
      <c r="E56" s="26"/>
      <c r="F56" s="26"/>
    </row>
    <row r="57" spans="1:6" s="18" customFormat="1" ht="15" x14ac:dyDescent="0.25">
      <c r="A57" s="51">
        <v>22090000</v>
      </c>
      <c r="B57" s="52" t="s">
        <v>118</v>
      </c>
      <c r="C57" s="25">
        <f t="shared" si="0"/>
        <v>900000</v>
      </c>
      <c r="D57" s="25">
        <f>SUM(D58:D59)</f>
        <v>900000</v>
      </c>
      <c r="E57" s="53"/>
      <c r="F57" s="53"/>
    </row>
    <row r="58" spans="1:6" s="18" customFormat="1" ht="36" x14ac:dyDescent="0.25">
      <c r="A58" s="30">
        <v>22090100</v>
      </c>
      <c r="B58" s="42" t="s">
        <v>119</v>
      </c>
      <c r="C58" s="25">
        <f t="shared" si="0"/>
        <v>550000</v>
      </c>
      <c r="D58" s="37">
        <v>550000</v>
      </c>
      <c r="E58" s="26"/>
      <c r="F58" s="26"/>
    </row>
    <row r="59" spans="1:6" s="27" customFormat="1" ht="36" x14ac:dyDescent="0.2">
      <c r="A59" s="30">
        <v>22090400</v>
      </c>
      <c r="B59" s="42" t="s">
        <v>120</v>
      </c>
      <c r="C59" s="25">
        <f t="shared" si="0"/>
        <v>350000</v>
      </c>
      <c r="D59" s="37">
        <v>350000</v>
      </c>
      <c r="E59" s="26"/>
      <c r="F59" s="26"/>
    </row>
    <row r="60" spans="1:6" s="18" customFormat="1" ht="15" x14ac:dyDescent="0.25">
      <c r="A60" s="19">
        <v>24000000</v>
      </c>
      <c r="B60" s="52" t="s">
        <v>121</v>
      </c>
      <c r="C60" s="21">
        <f t="shared" si="0"/>
        <v>21861600</v>
      </c>
      <c r="D60" s="33">
        <f>D61+D62+D63</f>
        <v>3000000</v>
      </c>
      <c r="E60" s="33">
        <f>E61+E63</f>
        <v>18861600</v>
      </c>
      <c r="F60" s="21">
        <v>18861600</v>
      </c>
    </row>
    <row r="61" spans="1:6" s="18" customFormat="1" ht="15" x14ac:dyDescent="0.25">
      <c r="A61" s="30">
        <v>24060300</v>
      </c>
      <c r="B61" s="31" t="s">
        <v>122</v>
      </c>
      <c r="C61" s="25">
        <f t="shared" si="0"/>
        <v>1000000</v>
      </c>
      <c r="D61" s="157">
        <v>1000000</v>
      </c>
      <c r="E61" s="157"/>
      <c r="F61" s="157"/>
    </row>
    <row r="62" spans="1:6" s="18" customFormat="1" ht="60" x14ac:dyDescent="0.25">
      <c r="A62" s="30">
        <v>24062200</v>
      </c>
      <c r="B62" s="31" t="s">
        <v>462</v>
      </c>
      <c r="C62" s="25">
        <f t="shared" si="0"/>
        <v>2000000</v>
      </c>
      <c r="D62" s="157">
        <v>2000000</v>
      </c>
      <c r="E62" s="157"/>
      <c r="F62" s="157"/>
    </row>
    <row r="63" spans="1:6" s="22" customFormat="1" ht="24" x14ac:dyDescent="0.2">
      <c r="A63" s="30">
        <v>24170000</v>
      </c>
      <c r="B63" s="35" t="s">
        <v>123</v>
      </c>
      <c r="C63" s="25">
        <f t="shared" si="0"/>
        <v>18861600</v>
      </c>
      <c r="D63" s="157"/>
      <c r="E63" s="157">
        <v>18861600</v>
      </c>
      <c r="F63" s="157">
        <v>18861600</v>
      </c>
    </row>
    <row r="64" spans="1:6" s="18" customFormat="1" ht="15" x14ac:dyDescent="0.25">
      <c r="A64" s="19">
        <v>25000000</v>
      </c>
      <c r="B64" s="24" t="s">
        <v>124</v>
      </c>
      <c r="C64" s="25">
        <f t="shared" si="0"/>
        <v>146659434</v>
      </c>
      <c r="D64" s="156">
        <f>SUM(D65,D70)</f>
        <v>0</v>
      </c>
      <c r="E64" s="156">
        <f>SUM(E65,E70)</f>
        <v>146659434</v>
      </c>
      <c r="F64" s="156"/>
    </row>
    <row r="65" spans="1:6" s="18" customFormat="1" ht="38.25" x14ac:dyDescent="0.25">
      <c r="A65" s="23">
        <v>25010000</v>
      </c>
      <c r="B65" s="54" t="s">
        <v>125</v>
      </c>
      <c r="C65" s="25">
        <f t="shared" si="0"/>
        <v>146659434</v>
      </c>
      <c r="D65" s="157">
        <v>0</v>
      </c>
      <c r="E65" s="157">
        <f>SUM(E66:E69)</f>
        <v>146659434</v>
      </c>
      <c r="F65" s="157"/>
    </row>
    <row r="66" spans="1:6" s="18" customFormat="1" ht="25.5" x14ac:dyDescent="0.25">
      <c r="A66" s="23">
        <v>25010100</v>
      </c>
      <c r="B66" s="55" t="s">
        <v>126</v>
      </c>
      <c r="C66" s="25">
        <f t="shared" si="0"/>
        <v>134316911</v>
      </c>
      <c r="D66" s="157">
        <v>0</v>
      </c>
      <c r="E66" s="157">
        <v>134316911</v>
      </c>
      <c r="F66" s="157"/>
    </row>
    <row r="67" spans="1:6" s="18" customFormat="1" ht="25.5" x14ac:dyDescent="0.25">
      <c r="A67" s="23">
        <v>25010200</v>
      </c>
      <c r="B67" s="55" t="s">
        <v>127</v>
      </c>
      <c r="C67" s="25">
        <f t="shared" si="0"/>
        <v>9860214</v>
      </c>
      <c r="D67" s="157">
        <v>0</v>
      </c>
      <c r="E67" s="157">
        <v>9860214</v>
      </c>
      <c r="F67" s="157"/>
    </row>
    <row r="68" spans="1:6" s="18" customFormat="1" ht="15" x14ac:dyDescent="0.25">
      <c r="A68" s="23">
        <v>25010300</v>
      </c>
      <c r="B68" s="55" t="s">
        <v>128</v>
      </c>
      <c r="C68" s="25">
        <f t="shared" si="0"/>
        <v>2051179</v>
      </c>
      <c r="D68" s="157">
        <v>0</v>
      </c>
      <c r="E68" s="157">
        <v>2051179</v>
      </c>
      <c r="F68" s="157"/>
    </row>
    <row r="69" spans="1:6" s="18" customFormat="1" ht="38.25" x14ac:dyDescent="0.25">
      <c r="A69" s="23">
        <v>25010400</v>
      </c>
      <c r="B69" s="55" t="s">
        <v>129</v>
      </c>
      <c r="C69" s="25">
        <f t="shared" si="0"/>
        <v>431130</v>
      </c>
      <c r="D69" s="157">
        <v>0</v>
      </c>
      <c r="E69" s="157">
        <v>431130</v>
      </c>
      <c r="F69" s="157"/>
    </row>
    <row r="70" spans="1:6" s="18" customFormat="1" ht="28.5" x14ac:dyDescent="0.25">
      <c r="A70" s="23">
        <v>25020000</v>
      </c>
      <c r="B70" s="54" t="s">
        <v>130</v>
      </c>
      <c r="C70" s="25">
        <f t="shared" si="0"/>
        <v>0</v>
      </c>
      <c r="D70" s="157">
        <v>0</v>
      </c>
      <c r="E70" s="157">
        <v>0</v>
      </c>
      <c r="F70" s="157"/>
    </row>
    <row r="71" spans="1:6" s="38" customFormat="1" ht="15" x14ac:dyDescent="0.2">
      <c r="A71" s="23">
        <v>25020100</v>
      </c>
      <c r="B71" s="55" t="s">
        <v>131</v>
      </c>
      <c r="C71" s="25">
        <f t="shared" si="0"/>
        <v>0</v>
      </c>
      <c r="D71" s="157">
        <v>0</v>
      </c>
      <c r="E71" s="157">
        <v>0</v>
      </c>
      <c r="F71" s="157"/>
    </row>
    <row r="72" spans="1:6" s="18" customFormat="1" ht="89.25" hidden="1" x14ac:dyDescent="0.25">
      <c r="A72" s="23">
        <v>25020200</v>
      </c>
      <c r="B72" s="55" t="s">
        <v>132</v>
      </c>
      <c r="C72" s="25">
        <f t="shared" si="0"/>
        <v>0</v>
      </c>
      <c r="D72" s="157"/>
      <c r="E72" s="157">
        <v>0</v>
      </c>
      <c r="F72" s="157"/>
    </row>
    <row r="73" spans="1:6" s="27" customFormat="1" ht="14.25" x14ac:dyDescent="0.2">
      <c r="A73" s="19">
        <v>30000000</v>
      </c>
      <c r="B73" s="20" t="s">
        <v>133</v>
      </c>
      <c r="C73" s="21">
        <f t="shared" si="0"/>
        <v>21571301</v>
      </c>
      <c r="D73" s="33">
        <f>SUM(D74)</f>
        <v>60000</v>
      </c>
      <c r="E73" s="33">
        <f>SUM(E74,E77)</f>
        <v>21511301</v>
      </c>
      <c r="F73" s="33">
        <f>SUM(F74,F77)</f>
        <v>21511301</v>
      </c>
    </row>
    <row r="74" spans="1:6" s="18" customFormat="1" ht="30" x14ac:dyDescent="0.25">
      <c r="A74" s="23">
        <v>31000000</v>
      </c>
      <c r="B74" s="56" t="s">
        <v>134</v>
      </c>
      <c r="C74" s="25">
        <f t="shared" si="0"/>
        <v>560000</v>
      </c>
      <c r="D74" s="29">
        <v>60000</v>
      </c>
      <c r="E74" s="29">
        <f>SUM(E76)</f>
        <v>500000</v>
      </c>
      <c r="F74" s="29">
        <f>SUM(F76)</f>
        <v>500000</v>
      </c>
    </row>
    <row r="75" spans="1:6" s="18" customFormat="1" ht="60" x14ac:dyDescent="0.25">
      <c r="A75" s="30">
        <v>31010200</v>
      </c>
      <c r="B75" s="35" t="s">
        <v>135</v>
      </c>
      <c r="C75" s="25">
        <f>SUM(D75,E75)</f>
        <v>60000</v>
      </c>
      <c r="D75" s="157">
        <v>60000</v>
      </c>
      <c r="E75" s="157"/>
      <c r="F75" s="157"/>
    </row>
    <row r="76" spans="1:6" s="18" customFormat="1" ht="36" x14ac:dyDescent="0.25">
      <c r="A76" s="30">
        <v>31030000</v>
      </c>
      <c r="B76" s="57" t="s">
        <v>136</v>
      </c>
      <c r="C76" s="25">
        <f t="shared" si="0"/>
        <v>500000</v>
      </c>
      <c r="D76" s="37"/>
      <c r="E76" s="37">
        <v>500000</v>
      </c>
      <c r="F76" s="37">
        <v>500000</v>
      </c>
    </row>
    <row r="77" spans="1:6" s="18" customFormat="1" ht="30" x14ac:dyDescent="0.25">
      <c r="A77" s="23">
        <v>33000000</v>
      </c>
      <c r="B77" s="56" t="s">
        <v>137</v>
      </c>
      <c r="C77" s="25">
        <f t="shared" si="0"/>
        <v>21011301</v>
      </c>
      <c r="D77" s="29"/>
      <c r="E77" s="29">
        <f>SUM(E78)</f>
        <v>21011301</v>
      </c>
      <c r="F77" s="29">
        <f>SUM(F78)</f>
        <v>21011301</v>
      </c>
    </row>
    <row r="78" spans="1:6" s="18" customFormat="1" ht="15" x14ac:dyDescent="0.25">
      <c r="A78" s="23">
        <v>33010000</v>
      </c>
      <c r="B78" s="56" t="s">
        <v>138</v>
      </c>
      <c r="C78" s="25">
        <f t="shared" si="0"/>
        <v>21011301</v>
      </c>
      <c r="D78" s="37"/>
      <c r="E78" s="37">
        <f>SUM(E79,E80)</f>
        <v>21011301</v>
      </c>
      <c r="F78" s="37">
        <f>SUM(F79,F80)</f>
        <v>21011301</v>
      </c>
    </row>
    <row r="79" spans="1:6" s="18" customFormat="1" ht="48" x14ac:dyDescent="0.25">
      <c r="A79" s="23">
        <v>33010100</v>
      </c>
      <c r="B79" s="57" t="s">
        <v>418</v>
      </c>
      <c r="C79" s="25">
        <f t="shared" si="0"/>
        <v>18238216</v>
      </c>
      <c r="D79" s="37"/>
      <c r="E79" s="37">
        <v>18238216</v>
      </c>
      <c r="F79" s="37">
        <v>18238216</v>
      </c>
    </row>
    <row r="80" spans="1:6" s="18" customFormat="1" ht="48" x14ac:dyDescent="0.25">
      <c r="A80" s="23">
        <v>33010200</v>
      </c>
      <c r="B80" s="57" t="s">
        <v>139</v>
      </c>
      <c r="C80" s="25">
        <f t="shared" ref="C80:C90" si="1">SUM(D80,E80)</f>
        <v>2773085</v>
      </c>
      <c r="D80" s="37"/>
      <c r="E80" s="37">
        <v>2773085</v>
      </c>
      <c r="F80" s="37">
        <v>2773085</v>
      </c>
    </row>
    <row r="81" spans="1:6" s="18" customFormat="1" ht="18.75" x14ac:dyDescent="0.25">
      <c r="A81" s="19">
        <v>50000000</v>
      </c>
      <c r="B81" s="59" t="s">
        <v>691</v>
      </c>
      <c r="C81" s="25">
        <f t="shared" si="1"/>
        <v>3087633.18</v>
      </c>
      <c r="D81" s="37"/>
      <c r="E81" s="25">
        <v>3087633.18</v>
      </c>
      <c r="F81" s="37"/>
    </row>
    <row r="82" spans="1:6" s="18" customFormat="1" ht="53.45" customHeight="1" x14ac:dyDescent="0.25">
      <c r="A82" s="19">
        <v>50110000</v>
      </c>
      <c r="B82" s="58" t="s">
        <v>140</v>
      </c>
      <c r="C82" s="25">
        <f t="shared" si="1"/>
        <v>3087633.18</v>
      </c>
      <c r="D82" s="37"/>
      <c r="E82" s="25">
        <v>3087633.18</v>
      </c>
      <c r="F82" s="37"/>
    </row>
    <row r="83" spans="1:6" s="22" customFormat="1" ht="31.5" customHeight="1" x14ac:dyDescent="0.2">
      <c r="A83" s="19"/>
      <c r="B83" s="101" t="s">
        <v>692</v>
      </c>
      <c r="C83" s="216">
        <f t="shared" si="1"/>
        <v>2091622331.1800001</v>
      </c>
      <c r="D83" s="217">
        <f>D11+D45+D73</f>
        <v>1901002363</v>
      </c>
      <c r="E83" s="217">
        <f>E11+E45+E73+E82</f>
        <v>190619968.18000001</v>
      </c>
      <c r="F83" s="217">
        <f>F11+F45+F64+F73</f>
        <v>40372901</v>
      </c>
    </row>
    <row r="84" spans="1:6" s="22" customFormat="1" ht="15.75" x14ac:dyDescent="0.2">
      <c r="A84" s="19">
        <v>4000000</v>
      </c>
      <c r="B84" s="101" t="s">
        <v>536</v>
      </c>
      <c r="C84" s="216">
        <f t="shared" si="1"/>
        <v>569857278.94000006</v>
      </c>
      <c r="D84" s="217">
        <f>SUM(D85,D87)</f>
        <v>568840507.94000006</v>
      </c>
      <c r="E84" s="33">
        <v>1016771</v>
      </c>
      <c r="F84" s="33">
        <v>1016771</v>
      </c>
    </row>
    <row r="85" spans="1:6" s="323" customFormat="1" ht="25.5" x14ac:dyDescent="0.2">
      <c r="A85" s="17">
        <v>41040000</v>
      </c>
      <c r="B85" s="58" t="s">
        <v>420</v>
      </c>
      <c r="C85" s="25">
        <f t="shared" si="1"/>
        <v>9230100</v>
      </c>
      <c r="D85" s="156">
        <v>9230100</v>
      </c>
      <c r="E85" s="156"/>
      <c r="F85" s="156"/>
    </row>
    <row r="86" spans="1:6" s="22" customFormat="1" ht="57" customHeight="1" x14ac:dyDescent="0.2">
      <c r="A86" s="23">
        <v>41040200</v>
      </c>
      <c r="B86" s="309" t="s">
        <v>419</v>
      </c>
      <c r="C86" s="21">
        <f t="shared" si="1"/>
        <v>9230100</v>
      </c>
      <c r="D86" s="33">
        <v>9230100</v>
      </c>
      <c r="E86" s="33"/>
      <c r="F86" s="33"/>
    </row>
    <row r="87" spans="1:6" s="22" customFormat="1" ht="14.25" x14ac:dyDescent="0.2">
      <c r="A87" s="19">
        <v>40000000</v>
      </c>
      <c r="B87" s="39" t="s">
        <v>141</v>
      </c>
      <c r="C87" s="21">
        <f t="shared" si="1"/>
        <v>560627178.94000006</v>
      </c>
      <c r="D87" s="33">
        <f>SUM(D88,D91)</f>
        <v>559610407.94000006</v>
      </c>
      <c r="E87" s="33">
        <v>1016771</v>
      </c>
      <c r="F87" s="21">
        <v>1016771</v>
      </c>
    </row>
    <row r="88" spans="1:6" s="323" customFormat="1" ht="25.5" x14ac:dyDescent="0.2">
      <c r="A88" s="17">
        <v>4103000</v>
      </c>
      <c r="B88" s="24" t="s">
        <v>576</v>
      </c>
      <c r="C88" s="25">
        <f t="shared" si="1"/>
        <v>509706400</v>
      </c>
      <c r="D88" s="156">
        <f>SUM(D89:D90)</f>
        <v>509706400</v>
      </c>
      <c r="E88" s="156"/>
      <c r="F88" s="25"/>
    </row>
    <row r="89" spans="1:6" s="22" customFormat="1" ht="25.5" x14ac:dyDescent="0.2">
      <c r="A89" s="23">
        <v>41033900</v>
      </c>
      <c r="B89" s="49" t="s">
        <v>142</v>
      </c>
      <c r="C89" s="21">
        <f t="shared" si="1"/>
        <v>456963700</v>
      </c>
      <c r="D89" s="26">
        <v>456963700</v>
      </c>
      <c r="E89" s="21"/>
      <c r="F89" s="21"/>
    </row>
    <row r="90" spans="1:6" s="22" customFormat="1" ht="25.5" x14ac:dyDescent="0.2">
      <c r="A90" s="23">
        <v>41034200</v>
      </c>
      <c r="B90" s="49" t="s">
        <v>143</v>
      </c>
      <c r="C90" s="21">
        <f t="shared" si="1"/>
        <v>52742700</v>
      </c>
      <c r="D90" s="26">
        <v>52742700</v>
      </c>
      <c r="E90" s="21"/>
      <c r="F90" s="21"/>
    </row>
    <row r="91" spans="1:6" s="323" customFormat="1" ht="25.5" x14ac:dyDescent="0.2">
      <c r="A91" s="17">
        <v>41050000</v>
      </c>
      <c r="B91" s="24" t="s">
        <v>668</v>
      </c>
      <c r="C91" s="25">
        <f>SUM(D91,E91)</f>
        <v>50920778.939999998</v>
      </c>
      <c r="D91" s="25">
        <f>SUM(D92:D102,D107)</f>
        <v>49904007.939999998</v>
      </c>
      <c r="E91" s="25">
        <v>1016771</v>
      </c>
      <c r="F91" s="25">
        <v>1016771</v>
      </c>
    </row>
    <row r="92" spans="1:6" s="323" customFormat="1" ht="114" customHeight="1" x14ac:dyDescent="0.2">
      <c r="A92" s="358">
        <v>41050900</v>
      </c>
      <c r="B92" s="49" t="s">
        <v>947</v>
      </c>
      <c r="C92" s="25">
        <v>2319792</v>
      </c>
      <c r="D92" s="25">
        <v>2319792</v>
      </c>
      <c r="E92" s="25"/>
      <c r="F92" s="25"/>
    </row>
    <row r="93" spans="1:6" s="22" customFormat="1" ht="38.25" x14ac:dyDescent="0.2">
      <c r="A93" s="23">
        <v>41051000</v>
      </c>
      <c r="B93" s="49" t="s">
        <v>669</v>
      </c>
      <c r="C93" s="21">
        <f t="shared" ref="C93:C108" si="2">SUM(D93,E93)</f>
        <v>5780280</v>
      </c>
      <c r="D93" s="26">
        <v>5780280</v>
      </c>
      <c r="E93" s="21"/>
      <c r="F93" s="21"/>
    </row>
    <row r="94" spans="1:6" s="22" customFormat="1" ht="38.25" x14ac:dyDescent="0.2">
      <c r="A94" s="23">
        <v>41051100</v>
      </c>
      <c r="B94" s="49" t="s">
        <v>927</v>
      </c>
      <c r="C94" s="21">
        <v>1016771</v>
      </c>
      <c r="D94" s="26"/>
      <c r="E94" s="26">
        <v>1016771</v>
      </c>
      <c r="F94" s="26">
        <v>1016771</v>
      </c>
    </row>
    <row r="95" spans="1:6" s="22" customFormat="1" ht="51" x14ac:dyDescent="0.2">
      <c r="A95" s="23">
        <v>41051200</v>
      </c>
      <c r="B95" s="49" t="s">
        <v>670</v>
      </c>
      <c r="C95" s="21">
        <f t="shared" si="2"/>
        <v>6140049</v>
      </c>
      <c r="D95" s="26">
        <v>6140049</v>
      </c>
      <c r="E95" s="21"/>
      <c r="F95" s="21"/>
    </row>
    <row r="96" spans="1:6" s="22" customFormat="1" ht="38.25" customHeight="1" x14ac:dyDescent="0.2">
      <c r="A96" s="23">
        <v>41051400</v>
      </c>
      <c r="B96" s="49" t="s">
        <v>865</v>
      </c>
      <c r="C96" s="21">
        <f t="shared" si="2"/>
        <v>5697426</v>
      </c>
      <c r="D96" s="26">
        <v>5697426</v>
      </c>
      <c r="E96" s="21"/>
      <c r="F96" s="21"/>
    </row>
    <row r="97" spans="1:6" s="22" customFormat="1" ht="38.25" x14ac:dyDescent="0.2">
      <c r="A97" s="23">
        <v>41051500</v>
      </c>
      <c r="B97" s="49" t="s">
        <v>671</v>
      </c>
      <c r="C97" s="21">
        <f t="shared" si="2"/>
        <v>4328800</v>
      </c>
      <c r="D97" s="26">
        <v>4328800</v>
      </c>
      <c r="E97" s="21"/>
      <c r="F97" s="21"/>
    </row>
    <row r="98" spans="1:6" s="22" customFormat="1" ht="255" x14ac:dyDescent="0.2">
      <c r="A98" s="23">
        <v>41050400</v>
      </c>
      <c r="B98" s="49" t="s">
        <v>941</v>
      </c>
      <c r="C98" s="21">
        <f t="shared" si="2"/>
        <v>4456154.9400000004</v>
      </c>
      <c r="D98" s="26">
        <v>4456154.9400000004</v>
      </c>
      <c r="E98" s="21"/>
      <c r="F98" s="21"/>
    </row>
    <row r="99" spans="1:6" s="22" customFormat="1" ht="306" x14ac:dyDescent="0.2">
      <c r="A99" s="23">
        <v>41050600</v>
      </c>
      <c r="B99" s="49" t="s">
        <v>942</v>
      </c>
      <c r="C99" s="21">
        <f t="shared" si="2"/>
        <v>1917540</v>
      </c>
      <c r="D99" s="26">
        <v>1917540</v>
      </c>
      <c r="E99" s="21"/>
      <c r="F99" s="21"/>
    </row>
    <row r="100" spans="1:6" s="22" customFormat="1" ht="204" x14ac:dyDescent="0.2">
      <c r="A100" s="23">
        <v>41054200</v>
      </c>
      <c r="B100" s="49" t="s">
        <v>943</v>
      </c>
      <c r="C100" s="21">
        <f t="shared" si="2"/>
        <v>1344563</v>
      </c>
      <c r="D100" s="26">
        <v>1344563</v>
      </c>
      <c r="E100" s="21"/>
      <c r="F100" s="21"/>
    </row>
    <row r="101" spans="1:6" s="22" customFormat="1" ht="51" x14ac:dyDescent="0.2">
      <c r="A101" s="23">
        <v>41053000</v>
      </c>
      <c r="B101" s="49" t="s">
        <v>948</v>
      </c>
      <c r="C101" s="21">
        <f t="shared" si="2"/>
        <v>6767985</v>
      </c>
      <c r="D101" s="26">
        <v>6767985</v>
      </c>
      <c r="E101" s="21"/>
      <c r="F101" s="21"/>
    </row>
    <row r="102" spans="1:6" s="22" customFormat="1" ht="21.75" customHeight="1" x14ac:dyDescent="0.2">
      <c r="A102" s="23">
        <v>41053900</v>
      </c>
      <c r="B102" s="49" t="s">
        <v>672</v>
      </c>
      <c r="C102" s="21">
        <f t="shared" si="2"/>
        <v>646818</v>
      </c>
      <c r="D102" s="26">
        <f>SUM(D103:D106)</f>
        <v>646818</v>
      </c>
      <c r="E102" s="21"/>
      <c r="F102" s="21"/>
    </row>
    <row r="103" spans="1:6" s="22" customFormat="1" ht="38.25" x14ac:dyDescent="0.2">
      <c r="A103" s="23"/>
      <c r="B103" s="49" t="s">
        <v>673</v>
      </c>
      <c r="C103" s="21">
        <f t="shared" si="2"/>
        <v>194834</v>
      </c>
      <c r="D103" s="26">
        <v>194834</v>
      </c>
      <c r="E103" s="21"/>
      <c r="F103" s="21"/>
    </row>
    <row r="104" spans="1:6" s="22" customFormat="1" ht="38.25" x14ac:dyDescent="0.2">
      <c r="A104" s="23"/>
      <c r="B104" s="49" t="s">
        <v>674</v>
      </c>
      <c r="C104" s="21">
        <f t="shared" si="2"/>
        <v>164029</v>
      </c>
      <c r="D104" s="26">
        <v>164029</v>
      </c>
      <c r="E104" s="21"/>
      <c r="F104" s="21"/>
    </row>
    <row r="105" spans="1:6" s="22" customFormat="1" ht="25.5" x14ac:dyDescent="0.2">
      <c r="A105" s="23"/>
      <c r="B105" s="49" t="s">
        <v>675</v>
      </c>
      <c r="C105" s="21">
        <f t="shared" si="2"/>
        <v>249955</v>
      </c>
      <c r="D105" s="26">
        <v>249955</v>
      </c>
      <c r="E105" s="21"/>
      <c r="F105" s="21"/>
    </row>
    <row r="106" spans="1:6" s="22" customFormat="1" ht="25.5" x14ac:dyDescent="0.2">
      <c r="A106" s="23"/>
      <c r="B106" s="49" t="s">
        <v>946</v>
      </c>
      <c r="C106" s="21">
        <f t="shared" si="2"/>
        <v>38000</v>
      </c>
      <c r="D106" s="26">
        <v>38000</v>
      </c>
      <c r="E106" s="21"/>
      <c r="F106" s="21"/>
    </row>
    <row r="107" spans="1:6" s="22" customFormat="1" ht="51" x14ac:dyDescent="0.2">
      <c r="A107" s="23">
        <v>41055000</v>
      </c>
      <c r="B107" s="49" t="s">
        <v>866</v>
      </c>
      <c r="C107" s="490">
        <f t="shared" si="2"/>
        <v>10504600</v>
      </c>
      <c r="D107" s="26">
        <v>10504600</v>
      </c>
      <c r="E107" s="21"/>
      <c r="F107" s="21"/>
    </row>
    <row r="108" spans="1:6" s="62" customFormat="1" ht="20.25" x14ac:dyDescent="0.25">
      <c r="A108" s="60"/>
      <c r="B108" s="61" t="s">
        <v>693</v>
      </c>
      <c r="C108" s="21">
        <f t="shared" si="2"/>
        <v>2661479610.1199999</v>
      </c>
      <c r="D108" s="33">
        <f>SUM(D83,D85,D87)</f>
        <v>2469842870.9400001</v>
      </c>
      <c r="E108" s="33">
        <f>SUM(E83,E87)</f>
        <v>191636739.18000001</v>
      </c>
      <c r="F108" s="33">
        <f>SUM(F83,F87)</f>
        <v>41389672</v>
      </c>
    </row>
    <row r="110" spans="1:6" ht="15" hidden="1" customHeight="1" x14ac:dyDescent="0.25">
      <c r="B110" s="127"/>
      <c r="E110" s="127"/>
    </row>
    <row r="111" spans="1:6" ht="14.25" customHeight="1" x14ac:dyDescent="0.25">
      <c r="B111" s="127" t="s">
        <v>999</v>
      </c>
      <c r="E111" s="127" t="s">
        <v>1000</v>
      </c>
    </row>
    <row r="112" spans="1:6" ht="1.5" customHeight="1" x14ac:dyDescent="0.25">
      <c r="B112" s="127"/>
      <c r="E112" s="127"/>
    </row>
    <row r="113" spans="1:6" ht="29.25" hidden="1" customHeight="1" x14ac:dyDescent="0.25">
      <c r="A113" s="62"/>
      <c r="B113" s="127" t="s">
        <v>920</v>
      </c>
      <c r="C113" s="127"/>
      <c r="D113" s="127"/>
      <c r="E113" s="127" t="s">
        <v>921</v>
      </c>
      <c r="F113" s="62"/>
    </row>
    <row r="115" spans="1:6" x14ac:dyDescent="0.2">
      <c r="D115" s="63"/>
    </row>
    <row r="116" spans="1:6" x14ac:dyDescent="0.2">
      <c r="D116" s="64"/>
    </row>
    <row r="159" spans="5:5" ht="18.75" x14ac:dyDescent="0.3">
      <c r="E159" s="90"/>
    </row>
  </sheetData>
  <mergeCells count="10">
    <mergeCell ref="D1:G1"/>
    <mergeCell ref="D2:G2"/>
    <mergeCell ref="D3:G3"/>
    <mergeCell ref="A4:E4"/>
    <mergeCell ref="A5:E5"/>
    <mergeCell ref="A8:A9"/>
    <mergeCell ref="B8:B9"/>
    <mergeCell ref="C8:C9"/>
    <mergeCell ref="D8:D9"/>
    <mergeCell ref="E8:F8"/>
  </mergeCells>
  <hyperlinks>
    <hyperlink ref="B74" location="_ftn1" display="_ftn1" xr:uid="{00000000-0004-0000-0000-000000000000}"/>
    <hyperlink ref="B73" location="_ftn1" display="_ftn1" xr:uid="{00000000-0004-0000-0000-000001000000}"/>
    <hyperlink ref="B59" location="_ftn1" display="_ftn1" xr:uid="{00000000-0004-0000-0000-000002000000}"/>
    <hyperlink ref="B16" location="_ftn1" display="_ftn1" xr:uid="{00000000-0004-0000-0000-000003000000}"/>
    <hyperlink ref="B15" location="_ftn1" display="_ftn1" xr:uid="{00000000-0004-0000-0000-000004000000}"/>
    <hyperlink ref="B43" location="_ftn1" display="_ftn1" xr:uid="{00000000-0004-0000-0000-000005000000}"/>
    <hyperlink ref="B77" location="_ftn1" display="_ftn1" xr:uid="{00000000-0004-0000-0000-000006000000}"/>
    <hyperlink ref="B78" location="_ftn1" display="_ftn1" xr:uid="{00000000-0004-0000-0000-000007000000}"/>
    <hyperlink ref="B48" location="_ftn1" display="_ftn1" xr:uid="{00000000-0004-0000-0000-000008000000}"/>
    <hyperlink ref="B49" location="_ftn1" display="_ftn1" xr:uid="{00000000-0004-0000-0000-000009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5" fitToHeight="0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2:T187"/>
  <sheetViews>
    <sheetView view="pageBreakPreview" zoomScale="25" zoomScaleNormal="25" zoomScaleSheetLayoutView="25" zoomScalePageLayoutView="10" workbookViewId="0">
      <pane ySplit="15" topLeftCell="A74" activePane="bottomLeft" state="frozen"/>
      <selection activeCell="G18" sqref="G18"/>
      <selection pane="bottomLeft" activeCell="F51" sqref="F51"/>
    </sheetView>
  </sheetViews>
  <sheetFormatPr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5" customWidth="1"/>
    <col min="6" max="6" width="62.5703125" style="1" customWidth="1"/>
    <col min="7" max="7" width="55.42578125" style="1" customWidth="1"/>
    <col min="8" max="8" width="48.140625" style="1" customWidth="1"/>
    <col min="9" max="9" width="41.85546875" style="1" customWidth="1"/>
    <col min="10" max="10" width="50.5703125" style="5" customWidth="1"/>
    <col min="11" max="11" width="52.5703125" style="5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56.140625" style="1" bestFit="1" customWidth="1"/>
    <col min="16" max="16" width="86.28515625" style="5" customWidth="1"/>
    <col min="17" max="17" width="52.140625" style="428" customWidth="1"/>
    <col min="18" max="18" width="66.42578125" style="428" bestFit="1" customWidth="1"/>
    <col min="19" max="19" width="9.140625" style="428"/>
    <col min="20" max="20" width="24.7109375" style="428" bestFit="1" customWidth="1"/>
    <col min="21" max="16384" width="9.140625" style="428"/>
  </cols>
  <sheetData>
    <row r="2" spans="1:18" ht="45.75" x14ac:dyDescent="0.2">
      <c r="D2" s="436"/>
      <c r="E2" s="437"/>
      <c r="F2" s="435"/>
      <c r="G2" s="437"/>
      <c r="H2" s="437"/>
      <c r="I2" s="437"/>
      <c r="J2" s="437"/>
      <c r="K2" s="437"/>
      <c r="L2" s="437"/>
      <c r="M2" s="437"/>
      <c r="N2" s="547" t="s">
        <v>702</v>
      </c>
      <c r="O2" s="526"/>
      <c r="P2" s="526"/>
      <c r="Q2" s="526"/>
    </row>
    <row r="3" spans="1:18" ht="45.75" x14ac:dyDescent="0.2">
      <c r="A3" s="436"/>
      <c r="B3" s="436"/>
      <c r="C3" s="436"/>
      <c r="D3" s="436"/>
      <c r="E3" s="437"/>
      <c r="F3" s="435"/>
      <c r="G3" s="437"/>
      <c r="H3" s="437"/>
      <c r="I3" s="437"/>
      <c r="J3" s="437"/>
      <c r="K3" s="437"/>
      <c r="L3" s="437"/>
      <c r="M3" s="437"/>
      <c r="N3" s="547" t="s">
        <v>937</v>
      </c>
      <c r="O3" s="548"/>
      <c r="P3" s="548"/>
      <c r="Q3" s="548"/>
    </row>
    <row r="4" spans="1:18" ht="40.700000000000003" customHeight="1" x14ac:dyDescent="0.2">
      <c r="A4" s="436"/>
      <c r="B4" s="436"/>
      <c r="C4" s="436"/>
      <c r="D4" s="436"/>
      <c r="E4" s="437"/>
      <c r="F4" s="435"/>
      <c r="G4" s="437"/>
      <c r="H4" s="437"/>
      <c r="I4" s="437"/>
      <c r="J4" s="437"/>
      <c r="K4" s="437"/>
      <c r="L4" s="437"/>
      <c r="M4" s="437"/>
      <c r="N4" s="437"/>
      <c r="O4" s="547"/>
      <c r="P4" s="549"/>
    </row>
    <row r="5" spans="1:18" ht="45.75" hidden="1" x14ac:dyDescent="0.2">
      <c r="A5" s="436"/>
      <c r="B5" s="436"/>
      <c r="C5" s="436"/>
      <c r="D5" s="436"/>
      <c r="E5" s="437"/>
      <c r="F5" s="435"/>
      <c r="G5" s="437"/>
      <c r="H5" s="437"/>
      <c r="I5" s="437"/>
      <c r="J5" s="437"/>
      <c r="K5" s="437"/>
      <c r="L5" s="437"/>
      <c r="M5" s="437"/>
      <c r="N5" s="437"/>
      <c r="O5" s="436"/>
      <c r="P5" s="435"/>
    </row>
    <row r="6" spans="1:18" ht="45" x14ac:dyDescent="0.2">
      <c r="A6" s="550" t="s">
        <v>977</v>
      </c>
      <c r="B6" s="550"/>
      <c r="C6" s="550"/>
      <c r="D6" s="550"/>
      <c r="E6" s="550"/>
      <c r="F6" s="550"/>
      <c r="G6" s="550"/>
      <c r="H6" s="550"/>
      <c r="I6" s="550"/>
      <c r="J6" s="550"/>
      <c r="K6" s="550"/>
      <c r="L6" s="550"/>
      <c r="M6" s="550"/>
      <c r="N6" s="550"/>
      <c r="O6" s="550"/>
      <c r="P6" s="550"/>
    </row>
    <row r="7" spans="1:18" ht="45" x14ac:dyDescent="0.2">
      <c r="A7" s="550" t="s">
        <v>581</v>
      </c>
      <c r="B7" s="550"/>
      <c r="C7" s="550"/>
      <c r="D7" s="550"/>
      <c r="E7" s="550"/>
      <c r="F7" s="550"/>
      <c r="G7" s="550"/>
      <c r="H7" s="550"/>
      <c r="I7" s="550"/>
      <c r="J7" s="550"/>
      <c r="K7" s="550"/>
      <c r="L7" s="550"/>
      <c r="M7" s="550"/>
      <c r="N7" s="550"/>
      <c r="O7" s="550"/>
      <c r="P7" s="550"/>
    </row>
    <row r="8" spans="1:18" ht="45" x14ac:dyDescent="0.2">
      <c r="A8" s="437"/>
      <c r="B8" s="437"/>
      <c r="C8" s="437"/>
      <c r="D8" s="437"/>
      <c r="E8" s="437"/>
      <c r="F8" s="437"/>
      <c r="G8" s="437"/>
      <c r="H8" s="437"/>
      <c r="I8" s="437"/>
      <c r="J8" s="437"/>
      <c r="K8" s="437"/>
      <c r="L8" s="437"/>
      <c r="M8" s="437"/>
      <c r="N8" s="437"/>
      <c r="O8" s="437"/>
      <c r="P8" s="437"/>
    </row>
    <row r="9" spans="1:18" ht="45.75" x14ac:dyDescent="0.65">
      <c r="A9" s="551">
        <v>22201100000</v>
      </c>
      <c r="B9" s="552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437"/>
      <c r="N9" s="437"/>
      <c r="O9" s="437"/>
      <c r="P9" s="437"/>
    </row>
    <row r="10" spans="1:18" ht="45.75" x14ac:dyDescent="0.2">
      <c r="A10" s="542" t="s">
        <v>698</v>
      </c>
      <c r="B10" s="543"/>
      <c r="C10" s="437"/>
      <c r="D10" s="437"/>
      <c r="E10" s="437"/>
      <c r="F10" s="437"/>
      <c r="G10" s="437"/>
      <c r="H10" s="437"/>
      <c r="I10" s="437"/>
      <c r="J10" s="437"/>
      <c r="K10" s="437"/>
      <c r="L10" s="437"/>
      <c r="M10" s="437"/>
      <c r="N10" s="437"/>
      <c r="O10" s="437"/>
      <c r="P10" s="437"/>
    </row>
    <row r="11" spans="1:18" ht="53.45" customHeight="1" thickBot="1" x14ac:dyDescent="0.25">
      <c r="A11" s="437"/>
      <c r="B11" s="437"/>
      <c r="C11" s="437"/>
      <c r="D11" s="437"/>
      <c r="E11" s="437"/>
      <c r="F11" s="435"/>
      <c r="G11" s="437"/>
      <c r="H11" s="437"/>
      <c r="I11" s="437"/>
      <c r="J11" s="437"/>
      <c r="K11" s="437"/>
      <c r="L11" s="437"/>
      <c r="M11" s="437"/>
      <c r="N11" s="437"/>
      <c r="O11" s="437"/>
      <c r="P11" s="6" t="s">
        <v>493</v>
      </c>
    </row>
    <row r="12" spans="1:18" ht="62.45" customHeight="1" thickTop="1" thickBot="1" x14ac:dyDescent="0.25">
      <c r="A12" s="544" t="s">
        <v>699</v>
      </c>
      <c r="B12" s="544" t="s">
        <v>700</v>
      </c>
      <c r="C12" s="544" t="s">
        <v>479</v>
      </c>
      <c r="D12" s="544" t="s">
        <v>701</v>
      </c>
      <c r="E12" s="545" t="s">
        <v>14</v>
      </c>
      <c r="F12" s="545"/>
      <c r="G12" s="545"/>
      <c r="H12" s="545"/>
      <c r="I12" s="545"/>
      <c r="J12" s="545" t="s">
        <v>65</v>
      </c>
      <c r="K12" s="545"/>
      <c r="L12" s="545"/>
      <c r="M12" s="545"/>
      <c r="N12" s="545"/>
      <c r="O12" s="553"/>
      <c r="P12" s="545" t="s">
        <v>13</v>
      </c>
    </row>
    <row r="13" spans="1:18" ht="96" customHeight="1" thickTop="1" thickBot="1" x14ac:dyDescent="0.25">
      <c r="A13" s="545"/>
      <c r="B13" s="546"/>
      <c r="C13" s="546"/>
      <c r="D13" s="545"/>
      <c r="E13" s="544" t="s">
        <v>473</v>
      </c>
      <c r="F13" s="544" t="s">
        <v>66</v>
      </c>
      <c r="G13" s="544" t="s">
        <v>15</v>
      </c>
      <c r="H13" s="544"/>
      <c r="I13" s="544" t="s">
        <v>68</v>
      </c>
      <c r="J13" s="544" t="s">
        <v>473</v>
      </c>
      <c r="K13" s="544" t="s">
        <v>474</v>
      </c>
      <c r="L13" s="544" t="s">
        <v>66</v>
      </c>
      <c r="M13" s="544" t="s">
        <v>15</v>
      </c>
      <c r="N13" s="544"/>
      <c r="O13" s="544" t="s">
        <v>68</v>
      </c>
      <c r="P13" s="545"/>
    </row>
    <row r="14" spans="1:18" ht="276" customHeight="1" thickTop="1" thickBot="1" x14ac:dyDescent="0.25">
      <c r="A14" s="546"/>
      <c r="B14" s="546"/>
      <c r="C14" s="546"/>
      <c r="D14" s="546"/>
      <c r="E14" s="544"/>
      <c r="F14" s="544"/>
      <c r="G14" s="434" t="s">
        <v>67</v>
      </c>
      <c r="H14" s="434" t="s">
        <v>17</v>
      </c>
      <c r="I14" s="544"/>
      <c r="J14" s="544"/>
      <c r="K14" s="544"/>
      <c r="L14" s="544"/>
      <c r="M14" s="434" t="s">
        <v>67</v>
      </c>
      <c r="N14" s="434" t="s">
        <v>17</v>
      </c>
      <c r="O14" s="544"/>
      <c r="P14" s="545"/>
    </row>
    <row r="15" spans="1:18" s="2" customFormat="1" ht="111" customHeight="1" thickTop="1" thickBot="1" x14ac:dyDescent="0.25">
      <c r="A15" s="174" t="s">
        <v>3</v>
      </c>
      <c r="B15" s="174" t="s">
        <v>4</v>
      </c>
      <c r="C15" s="174" t="s">
        <v>16</v>
      </c>
      <c r="D15" s="174" t="s">
        <v>6</v>
      </c>
      <c r="E15" s="174" t="s">
        <v>481</v>
      </c>
      <c r="F15" s="174" t="s">
        <v>482</v>
      </c>
      <c r="G15" s="174" t="s">
        <v>483</v>
      </c>
      <c r="H15" s="174" t="s">
        <v>484</v>
      </c>
      <c r="I15" s="174" t="s">
        <v>485</v>
      </c>
      <c r="J15" s="174" t="s">
        <v>486</v>
      </c>
      <c r="K15" s="174" t="s">
        <v>487</v>
      </c>
      <c r="L15" s="174" t="s">
        <v>488</v>
      </c>
      <c r="M15" s="174" t="s">
        <v>489</v>
      </c>
      <c r="N15" s="174" t="s">
        <v>490</v>
      </c>
      <c r="O15" s="174" t="s">
        <v>491</v>
      </c>
      <c r="P15" s="174" t="s">
        <v>492</v>
      </c>
      <c r="Q15" s="327"/>
      <c r="R15" s="161"/>
    </row>
    <row r="16" spans="1:18" s="2" customFormat="1" ht="136.5" thickTop="1" thickBot="1" x14ac:dyDescent="0.25">
      <c r="A16" s="451" t="s">
        <v>188</v>
      </c>
      <c r="B16" s="451"/>
      <c r="C16" s="451"/>
      <c r="D16" s="452" t="s">
        <v>190</v>
      </c>
      <c r="E16" s="453">
        <f>E17</f>
        <v>-63500</v>
      </c>
      <c r="F16" s="454">
        <f t="shared" ref="F16:N16" si="0">F17</f>
        <v>-63500</v>
      </c>
      <c r="G16" s="454">
        <f t="shared" si="0"/>
        <v>0</v>
      </c>
      <c r="H16" s="454">
        <f t="shared" si="0"/>
        <v>-23500</v>
      </c>
      <c r="I16" s="453">
        <f t="shared" si="0"/>
        <v>0</v>
      </c>
      <c r="J16" s="453">
        <f t="shared" si="0"/>
        <v>356000</v>
      </c>
      <c r="K16" s="454">
        <f t="shared" si="0"/>
        <v>99000</v>
      </c>
      <c r="L16" s="454">
        <f t="shared" si="0"/>
        <v>257000</v>
      </c>
      <c r="M16" s="454">
        <f t="shared" si="0"/>
        <v>0</v>
      </c>
      <c r="N16" s="453">
        <f t="shared" si="0"/>
        <v>0</v>
      </c>
      <c r="O16" s="453">
        <f>O17</f>
        <v>99000</v>
      </c>
      <c r="P16" s="454">
        <f t="shared" ref="P16" si="1">P17</f>
        <v>292500</v>
      </c>
    </row>
    <row r="17" spans="1:20" s="2" customFormat="1" ht="136.5" thickTop="1" thickBot="1" x14ac:dyDescent="0.25">
      <c r="A17" s="455" t="s">
        <v>189</v>
      </c>
      <c r="B17" s="455"/>
      <c r="C17" s="455"/>
      <c r="D17" s="456" t="s">
        <v>191</v>
      </c>
      <c r="E17" s="457">
        <f>SUM(E18:E28)</f>
        <v>-63500</v>
      </c>
      <c r="F17" s="457">
        <f t="shared" ref="F17:O17" si="2">SUM(F18:F28)</f>
        <v>-63500</v>
      </c>
      <c r="G17" s="457">
        <f t="shared" si="2"/>
        <v>0</v>
      </c>
      <c r="H17" s="457">
        <f t="shared" si="2"/>
        <v>-23500</v>
      </c>
      <c r="I17" s="457">
        <f t="shared" si="2"/>
        <v>0</v>
      </c>
      <c r="J17" s="457">
        <f t="shared" ref="J17" si="3">L17+O17</f>
        <v>356000</v>
      </c>
      <c r="K17" s="457">
        <f t="shared" si="2"/>
        <v>99000</v>
      </c>
      <c r="L17" s="457">
        <f t="shared" si="2"/>
        <v>257000</v>
      </c>
      <c r="M17" s="457">
        <f t="shared" si="2"/>
        <v>0</v>
      </c>
      <c r="N17" s="457">
        <f t="shared" si="2"/>
        <v>0</v>
      </c>
      <c r="O17" s="457">
        <f t="shared" si="2"/>
        <v>99000</v>
      </c>
      <c r="P17" s="458">
        <f>E17+J17</f>
        <v>292500</v>
      </c>
      <c r="Q17" s="328" t="b">
        <f>P18+P19+P21+P22+P26+P27+P23+P25+P28+P20=P17</f>
        <v>1</v>
      </c>
      <c r="R17" s="328" t="b">
        <f>K17='d5'!J12</f>
        <v>0</v>
      </c>
    </row>
    <row r="18" spans="1:20" ht="321.75" thickTop="1" thickBot="1" x14ac:dyDescent="0.25">
      <c r="A18" s="431" t="s">
        <v>282</v>
      </c>
      <c r="B18" s="431" t="s">
        <v>283</v>
      </c>
      <c r="C18" s="431" t="s">
        <v>284</v>
      </c>
      <c r="D18" s="431" t="s">
        <v>281</v>
      </c>
      <c r="E18" s="228">
        <f>'d3'!E18-'d3-п'!E18</f>
        <v>-163500</v>
      </c>
      <c r="F18" s="228">
        <f>'d3'!F18-'d3-п'!F18</f>
        <v>-163500</v>
      </c>
      <c r="G18" s="228">
        <f>'d3'!G18-'d3-п'!G18</f>
        <v>0</v>
      </c>
      <c r="H18" s="228">
        <f>'d3'!H18-'d3-п'!H18</f>
        <v>-23500</v>
      </c>
      <c r="I18" s="228">
        <f>'d3'!I18-'d3-п'!I18</f>
        <v>0</v>
      </c>
      <c r="J18" s="228">
        <f>'d3'!J18-'d3-п'!J18</f>
        <v>99000</v>
      </c>
      <c r="K18" s="228">
        <f>'d3'!K18-'d3-п'!K18</f>
        <v>99000</v>
      </c>
      <c r="L18" s="228">
        <f>'d3'!L18-'d3-п'!L18</f>
        <v>0</v>
      </c>
      <c r="M18" s="228">
        <f>'d3'!M18-'d3-п'!M18</f>
        <v>0</v>
      </c>
      <c r="N18" s="228">
        <f>'d3'!N18-'d3-п'!N18</f>
        <v>0</v>
      </c>
      <c r="O18" s="228">
        <f>'d3'!O18-'d3-п'!O18</f>
        <v>99000</v>
      </c>
      <c r="P18" s="228">
        <f>'d3'!P18-'d3-п'!P18</f>
        <v>-64500</v>
      </c>
      <c r="Q18" s="329"/>
      <c r="R18" s="328" t="b">
        <f>K18='d5'!J13+'d5'!J14+'d5'!J15+'d5'!J16</f>
        <v>0</v>
      </c>
    </row>
    <row r="19" spans="1:20" ht="93" thickTop="1" thickBot="1" x14ac:dyDescent="0.25">
      <c r="A19" s="431" t="s">
        <v>297</v>
      </c>
      <c r="B19" s="431" t="s">
        <v>53</v>
      </c>
      <c r="C19" s="431" t="s">
        <v>52</v>
      </c>
      <c r="D19" s="431" t="s">
        <v>298</v>
      </c>
      <c r="E19" s="228">
        <f>'d3'!E19-'d3-п'!E19</f>
        <v>0</v>
      </c>
      <c r="F19" s="228">
        <f>'d3'!F19-'d3-п'!F19</f>
        <v>0</v>
      </c>
      <c r="G19" s="228">
        <f>'d3'!G19-'d3-п'!G19</f>
        <v>0</v>
      </c>
      <c r="H19" s="228">
        <f>'d3'!H19-'d3-п'!H19</f>
        <v>0</v>
      </c>
      <c r="I19" s="228">
        <f>'d3'!I19-'d3-п'!I19</f>
        <v>0</v>
      </c>
      <c r="J19" s="228">
        <f>'d3'!J19-'d3-п'!J19</f>
        <v>0</v>
      </c>
      <c r="K19" s="228">
        <f>'d3'!K19-'d3-п'!K19</f>
        <v>0</v>
      </c>
      <c r="L19" s="228">
        <f>'d3'!L19-'d3-п'!L19</f>
        <v>0</v>
      </c>
      <c r="M19" s="228">
        <f>'d3'!M19-'d3-п'!M19</f>
        <v>0</v>
      </c>
      <c r="N19" s="228">
        <f>'d3'!N19-'d3-п'!N19</f>
        <v>0</v>
      </c>
      <c r="O19" s="228">
        <f>'d3'!O19-'d3-п'!O19</f>
        <v>0</v>
      </c>
      <c r="P19" s="228">
        <f>'d3'!P19-'d3-п'!P19</f>
        <v>0</v>
      </c>
      <c r="Q19" s="329"/>
      <c r="R19" s="328"/>
    </row>
    <row r="20" spans="1:20" ht="48" thickTop="1" thickBot="1" x14ac:dyDescent="0.25">
      <c r="A20" s="431" t="s">
        <v>972</v>
      </c>
      <c r="B20" s="431" t="s">
        <v>973</v>
      </c>
      <c r="C20" s="431" t="s">
        <v>286</v>
      </c>
      <c r="D20" s="431" t="s">
        <v>974</v>
      </c>
      <c r="E20" s="228">
        <f>'d3'!E20-'d3-п'!E20</f>
        <v>0</v>
      </c>
      <c r="F20" s="228">
        <f>'d3'!F20-'d3-п'!F20</f>
        <v>0</v>
      </c>
      <c r="G20" s="228">
        <f>'d3'!G20-'d3-п'!G20</f>
        <v>0</v>
      </c>
      <c r="H20" s="228">
        <f>'d3'!H20-'d3-п'!H20</f>
        <v>0</v>
      </c>
      <c r="I20" s="228">
        <f>'d3'!I20-'d3-п'!I20</f>
        <v>0</v>
      </c>
      <c r="J20" s="228">
        <f>'d3'!J20-'d3-п'!J20</f>
        <v>0</v>
      </c>
      <c r="K20" s="228">
        <f>'d3'!K20-'d3-п'!K20</f>
        <v>0</v>
      </c>
      <c r="L20" s="228">
        <f>'d3'!L20-'d3-п'!L20</f>
        <v>0</v>
      </c>
      <c r="M20" s="228">
        <f>'d3'!M20-'d3-п'!M20</f>
        <v>0</v>
      </c>
      <c r="N20" s="228">
        <f>'d3'!N20-'d3-п'!N20</f>
        <v>0</v>
      </c>
      <c r="O20" s="228">
        <f>'d3'!O20-'d3-п'!O20</f>
        <v>0</v>
      </c>
      <c r="P20" s="228">
        <f>'d3'!P20-'d3-п'!P20</f>
        <v>0</v>
      </c>
      <c r="Q20" s="329"/>
      <c r="R20" s="328"/>
    </row>
    <row r="21" spans="1:20" ht="93" thickTop="1" thickBot="1" x14ac:dyDescent="0.25">
      <c r="A21" s="431" t="s">
        <v>288</v>
      </c>
      <c r="B21" s="431" t="s">
        <v>289</v>
      </c>
      <c r="C21" s="431" t="s">
        <v>290</v>
      </c>
      <c r="D21" s="431" t="s">
        <v>287</v>
      </c>
      <c r="E21" s="228">
        <f>'d3'!E21-'d3-п'!E21</f>
        <v>0</v>
      </c>
      <c r="F21" s="228">
        <f>'d3'!F21-'d3-п'!F21</f>
        <v>0</v>
      </c>
      <c r="G21" s="228">
        <f>'d3'!G21-'d3-п'!G21</f>
        <v>0</v>
      </c>
      <c r="H21" s="228">
        <f>'d3'!H21-'d3-п'!H21</f>
        <v>0</v>
      </c>
      <c r="I21" s="228">
        <f>'d3'!I21-'d3-п'!I21</f>
        <v>0</v>
      </c>
      <c r="J21" s="228">
        <f>'d3'!J21-'d3-п'!J21</f>
        <v>0</v>
      </c>
      <c r="K21" s="228">
        <f>'d3'!K21-'d3-п'!K21</f>
        <v>0</v>
      </c>
      <c r="L21" s="228">
        <f>'d3'!L21-'d3-п'!L21</f>
        <v>0</v>
      </c>
      <c r="M21" s="228">
        <f>'d3'!M21-'d3-п'!M21</f>
        <v>0</v>
      </c>
      <c r="N21" s="228">
        <f>'d3'!N21-'d3-п'!N21</f>
        <v>0</v>
      </c>
      <c r="O21" s="228">
        <f>'d3'!O21-'d3-п'!O21</f>
        <v>0</v>
      </c>
      <c r="P21" s="228">
        <f>'d3'!P21-'d3-п'!P21</f>
        <v>0</v>
      </c>
      <c r="Q21" s="329"/>
      <c r="R21" s="328" t="b">
        <f>K21='d5'!J18</f>
        <v>0</v>
      </c>
    </row>
    <row r="22" spans="1:20" ht="138.75" thickTop="1" thickBot="1" x14ac:dyDescent="0.25">
      <c r="A22" s="431" t="s">
        <v>354</v>
      </c>
      <c r="B22" s="431" t="s">
        <v>355</v>
      </c>
      <c r="C22" s="431" t="s">
        <v>210</v>
      </c>
      <c r="D22" s="431" t="s">
        <v>589</v>
      </c>
      <c r="E22" s="228">
        <f>'d3'!E22-'d3-п'!E22</f>
        <v>0</v>
      </c>
      <c r="F22" s="228">
        <f>'d3'!F22-'d3-п'!F22</f>
        <v>0</v>
      </c>
      <c r="G22" s="228">
        <f>'d3'!G22-'d3-п'!G22</f>
        <v>0</v>
      </c>
      <c r="H22" s="228">
        <f>'d3'!H22-'d3-п'!H22</f>
        <v>0</v>
      </c>
      <c r="I22" s="228">
        <f>'d3'!I22-'d3-п'!I22</f>
        <v>0</v>
      </c>
      <c r="J22" s="228">
        <f>'d3'!J22-'d3-п'!J22</f>
        <v>0</v>
      </c>
      <c r="K22" s="228">
        <f>'d3'!K22-'d3-п'!K22</f>
        <v>0</v>
      </c>
      <c r="L22" s="228">
        <f>'d3'!L22-'d3-п'!L22</f>
        <v>0</v>
      </c>
      <c r="M22" s="228">
        <f>'d3'!M22-'d3-п'!M22</f>
        <v>0</v>
      </c>
      <c r="N22" s="228">
        <f>'d3'!N22-'d3-п'!N22</f>
        <v>0</v>
      </c>
      <c r="O22" s="228">
        <f>'d3'!O22-'d3-п'!O22</f>
        <v>0</v>
      </c>
      <c r="P22" s="228">
        <f>'d3'!P22-'d3-п'!P22</f>
        <v>0</v>
      </c>
      <c r="Q22" s="329"/>
      <c r="R22" s="328"/>
    </row>
    <row r="23" spans="1:20" s="94" customFormat="1" ht="361.5" customHeight="1" thickTop="1" thickBot="1" x14ac:dyDescent="0.7">
      <c r="A23" s="554" t="s">
        <v>413</v>
      </c>
      <c r="B23" s="554" t="s">
        <v>412</v>
      </c>
      <c r="C23" s="554" t="s">
        <v>210</v>
      </c>
      <c r="D23" s="234" t="s">
        <v>585</v>
      </c>
      <c r="E23" s="568">
        <f>'d3'!E23-'d3-п'!E23</f>
        <v>0</v>
      </c>
      <c r="F23" s="568">
        <f>'d3'!F23-'d3-п'!F23</f>
        <v>0</v>
      </c>
      <c r="G23" s="568">
        <f>'d3'!G23-'d3-п'!G23</f>
        <v>0</v>
      </c>
      <c r="H23" s="568">
        <f>'d3'!H23-'d3-п'!H23</f>
        <v>0</v>
      </c>
      <c r="I23" s="568">
        <f>'d3'!I23-'d3-п'!I23</f>
        <v>0</v>
      </c>
      <c r="J23" s="568">
        <f>'d3'!J23-'d3-п'!J23</f>
        <v>257000</v>
      </c>
      <c r="K23" s="568">
        <f>'d3'!K23-'d3-п'!K23</f>
        <v>0</v>
      </c>
      <c r="L23" s="568">
        <f>'d3'!L23-'d3-п'!L23</f>
        <v>257000</v>
      </c>
      <c r="M23" s="568">
        <f>'d3'!M23-'d3-п'!M23</f>
        <v>0</v>
      </c>
      <c r="N23" s="568">
        <f>'d3'!N23-'d3-п'!N23</f>
        <v>0</v>
      </c>
      <c r="O23" s="568">
        <f>'d3'!O23-'d3-п'!O23</f>
        <v>0</v>
      </c>
      <c r="P23" s="568">
        <f>'d3'!P23-'d3-п'!P23</f>
        <v>257000</v>
      </c>
      <c r="Q23" s="330">
        <f>P23</f>
        <v>257000</v>
      </c>
    </row>
    <row r="24" spans="1:20" s="94" customFormat="1" ht="184.5" thickTop="1" thickBot="1" x14ac:dyDescent="0.25">
      <c r="A24" s="555"/>
      <c r="B24" s="555"/>
      <c r="C24" s="555"/>
      <c r="D24" s="235" t="s">
        <v>586</v>
      </c>
      <c r="E24" s="652"/>
      <c r="F24" s="652"/>
      <c r="G24" s="652"/>
      <c r="H24" s="652"/>
      <c r="I24" s="652"/>
      <c r="J24" s="652"/>
      <c r="K24" s="652"/>
      <c r="L24" s="652"/>
      <c r="M24" s="652"/>
      <c r="N24" s="652"/>
      <c r="O24" s="652"/>
      <c r="P24" s="652"/>
    </row>
    <row r="25" spans="1:20" s="94" customFormat="1" ht="93" hidden="1" thickTop="1" thickBot="1" x14ac:dyDescent="0.25">
      <c r="A25" s="431" t="s">
        <v>734</v>
      </c>
      <c r="B25" s="431" t="s">
        <v>308</v>
      </c>
      <c r="C25" s="431" t="s">
        <v>210</v>
      </c>
      <c r="D25" s="431" t="s">
        <v>306</v>
      </c>
      <c r="E25" s="430"/>
      <c r="F25" s="228"/>
      <c r="G25" s="432"/>
      <c r="H25" s="432"/>
      <c r="I25" s="432"/>
      <c r="J25" s="407"/>
      <c r="K25" s="412"/>
      <c r="L25" s="411"/>
      <c r="M25" s="411"/>
      <c r="N25" s="411"/>
      <c r="O25" s="413"/>
      <c r="P25" s="407"/>
    </row>
    <row r="26" spans="1:20" ht="93" thickTop="1" thickBot="1" x14ac:dyDescent="0.25">
      <c r="A26" s="431" t="s">
        <v>291</v>
      </c>
      <c r="B26" s="431" t="s">
        <v>292</v>
      </c>
      <c r="C26" s="431" t="s">
        <v>293</v>
      </c>
      <c r="D26" s="431" t="s">
        <v>294</v>
      </c>
      <c r="E26" s="228">
        <f>'d3'!E26-'d3-п'!E26</f>
        <v>0</v>
      </c>
      <c r="F26" s="228">
        <f>'d3'!F26-'d3-п'!F26</f>
        <v>0</v>
      </c>
      <c r="G26" s="228">
        <f>'d3'!G26-'d3-п'!G26</f>
        <v>0</v>
      </c>
      <c r="H26" s="228">
        <f>'d3'!H26-'d3-п'!H26</f>
        <v>0</v>
      </c>
      <c r="I26" s="228">
        <f>'d3'!I26-'d3-п'!I26</f>
        <v>0</v>
      </c>
      <c r="J26" s="228">
        <f>'d3'!J26-'d3-п'!J26</f>
        <v>0</v>
      </c>
      <c r="K26" s="228">
        <f>'d3'!K26-'d3-п'!K26</f>
        <v>0</v>
      </c>
      <c r="L26" s="228">
        <f>'d3'!L26-'d3-п'!L26</f>
        <v>0</v>
      </c>
      <c r="M26" s="228">
        <f>'d3'!M26-'d3-п'!M26</f>
        <v>0</v>
      </c>
      <c r="N26" s="228">
        <f>'d3'!N26-'d3-п'!N26</f>
        <v>0</v>
      </c>
      <c r="O26" s="228">
        <f>'d3'!O26-'d3-п'!O26</f>
        <v>0</v>
      </c>
      <c r="P26" s="228">
        <f>'d3'!P26-'d3-п'!P26</f>
        <v>0</v>
      </c>
    </row>
    <row r="27" spans="1:20" ht="276" thickTop="1" thickBot="1" x14ac:dyDescent="0.25">
      <c r="A27" s="431" t="s">
        <v>295</v>
      </c>
      <c r="B27" s="431" t="s">
        <v>296</v>
      </c>
      <c r="C27" s="431" t="s">
        <v>53</v>
      </c>
      <c r="D27" s="431" t="s">
        <v>590</v>
      </c>
      <c r="E27" s="228">
        <f>'d3'!E27-'d3-п'!E27</f>
        <v>0</v>
      </c>
      <c r="F27" s="228">
        <f>'d3'!F27-'d3-п'!F27</f>
        <v>0</v>
      </c>
      <c r="G27" s="228">
        <f>'d3'!G27-'d3-п'!G27</f>
        <v>0</v>
      </c>
      <c r="H27" s="228">
        <f>'d3'!H27-'d3-п'!H27</f>
        <v>0</v>
      </c>
      <c r="I27" s="228">
        <f>'d3'!I27-'d3-п'!I27</f>
        <v>0</v>
      </c>
      <c r="J27" s="228">
        <f>'d3'!J27-'d3-п'!J27</f>
        <v>0</v>
      </c>
      <c r="K27" s="228">
        <f>'d3'!K27-'d3-п'!K27</f>
        <v>0</v>
      </c>
      <c r="L27" s="228">
        <f>'d3'!L27-'d3-п'!L27</f>
        <v>0</v>
      </c>
      <c r="M27" s="228">
        <f>'d3'!M27-'d3-п'!M27</f>
        <v>0</v>
      </c>
      <c r="N27" s="228">
        <f>'d3'!N27-'d3-п'!N27</f>
        <v>0</v>
      </c>
      <c r="O27" s="228">
        <f>'d3'!O27-'d3-п'!O27</f>
        <v>0</v>
      </c>
      <c r="P27" s="228">
        <f>'d3'!P27-'d3-п'!P27</f>
        <v>0</v>
      </c>
    </row>
    <row r="28" spans="1:20" ht="184.5" thickTop="1" thickBot="1" x14ac:dyDescent="0.25">
      <c r="A28" s="431" t="s">
        <v>735</v>
      </c>
      <c r="B28" s="431" t="s">
        <v>736</v>
      </c>
      <c r="C28" s="431" t="s">
        <v>53</v>
      </c>
      <c r="D28" s="431" t="s">
        <v>737</v>
      </c>
      <c r="E28" s="228">
        <f>'d3'!E28-'d3-п'!E28</f>
        <v>100000</v>
      </c>
      <c r="F28" s="228">
        <f>'d3'!F28-'d3-п'!F28</f>
        <v>100000</v>
      </c>
      <c r="G28" s="228">
        <f>'d3'!G28-'d3-п'!G28</f>
        <v>0</v>
      </c>
      <c r="H28" s="228">
        <f>'d3'!H28-'d3-п'!H28</f>
        <v>0</v>
      </c>
      <c r="I28" s="228">
        <f>'d3'!I28-'d3-п'!I28</f>
        <v>0</v>
      </c>
      <c r="J28" s="228">
        <f>'d3'!J28-'d3-п'!J28</f>
        <v>0</v>
      </c>
      <c r="K28" s="228">
        <f>'d3'!K28-'d3-п'!K28</f>
        <v>0</v>
      </c>
      <c r="L28" s="228">
        <f>'d3'!L28-'d3-п'!L28</f>
        <v>0</v>
      </c>
      <c r="M28" s="228">
        <f>'d3'!M28-'d3-п'!M28</f>
        <v>0</v>
      </c>
      <c r="N28" s="228">
        <f>'d3'!N28-'d3-п'!N28</f>
        <v>0</v>
      </c>
      <c r="O28" s="228">
        <f>'d3'!O28-'d3-п'!O28</f>
        <v>0</v>
      </c>
      <c r="P28" s="228">
        <f>'d3'!P28-'d3-п'!P28</f>
        <v>100000</v>
      </c>
      <c r="R28" s="328" t="b">
        <f>K28='d5'!J19+'d5'!J20</f>
        <v>0</v>
      </c>
    </row>
    <row r="29" spans="1:20" ht="136.5" thickTop="1" thickBot="1" x14ac:dyDescent="0.25">
      <c r="A29" s="451" t="s">
        <v>192</v>
      </c>
      <c r="B29" s="451"/>
      <c r="C29" s="451"/>
      <c r="D29" s="452" t="s">
        <v>0</v>
      </c>
      <c r="E29" s="453">
        <f>E30</f>
        <v>-17988509.770000011</v>
      </c>
      <c r="F29" s="454">
        <f t="shared" ref="F29:G29" si="4">F30</f>
        <v>-17988509.770000011</v>
      </c>
      <c r="G29" s="454">
        <f t="shared" si="4"/>
        <v>-233190.77999999933</v>
      </c>
      <c r="H29" s="454">
        <f>H30</f>
        <v>-10320600</v>
      </c>
      <c r="I29" s="453">
        <f t="shared" ref="I29" si="5">I30</f>
        <v>0</v>
      </c>
      <c r="J29" s="453">
        <f>J30</f>
        <v>2030946.9899999984</v>
      </c>
      <c r="K29" s="454">
        <f>K30</f>
        <v>2030946.9899999984</v>
      </c>
      <c r="L29" s="454">
        <f>L30</f>
        <v>0</v>
      </c>
      <c r="M29" s="454">
        <f t="shared" ref="M29" si="6">M30</f>
        <v>0</v>
      </c>
      <c r="N29" s="453">
        <f>N30</f>
        <v>0</v>
      </c>
      <c r="O29" s="453">
        <f>O30</f>
        <v>2030946.9899999984</v>
      </c>
      <c r="P29" s="454">
        <f t="shared" ref="P29" si="7">P30</f>
        <v>-15957562.780000012</v>
      </c>
    </row>
    <row r="30" spans="1:20" ht="136.5" thickTop="1" thickBot="1" x14ac:dyDescent="0.25">
      <c r="A30" s="455" t="s">
        <v>193</v>
      </c>
      <c r="B30" s="455"/>
      <c r="C30" s="455"/>
      <c r="D30" s="456" t="s">
        <v>1</v>
      </c>
      <c r="E30" s="457">
        <f>SUM(E31:E41)</f>
        <v>-17988509.770000011</v>
      </c>
      <c r="F30" s="457">
        <f t="shared" ref="F30:I30" si="8">SUM(F31:F41)</f>
        <v>-17988509.770000011</v>
      </c>
      <c r="G30" s="457">
        <f t="shared" si="8"/>
        <v>-233190.77999999933</v>
      </c>
      <c r="H30" s="457">
        <f t="shared" si="8"/>
        <v>-10320600</v>
      </c>
      <c r="I30" s="457">
        <f t="shared" si="8"/>
        <v>0</v>
      </c>
      <c r="J30" s="457">
        <f>L30+O30</f>
        <v>2030946.9899999984</v>
      </c>
      <c r="K30" s="457">
        <f>SUM(K31:K41)</f>
        <v>2030946.9899999984</v>
      </c>
      <c r="L30" s="457">
        <f>SUM(L31:L41)</f>
        <v>0</v>
      </c>
      <c r="M30" s="457">
        <f>SUM(M31:M41)</f>
        <v>0</v>
      </c>
      <c r="N30" s="457">
        <f>SUM(N31:N41)</f>
        <v>0</v>
      </c>
      <c r="O30" s="457">
        <f>SUM(O31:O41)</f>
        <v>2030946.9899999984</v>
      </c>
      <c r="P30" s="458">
        <f t="shared" ref="P30" si="9">E30+J30</f>
        <v>-15957562.780000012</v>
      </c>
      <c r="Q30" s="328" t="b">
        <f>P30=P31+P32+P33+P34+P35+P36+P37+P38+P40+P39+P41</f>
        <v>1</v>
      </c>
      <c r="R30" s="328" t="b">
        <f>K30='d5'!J23</f>
        <v>0</v>
      </c>
    </row>
    <row r="31" spans="1:20" ht="99" customHeight="1" thickTop="1" thickBot="1" x14ac:dyDescent="0.6">
      <c r="A31" s="431" t="s">
        <v>244</v>
      </c>
      <c r="B31" s="431" t="s">
        <v>245</v>
      </c>
      <c r="C31" s="431" t="s">
        <v>247</v>
      </c>
      <c r="D31" s="431" t="s">
        <v>248</v>
      </c>
      <c r="E31" s="228">
        <f>'d3'!E31-'d3-п'!E31</f>
        <v>-15844000</v>
      </c>
      <c r="F31" s="228">
        <f>'d3'!F31-'d3-п'!F31</f>
        <v>-15844000</v>
      </c>
      <c r="G31" s="228">
        <f>'d3'!G31-'d3-п'!G31</f>
        <v>-5950000</v>
      </c>
      <c r="H31" s="228">
        <f>'d3'!H31-'d3-п'!H31</f>
        <v>-4109000</v>
      </c>
      <c r="I31" s="228">
        <f>'d3'!I31-'d3-п'!I31</f>
        <v>0</v>
      </c>
      <c r="J31" s="228">
        <f>'d3'!J31-'d3-п'!J31</f>
        <v>1031000</v>
      </c>
      <c r="K31" s="228">
        <f>'d3'!K31-'d3-п'!K31</f>
        <v>1031000</v>
      </c>
      <c r="L31" s="228">
        <f>'d3'!L31-'d3-п'!L31</f>
        <v>0</v>
      </c>
      <c r="M31" s="228">
        <f>'d3'!M31-'d3-п'!M31</f>
        <v>0</v>
      </c>
      <c r="N31" s="228">
        <f>'d3'!N31-'d3-п'!N31</f>
        <v>0</v>
      </c>
      <c r="O31" s="228">
        <f>'d3'!O31-'d3-п'!O31</f>
        <v>1031000</v>
      </c>
      <c r="P31" s="228">
        <f>'d3'!P31-'d3-п'!P31</f>
        <v>-14813000</v>
      </c>
      <c r="Q31" s="331"/>
      <c r="R31" s="328" t="b">
        <f>K31='d5'!J24+'d5'!J26+'d5'!J27+'d5'!J28+'d5'!J31</f>
        <v>0</v>
      </c>
    </row>
    <row r="32" spans="1:20" ht="230.25" thickTop="1" thickBot="1" x14ac:dyDescent="0.6">
      <c r="A32" s="431" t="s">
        <v>249</v>
      </c>
      <c r="B32" s="431" t="s">
        <v>246</v>
      </c>
      <c r="C32" s="431" t="s">
        <v>250</v>
      </c>
      <c r="D32" s="431" t="s">
        <v>712</v>
      </c>
      <c r="E32" s="228">
        <f>'d3'!E32-'d3-п'!E32</f>
        <v>-2538553.9900000095</v>
      </c>
      <c r="F32" s="228">
        <f>'d3'!F32-'d3-п'!F32</f>
        <v>-2538553.9900000095</v>
      </c>
      <c r="G32" s="228">
        <f>'d3'!G32-'d3-п'!G32</f>
        <v>908525</v>
      </c>
      <c r="H32" s="228">
        <f>'d3'!H32-'d3-п'!H32</f>
        <v>-3499600</v>
      </c>
      <c r="I32" s="228">
        <f>'d3'!I32-'d3-п'!I32</f>
        <v>0</v>
      </c>
      <c r="J32" s="228">
        <f>'d3'!J32-'d3-п'!J32</f>
        <v>-248601.00999999046</v>
      </c>
      <c r="K32" s="228">
        <f>'d3'!K32-'d3-п'!K32</f>
        <v>-248601.01000000164</v>
      </c>
      <c r="L32" s="228">
        <f>'d3'!L32-'d3-п'!L32</f>
        <v>0</v>
      </c>
      <c r="M32" s="228">
        <f>'d3'!M32-'d3-п'!M32</f>
        <v>0</v>
      </c>
      <c r="N32" s="228">
        <f>'d3'!N32-'d3-п'!N32</f>
        <v>0</v>
      </c>
      <c r="O32" s="228">
        <f>'d3'!O32-'d3-п'!O32</f>
        <v>-248601.01000000164</v>
      </c>
      <c r="P32" s="228">
        <f>'d3'!P32-'d3-п'!P32</f>
        <v>-2787155</v>
      </c>
      <c r="Q32" s="331"/>
      <c r="R32" s="328" t="b">
        <f>K32='d5'!J32+'d5'!J34+'d5'!J35+'d5'!J36+'d5'!J37+'d5'!J38+'d5'!J39+'d5'!J40+'d5'!J42+'d5'!J43+'d5'!J45+'d5'!J46+'d5'!J47+'d5'!J48+'d5'!J49+'d5'!J50+'d5'!J51+'d5'!J53+'d5'!J55+'d5'!J54+'d5'!J33</f>
        <v>0</v>
      </c>
      <c r="T32" s="332"/>
    </row>
    <row r="33" spans="1:18" ht="276" thickTop="1" thickBot="1" x14ac:dyDescent="0.25">
      <c r="A33" s="431" t="s">
        <v>714</v>
      </c>
      <c r="B33" s="431" t="s">
        <v>251</v>
      </c>
      <c r="C33" s="431" t="s">
        <v>253</v>
      </c>
      <c r="D33" s="431" t="s">
        <v>713</v>
      </c>
      <c r="E33" s="228">
        <f>'d3'!E33-'d3-п'!E33</f>
        <v>-801717</v>
      </c>
      <c r="F33" s="228">
        <f>'d3'!F33-'d3-п'!F33</f>
        <v>-801717</v>
      </c>
      <c r="G33" s="228">
        <f>'d3'!G33-'d3-п'!G33</f>
        <v>-315500</v>
      </c>
      <c r="H33" s="228">
        <f>'d3'!H33-'d3-п'!H33</f>
        <v>-209000</v>
      </c>
      <c r="I33" s="228">
        <f>'d3'!I33-'d3-п'!I33</f>
        <v>0</v>
      </c>
      <c r="J33" s="228">
        <f>'d3'!J33-'d3-п'!J33</f>
        <v>-19452</v>
      </c>
      <c r="K33" s="228">
        <f>'d3'!K33-'d3-п'!K33</f>
        <v>-19452</v>
      </c>
      <c r="L33" s="228">
        <f>'d3'!L33-'d3-п'!L33</f>
        <v>0</v>
      </c>
      <c r="M33" s="228">
        <f>'d3'!M33-'d3-п'!M33</f>
        <v>0</v>
      </c>
      <c r="N33" s="228">
        <f>'d3'!N33-'d3-п'!N33</f>
        <v>0</v>
      </c>
      <c r="O33" s="228">
        <f>'d3'!O33-'d3-п'!O33</f>
        <v>-19452</v>
      </c>
      <c r="P33" s="228">
        <f>'d3'!P33-'d3-п'!P33</f>
        <v>-821169</v>
      </c>
      <c r="R33" s="328" t="b">
        <f>K33='d5'!J56</f>
        <v>0</v>
      </c>
    </row>
    <row r="34" spans="1:18" ht="184.5" thickTop="1" thickBot="1" x14ac:dyDescent="0.25">
      <c r="A34" s="431" t="s">
        <v>254</v>
      </c>
      <c r="B34" s="431" t="s">
        <v>237</v>
      </c>
      <c r="C34" s="431" t="s">
        <v>226</v>
      </c>
      <c r="D34" s="431" t="s">
        <v>715</v>
      </c>
      <c r="E34" s="228">
        <f>'d3'!E34-'d3-п'!E34</f>
        <v>2122800</v>
      </c>
      <c r="F34" s="228">
        <f>'d3'!F34-'d3-п'!F34</f>
        <v>2122800</v>
      </c>
      <c r="G34" s="228">
        <f>'d3'!G34-'d3-п'!G34</f>
        <v>2100100</v>
      </c>
      <c r="H34" s="228">
        <f>'d3'!H34-'d3-п'!H34</f>
        <v>-271000</v>
      </c>
      <c r="I34" s="228">
        <f>'d3'!I34-'d3-п'!I34</f>
        <v>0</v>
      </c>
      <c r="J34" s="228">
        <f>'d3'!J34-'d3-п'!J34</f>
        <v>0</v>
      </c>
      <c r="K34" s="228">
        <f>'d3'!K34-'d3-п'!K34</f>
        <v>0</v>
      </c>
      <c r="L34" s="228">
        <f>'d3'!L34-'d3-п'!L34</f>
        <v>0</v>
      </c>
      <c r="M34" s="228">
        <f>'d3'!M34-'d3-п'!M34</f>
        <v>0</v>
      </c>
      <c r="N34" s="228">
        <f>'d3'!N34-'d3-п'!N34</f>
        <v>0</v>
      </c>
      <c r="O34" s="228">
        <f>'d3'!O34-'d3-п'!O34</f>
        <v>0</v>
      </c>
      <c r="P34" s="228">
        <f>'d3'!P34-'d3-п'!P34</f>
        <v>2122800</v>
      </c>
      <c r="R34" s="328" t="b">
        <f>K34='d5'!J57+'d5'!J58+'d5'!J59</f>
        <v>0</v>
      </c>
    </row>
    <row r="35" spans="1:18" ht="184.5" thickTop="1" thickBot="1" x14ac:dyDescent="0.25">
      <c r="A35" s="431" t="s">
        <v>255</v>
      </c>
      <c r="B35" s="431" t="s">
        <v>256</v>
      </c>
      <c r="C35" s="431" t="s">
        <v>257</v>
      </c>
      <c r="D35" s="431" t="s">
        <v>717</v>
      </c>
      <c r="E35" s="228">
        <f>'d3'!E35-'d3-п'!E35</f>
        <v>3238500</v>
      </c>
      <c r="F35" s="228">
        <f>'d3'!F35-'d3-п'!F35</f>
        <v>3238500</v>
      </c>
      <c r="G35" s="228">
        <f>'d3'!G35-'d3-п'!G35</f>
        <v>4463700</v>
      </c>
      <c r="H35" s="228">
        <f>'d3'!H35-'d3-п'!H35</f>
        <v>-2074000</v>
      </c>
      <c r="I35" s="228">
        <f>'d3'!I35-'d3-п'!I35</f>
        <v>0</v>
      </c>
      <c r="J35" s="228">
        <f>'d3'!J35-'d3-п'!J35</f>
        <v>1268000</v>
      </c>
      <c r="K35" s="228">
        <f>'d3'!K35-'d3-п'!K35</f>
        <v>1268000</v>
      </c>
      <c r="L35" s="228">
        <f>'d3'!L35-'d3-п'!L35</f>
        <v>0</v>
      </c>
      <c r="M35" s="228">
        <f>'d3'!M35-'d3-п'!M35</f>
        <v>0</v>
      </c>
      <c r="N35" s="228">
        <f>'d3'!N35-'d3-п'!N35</f>
        <v>0</v>
      </c>
      <c r="O35" s="228">
        <f>'d3'!O35-'d3-п'!O35</f>
        <v>1268000</v>
      </c>
      <c r="P35" s="228">
        <f>'d3'!P35-'d3-п'!P35</f>
        <v>4506500</v>
      </c>
      <c r="R35" s="328" t="b">
        <f>K35='d5'!J61+'d5'!J63</f>
        <v>0</v>
      </c>
    </row>
    <row r="36" spans="1:18" ht="93" thickTop="1" thickBot="1" x14ac:dyDescent="0.25">
      <c r="A36" s="431" t="s">
        <v>258</v>
      </c>
      <c r="B36" s="431" t="s">
        <v>259</v>
      </c>
      <c r="C36" s="431" t="s">
        <v>260</v>
      </c>
      <c r="D36" s="431" t="s">
        <v>718</v>
      </c>
      <c r="E36" s="228">
        <f>'d3'!E36-'d3-п'!E36</f>
        <v>-110000</v>
      </c>
      <c r="F36" s="228">
        <f>'d3'!F36-'d3-п'!F36</f>
        <v>-110000</v>
      </c>
      <c r="G36" s="228">
        <f>'d3'!G36-'d3-п'!G36</f>
        <v>-20000</v>
      </c>
      <c r="H36" s="228">
        <f>'d3'!H36-'d3-п'!H36</f>
        <v>-60000</v>
      </c>
      <c r="I36" s="228">
        <f>'d3'!I36-'d3-п'!I36</f>
        <v>0</v>
      </c>
      <c r="J36" s="228">
        <f>'d3'!J36-'d3-п'!J36</f>
        <v>0</v>
      </c>
      <c r="K36" s="228">
        <f>'d3'!K36-'d3-п'!K36</f>
        <v>0</v>
      </c>
      <c r="L36" s="228">
        <f>'d3'!L36-'d3-п'!L36</f>
        <v>0</v>
      </c>
      <c r="M36" s="228">
        <f>'d3'!M36-'d3-п'!M36</f>
        <v>0</v>
      </c>
      <c r="N36" s="228">
        <f>'d3'!N36-'d3-п'!N36</f>
        <v>0</v>
      </c>
      <c r="O36" s="228">
        <f>'d3'!O36-'d3-п'!O36</f>
        <v>0</v>
      </c>
      <c r="P36" s="228">
        <f>'d3'!P36-'d3-п'!P36</f>
        <v>-110000</v>
      </c>
      <c r="R36" s="333"/>
    </row>
    <row r="37" spans="1:18" s="94" customFormat="1" ht="93" thickTop="1" thickBot="1" x14ac:dyDescent="0.25">
      <c r="A37" s="431" t="s">
        <v>389</v>
      </c>
      <c r="B37" s="431" t="s">
        <v>390</v>
      </c>
      <c r="C37" s="431" t="s">
        <v>260</v>
      </c>
      <c r="D37" s="431" t="s">
        <v>719</v>
      </c>
      <c r="E37" s="228">
        <f>'d3'!E37-'d3-п'!E37</f>
        <v>-1636549.7800000012</v>
      </c>
      <c r="F37" s="228">
        <f>'d3'!F37-'d3-п'!F37</f>
        <v>-1636549.7800000012</v>
      </c>
      <c r="G37" s="228">
        <f>'d3'!G37-'d3-п'!G37</f>
        <v>-1158549.7799999993</v>
      </c>
      <c r="H37" s="228">
        <f>'d3'!H37-'d3-п'!H37</f>
        <v>-98000</v>
      </c>
      <c r="I37" s="228">
        <f>'d3'!I37-'d3-п'!I37</f>
        <v>0</v>
      </c>
      <c r="J37" s="228">
        <f>'d3'!J37-'d3-п'!J37</f>
        <v>0</v>
      </c>
      <c r="K37" s="228">
        <f>'d3'!K37-'d3-п'!K37</f>
        <v>0</v>
      </c>
      <c r="L37" s="228">
        <f>'d3'!L37-'d3-п'!L37</f>
        <v>0</v>
      </c>
      <c r="M37" s="228">
        <f>'d3'!M37-'d3-п'!M37</f>
        <v>0</v>
      </c>
      <c r="N37" s="228">
        <f>'d3'!N37-'d3-п'!N37</f>
        <v>0</v>
      </c>
      <c r="O37" s="228">
        <f>'d3'!O37-'d3-п'!O37</f>
        <v>0</v>
      </c>
      <c r="P37" s="228">
        <f>'d3'!P37-'d3-п'!P37</f>
        <v>-1636549.7800000012</v>
      </c>
      <c r="R37" s="328"/>
    </row>
    <row r="38" spans="1:18" s="94" customFormat="1" ht="93" thickTop="1" thickBot="1" x14ac:dyDescent="0.25">
      <c r="A38" s="431" t="s">
        <v>410</v>
      </c>
      <c r="B38" s="431" t="s">
        <v>411</v>
      </c>
      <c r="C38" s="431" t="s">
        <v>260</v>
      </c>
      <c r="D38" s="431" t="s">
        <v>409</v>
      </c>
      <c r="E38" s="228">
        <f>'d3'!E38-'d3-п'!E38</f>
        <v>0</v>
      </c>
      <c r="F38" s="228">
        <f>'d3'!F38-'d3-п'!F38</f>
        <v>0</v>
      </c>
      <c r="G38" s="228">
        <f>'d3'!G38-'d3-п'!G38</f>
        <v>0</v>
      </c>
      <c r="H38" s="228">
        <f>'d3'!H38-'d3-п'!H38</f>
        <v>0</v>
      </c>
      <c r="I38" s="228">
        <f>'d3'!I38-'d3-п'!I38</f>
        <v>0</v>
      </c>
      <c r="J38" s="228">
        <f>'d3'!J38-'d3-п'!J38</f>
        <v>0</v>
      </c>
      <c r="K38" s="228">
        <f>'d3'!K38-'d3-п'!K38</f>
        <v>0</v>
      </c>
      <c r="L38" s="228">
        <f>'d3'!L38-'d3-п'!L38</f>
        <v>0</v>
      </c>
      <c r="M38" s="228">
        <f>'d3'!M38-'d3-п'!M38</f>
        <v>0</v>
      </c>
      <c r="N38" s="228">
        <f>'d3'!N38-'d3-п'!N38</f>
        <v>0</v>
      </c>
      <c r="O38" s="228">
        <f>'d3'!O38-'d3-п'!O38</f>
        <v>0</v>
      </c>
      <c r="P38" s="228">
        <f>'d3'!P38-'d3-п'!P38</f>
        <v>0</v>
      </c>
      <c r="R38" s="333"/>
    </row>
    <row r="39" spans="1:18" s="94" customFormat="1" ht="93" thickTop="1" thickBot="1" x14ac:dyDescent="0.25">
      <c r="A39" s="431" t="s">
        <v>544</v>
      </c>
      <c r="B39" s="431" t="s">
        <v>545</v>
      </c>
      <c r="C39" s="431" t="s">
        <v>260</v>
      </c>
      <c r="D39" s="431" t="s">
        <v>546</v>
      </c>
      <c r="E39" s="228">
        <f>'d3'!E39-'d3-п'!E39</f>
        <v>-318989</v>
      </c>
      <c r="F39" s="228">
        <f>'d3'!F39-'d3-п'!F39</f>
        <v>-318989</v>
      </c>
      <c r="G39" s="228">
        <f>'d3'!G39-'d3-п'!G39</f>
        <v>-261466</v>
      </c>
      <c r="H39" s="228">
        <f>'d3'!H39-'d3-п'!H39</f>
        <v>0</v>
      </c>
      <c r="I39" s="228">
        <f>'d3'!I39-'d3-п'!I39</f>
        <v>0</v>
      </c>
      <c r="J39" s="228">
        <f>'d3'!J39-'d3-п'!J39</f>
        <v>0</v>
      </c>
      <c r="K39" s="228">
        <f>'d3'!K39-'d3-п'!K39</f>
        <v>0</v>
      </c>
      <c r="L39" s="228">
        <f>'d3'!L39-'d3-п'!L39</f>
        <v>0</v>
      </c>
      <c r="M39" s="228">
        <f>'d3'!M39-'d3-п'!M39</f>
        <v>0</v>
      </c>
      <c r="N39" s="228">
        <f>'d3'!N39-'d3-п'!N39</f>
        <v>0</v>
      </c>
      <c r="O39" s="228">
        <f>'d3'!O39-'d3-п'!O39</f>
        <v>0</v>
      </c>
      <c r="P39" s="228">
        <f>'d3'!P39-'d3-п'!P39</f>
        <v>-318989</v>
      </c>
      <c r="R39" s="333"/>
    </row>
    <row r="40" spans="1:18" s="94" customFormat="1" ht="367.5" thickTop="1" thickBot="1" x14ac:dyDescent="0.25">
      <c r="A40" s="431" t="s">
        <v>548</v>
      </c>
      <c r="B40" s="431" t="s">
        <v>549</v>
      </c>
      <c r="C40" s="431" t="s">
        <v>230</v>
      </c>
      <c r="D40" s="431" t="s">
        <v>547</v>
      </c>
      <c r="E40" s="228">
        <f>'d3'!E40-'d3-п'!E40</f>
        <v>-2100000</v>
      </c>
      <c r="F40" s="228">
        <f>'d3'!F40-'d3-п'!F40</f>
        <v>-2100000</v>
      </c>
      <c r="G40" s="228">
        <f>'d3'!G40-'d3-п'!G40</f>
        <v>0</v>
      </c>
      <c r="H40" s="228">
        <f>'d3'!H40-'d3-п'!H40</f>
        <v>0</v>
      </c>
      <c r="I40" s="228">
        <f>'d3'!I40-'d3-п'!I40</f>
        <v>0</v>
      </c>
      <c r="J40" s="228">
        <f>'d3'!J40-'d3-п'!J40</f>
        <v>0</v>
      </c>
      <c r="K40" s="228">
        <f>'d3'!K40-'d3-п'!K40</f>
        <v>0</v>
      </c>
      <c r="L40" s="228">
        <f>'d3'!L40-'d3-п'!L40</f>
        <v>0</v>
      </c>
      <c r="M40" s="228">
        <f>'d3'!M40-'d3-п'!M40</f>
        <v>0</v>
      </c>
      <c r="N40" s="228">
        <f>'d3'!N40-'d3-п'!N40</f>
        <v>0</v>
      </c>
      <c r="O40" s="228">
        <f>'d3'!O40-'d3-п'!O40</f>
        <v>0</v>
      </c>
      <c r="P40" s="228">
        <f>'d3'!P40-'d3-п'!P40</f>
        <v>-2100000</v>
      </c>
      <c r="R40" s="333"/>
    </row>
    <row r="41" spans="1:18" s="94" customFormat="1" ht="48" thickTop="1" thickBot="1" x14ac:dyDescent="0.25">
      <c r="A41" s="431" t="s">
        <v>766</v>
      </c>
      <c r="B41" s="431" t="s">
        <v>262</v>
      </c>
      <c r="C41" s="431" t="s">
        <v>263</v>
      </c>
      <c r="D41" s="431" t="s">
        <v>51</v>
      </c>
      <c r="E41" s="228">
        <f>'d3'!E41-'d3-п'!E41</f>
        <v>0</v>
      </c>
      <c r="F41" s="228">
        <f>'d3'!F41-'d3-п'!F41</f>
        <v>0</v>
      </c>
      <c r="G41" s="228">
        <f>'d3'!G41-'d3-п'!G41</f>
        <v>0</v>
      </c>
      <c r="H41" s="228">
        <f>'d3'!H41-'d3-п'!H41</f>
        <v>0</v>
      </c>
      <c r="I41" s="228">
        <f>'d3'!I41-'d3-п'!I41</f>
        <v>0</v>
      </c>
      <c r="J41" s="228">
        <f>'d3'!J41-'d3-п'!J41</f>
        <v>0</v>
      </c>
      <c r="K41" s="228">
        <f>'d3'!K41-'d3-п'!K41</f>
        <v>0</v>
      </c>
      <c r="L41" s="228">
        <f>'d3'!L41-'d3-п'!L41</f>
        <v>0</v>
      </c>
      <c r="M41" s="228">
        <f>'d3'!M41-'d3-п'!M41</f>
        <v>0</v>
      </c>
      <c r="N41" s="228">
        <f>'d3'!N41-'d3-п'!N41</f>
        <v>0</v>
      </c>
      <c r="O41" s="228">
        <f>'d3'!O41-'d3-п'!O41</f>
        <v>0</v>
      </c>
      <c r="P41" s="228">
        <f>'d3'!P41-'d3-п'!P41</f>
        <v>0</v>
      </c>
      <c r="R41" s="328" t="b">
        <f>K41='d5'!J65</f>
        <v>0</v>
      </c>
    </row>
    <row r="42" spans="1:18" ht="136.5" thickTop="1" thickBot="1" x14ac:dyDescent="0.25">
      <c r="A42" s="451" t="s">
        <v>194</v>
      </c>
      <c r="B42" s="451"/>
      <c r="C42" s="451"/>
      <c r="D42" s="452" t="s">
        <v>22</v>
      </c>
      <c r="E42" s="453">
        <f>E43</f>
        <v>5523106.3500000024</v>
      </c>
      <c r="F42" s="454">
        <f t="shared" ref="F42:G42" si="10">F43</f>
        <v>5523106.3500000024</v>
      </c>
      <c r="G42" s="454">
        <f t="shared" si="10"/>
        <v>0</v>
      </c>
      <c r="H42" s="454">
        <f>H43</f>
        <v>0</v>
      </c>
      <c r="I42" s="453">
        <f t="shared" ref="I42" si="11">I43</f>
        <v>0</v>
      </c>
      <c r="J42" s="453">
        <f>J43</f>
        <v>-123402.5700000003</v>
      </c>
      <c r="K42" s="454">
        <f>K43</f>
        <v>-123402.5700000003</v>
      </c>
      <c r="L42" s="454">
        <f>L43</f>
        <v>0</v>
      </c>
      <c r="M42" s="454">
        <f t="shared" ref="M42" si="12">M43</f>
        <v>0</v>
      </c>
      <c r="N42" s="453">
        <f>N43</f>
        <v>0</v>
      </c>
      <c r="O42" s="453">
        <f>O43</f>
        <v>-123402.5700000003</v>
      </c>
      <c r="P42" s="454">
        <f>P43</f>
        <v>5399703.7800000021</v>
      </c>
    </row>
    <row r="43" spans="1:18" ht="136.5" thickTop="1" thickBot="1" x14ac:dyDescent="0.25">
      <c r="A43" s="455" t="s">
        <v>195</v>
      </c>
      <c r="B43" s="455"/>
      <c r="C43" s="455"/>
      <c r="D43" s="456" t="s">
        <v>44</v>
      </c>
      <c r="E43" s="457">
        <f>SUM(E44:E55)</f>
        <v>5523106.3500000024</v>
      </c>
      <c r="F43" s="457">
        <f t="shared" ref="F43:H43" si="13">SUM(F44:F55)</f>
        <v>5523106.3500000024</v>
      </c>
      <c r="G43" s="457">
        <f t="shared" si="13"/>
        <v>0</v>
      </c>
      <c r="H43" s="457">
        <f t="shared" si="13"/>
        <v>0</v>
      </c>
      <c r="I43" s="457">
        <f>SUM(I44:I55)</f>
        <v>0</v>
      </c>
      <c r="J43" s="457">
        <f>L43+O43</f>
        <v>-123402.5700000003</v>
      </c>
      <c r="K43" s="457">
        <f>SUM(K44:K55)</f>
        <v>-123402.5700000003</v>
      </c>
      <c r="L43" s="457">
        <f>SUM(L44:L55)</f>
        <v>0</v>
      </c>
      <c r="M43" s="457">
        <f>SUM(M44:M55)</f>
        <v>0</v>
      </c>
      <c r="N43" s="457">
        <f>SUM(N44:N55)</f>
        <v>0</v>
      </c>
      <c r="O43" s="457">
        <f>SUM(O44:O55)</f>
        <v>-123402.5700000003</v>
      </c>
      <c r="P43" s="458">
        <f t="shared" ref="P43:P55" si="14">E43+J43</f>
        <v>5399703.7800000021</v>
      </c>
      <c r="Q43" s="328" t="b">
        <f>P43=P45+P47+P48+P49+P50+P52+P53+P44+P54+P51+P46+P55</f>
        <v>1</v>
      </c>
      <c r="R43" s="328" t="b">
        <f>K43='d5'!J66</f>
        <v>0</v>
      </c>
    </row>
    <row r="44" spans="1:18" ht="230.25" thickTop="1" thickBot="1" x14ac:dyDescent="0.25">
      <c r="A44" s="431" t="s">
        <v>514</v>
      </c>
      <c r="B44" s="431" t="s">
        <v>286</v>
      </c>
      <c r="C44" s="431" t="s">
        <v>284</v>
      </c>
      <c r="D44" s="431" t="s">
        <v>285</v>
      </c>
      <c r="E44" s="228">
        <f>'d3'!E44-'d3-п'!E44</f>
        <v>0</v>
      </c>
      <c r="F44" s="228">
        <f>'d3'!F44-'d3-п'!F44</f>
        <v>0</v>
      </c>
      <c r="G44" s="228">
        <f>'d3'!G44-'d3-п'!G44</f>
        <v>0</v>
      </c>
      <c r="H44" s="228">
        <f>'d3'!H44-'d3-п'!H44</f>
        <v>0</v>
      </c>
      <c r="I44" s="228">
        <f>'d3'!I44-'d3-п'!I44</f>
        <v>0</v>
      </c>
      <c r="J44" s="228">
        <f>'d3'!J44-'d3-п'!J44</f>
        <v>0</v>
      </c>
      <c r="K44" s="228">
        <f>'d3'!K44-'d3-п'!K44</f>
        <v>0</v>
      </c>
      <c r="L44" s="228">
        <f>'d3'!L44-'d3-п'!L44</f>
        <v>0</v>
      </c>
      <c r="M44" s="228">
        <f>'d3'!M44-'d3-п'!M44</f>
        <v>0</v>
      </c>
      <c r="N44" s="228">
        <f>'d3'!N44-'d3-п'!N44</f>
        <v>0</v>
      </c>
      <c r="O44" s="228">
        <f>'d3'!O44-'d3-п'!O44</f>
        <v>0</v>
      </c>
      <c r="P44" s="228">
        <f>'d3'!P44-'d3-п'!P44</f>
        <v>0</v>
      </c>
      <c r="Q44" s="333"/>
      <c r="R44" s="333"/>
    </row>
    <row r="45" spans="1:18" ht="93" thickTop="1" thickBot="1" x14ac:dyDescent="0.25">
      <c r="A45" s="431" t="s">
        <v>264</v>
      </c>
      <c r="B45" s="431" t="s">
        <v>261</v>
      </c>
      <c r="C45" s="431" t="s">
        <v>265</v>
      </c>
      <c r="D45" s="431" t="s">
        <v>23</v>
      </c>
      <c r="E45" s="228">
        <f>'d3'!E45-'d3-п'!E45</f>
        <v>-159614.93999999762</v>
      </c>
      <c r="F45" s="228">
        <f>'d3'!F45-'d3-п'!F45</f>
        <v>-159614.93999999762</v>
      </c>
      <c r="G45" s="228">
        <f>'d3'!G45-'d3-п'!G45</f>
        <v>0</v>
      </c>
      <c r="H45" s="228">
        <f>'d3'!H45-'d3-п'!H45</f>
        <v>0</v>
      </c>
      <c r="I45" s="228">
        <f>'d3'!I45-'d3-п'!I45</f>
        <v>0</v>
      </c>
      <c r="J45" s="228">
        <f>'d3'!J45-'d3-п'!J45</f>
        <v>0</v>
      </c>
      <c r="K45" s="228">
        <f>'d3'!K45-'d3-п'!K45</f>
        <v>0</v>
      </c>
      <c r="L45" s="228">
        <f>'d3'!L45-'d3-п'!L45</f>
        <v>0</v>
      </c>
      <c r="M45" s="228">
        <f>'d3'!M45-'d3-п'!M45</f>
        <v>0</v>
      </c>
      <c r="N45" s="228">
        <f>'d3'!N45-'d3-п'!N45</f>
        <v>0</v>
      </c>
      <c r="O45" s="228">
        <f>'d3'!O45-'d3-п'!O45</f>
        <v>0</v>
      </c>
      <c r="P45" s="228">
        <f>'d3'!P45-'d3-п'!P45</f>
        <v>-159614.93999999762</v>
      </c>
      <c r="R45" s="328" t="b">
        <f>K45='d5'!J68</f>
        <v>0</v>
      </c>
    </row>
    <row r="46" spans="1:18" ht="93" thickTop="1" thickBot="1" x14ac:dyDescent="0.25">
      <c r="A46" s="431" t="s">
        <v>723</v>
      </c>
      <c r="B46" s="431" t="s">
        <v>726</v>
      </c>
      <c r="C46" s="431" t="s">
        <v>725</v>
      </c>
      <c r="D46" s="431" t="s">
        <v>724</v>
      </c>
      <c r="E46" s="228">
        <f>'d3'!E46-'d3-п'!E46</f>
        <v>1568868.3499999996</v>
      </c>
      <c r="F46" s="228">
        <f>'d3'!F46-'d3-п'!F46</f>
        <v>1568868.3499999996</v>
      </c>
      <c r="G46" s="228">
        <f>'d3'!G46-'d3-п'!G46</f>
        <v>0</v>
      </c>
      <c r="H46" s="228">
        <f>'d3'!H46-'d3-п'!H46</f>
        <v>0</v>
      </c>
      <c r="I46" s="228">
        <f>'d3'!I46-'d3-п'!I46</f>
        <v>0</v>
      </c>
      <c r="J46" s="228">
        <f>'d3'!J46-'d3-п'!J46</f>
        <v>0</v>
      </c>
      <c r="K46" s="228">
        <f>'d3'!K46-'d3-п'!K46</f>
        <v>0</v>
      </c>
      <c r="L46" s="228">
        <f>'d3'!L46-'d3-п'!L46</f>
        <v>0</v>
      </c>
      <c r="M46" s="228">
        <f>'d3'!M46-'d3-п'!M46</f>
        <v>0</v>
      </c>
      <c r="N46" s="228">
        <f>'d3'!N46-'d3-п'!N46</f>
        <v>0</v>
      </c>
      <c r="O46" s="228">
        <f>'d3'!O46-'d3-п'!O46</f>
        <v>0</v>
      </c>
      <c r="P46" s="228">
        <f>'d3'!P46-'d3-п'!P46</f>
        <v>1568868.3499999996</v>
      </c>
      <c r="R46" s="333"/>
    </row>
    <row r="47" spans="1:18" ht="138.75" thickTop="1" thickBot="1" x14ac:dyDescent="0.25">
      <c r="A47" s="431" t="s">
        <v>266</v>
      </c>
      <c r="B47" s="431" t="s">
        <v>267</v>
      </c>
      <c r="C47" s="431" t="s">
        <v>268</v>
      </c>
      <c r="D47" s="431" t="s">
        <v>269</v>
      </c>
      <c r="E47" s="228">
        <f>'d3'!E47-'d3-п'!E47</f>
        <v>12200</v>
      </c>
      <c r="F47" s="228">
        <f>'d3'!F47-'d3-п'!F47</f>
        <v>12200</v>
      </c>
      <c r="G47" s="228">
        <f>'d3'!G47-'d3-п'!G47</f>
        <v>0</v>
      </c>
      <c r="H47" s="228">
        <f>'d3'!H47-'d3-п'!H47</f>
        <v>0</v>
      </c>
      <c r="I47" s="228">
        <f>'d3'!I47-'d3-п'!I47</f>
        <v>0</v>
      </c>
      <c r="J47" s="228">
        <f>'d3'!J47-'d3-п'!J47</f>
        <v>0</v>
      </c>
      <c r="K47" s="228">
        <f>'d3'!K47-'d3-п'!K47</f>
        <v>0</v>
      </c>
      <c r="L47" s="228">
        <f>'d3'!L47-'d3-п'!L47</f>
        <v>0</v>
      </c>
      <c r="M47" s="228">
        <f>'d3'!M47-'d3-п'!M47</f>
        <v>0</v>
      </c>
      <c r="N47" s="228">
        <f>'d3'!N47-'d3-п'!N47</f>
        <v>0</v>
      </c>
      <c r="O47" s="228">
        <f>'d3'!O47-'d3-п'!O47</f>
        <v>0</v>
      </c>
      <c r="P47" s="228">
        <f>'d3'!P47-'d3-п'!P47</f>
        <v>12200</v>
      </c>
      <c r="R47" s="333"/>
    </row>
    <row r="48" spans="1:18" ht="138.75" thickTop="1" thickBot="1" x14ac:dyDescent="0.25">
      <c r="A48" s="431" t="s">
        <v>270</v>
      </c>
      <c r="B48" s="431" t="s">
        <v>271</v>
      </c>
      <c r="C48" s="431" t="s">
        <v>272</v>
      </c>
      <c r="D48" s="431" t="s">
        <v>421</v>
      </c>
      <c r="E48" s="228">
        <f>'d3'!E48-'d3-п'!E48</f>
        <v>594538</v>
      </c>
      <c r="F48" s="228">
        <f>'d3'!F48-'d3-п'!F48</f>
        <v>594538</v>
      </c>
      <c r="G48" s="228">
        <f>'d3'!G48-'d3-п'!G48</f>
        <v>0</v>
      </c>
      <c r="H48" s="228">
        <f>'d3'!H48-'d3-п'!H48</f>
        <v>0</v>
      </c>
      <c r="I48" s="228">
        <f>'d3'!I48-'d3-п'!I48</f>
        <v>0</v>
      </c>
      <c r="J48" s="228">
        <f>'d3'!J48-'d3-п'!J48</f>
        <v>0</v>
      </c>
      <c r="K48" s="228">
        <f>'d3'!K48-'d3-п'!K48</f>
        <v>0</v>
      </c>
      <c r="L48" s="228">
        <f>'d3'!L48-'d3-п'!L48</f>
        <v>0</v>
      </c>
      <c r="M48" s="228">
        <f>'d3'!M48-'d3-п'!M48</f>
        <v>0</v>
      </c>
      <c r="N48" s="228">
        <f>'d3'!N48-'d3-п'!N48</f>
        <v>0</v>
      </c>
      <c r="O48" s="228">
        <f>'d3'!O48-'d3-п'!O48</f>
        <v>0</v>
      </c>
      <c r="P48" s="228">
        <f>'d3'!P48-'d3-п'!P48</f>
        <v>594538</v>
      </c>
      <c r="R48" s="333"/>
    </row>
    <row r="49" spans="1:20" ht="93" thickTop="1" thickBot="1" x14ac:dyDescent="0.25">
      <c r="A49" s="431" t="s">
        <v>273</v>
      </c>
      <c r="B49" s="431" t="s">
        <v>274</v>
      </c>
      <c r="C49" s="431" t="s">
        <v>275</v>
      </c>
      <c r="D49" s="431" t="s">
        <v>276</v>
      </c>
      <c r="E49" s="228">
        <f>'d3'!E49-'d3-п'!E49</f>
        <v>12200</v>
      </c>
      <c r="F49" s="228">
        <f>'d3'!F49-'d3-п'!F49</f>
        <v>12200</v>
      </c>
      <c r="G49" s="228">
        <f>'d3'!G49-'d3-п'!G49</f>
        <v>0</v>
      </c>
      <c r="H49" s="228">
        <f>'d3'!H49-'d3-п'!H49</f>
        <v>0</v>
      </c>
      <c r="I49" s="228">
        <f>'d3'!I49-'d3-п'!I49</f>
        <v>0</v>
      </c>
      <c r="J49" s="228">
        <f>'d3'!J49-'d3-п'!J49</f>
        <v>0</v>
      </c>
      <c r="K49" s="228">
        <f>'d3'!K49-'d3-п'!K49</f>
        <v>0</v>
      </c>
      <c r="L49" s="228">
        <f>'d3'!L49-'d3-п'!L49</f>
        <v>0</v>
      </c>
      <c r="M49" s="228">
        <f>'d3'!M49-'d3-п'!M49</f>
        <v>0</v>
      </c>
      <c r="N49" s="228">
        <f>'d3'!N49-'d3-п'!N49</f>
        <v>0</v>
      </c>
      <c r="O49" s="228">
        <f>'d3'!O49-'d3-п'!O49</f>
        <v>0</v>
      </c>
      <c r="P49" s="228">
        <f>'d3'!P49-'d3-п'!P49</f>
        <v>12200</v>
      </c>
      <c r="R49" s="333"/>
    </row>
    <row r="50" spans="1:20" ht="184.5" thickTop="1" thickBot="1" x14ac:dyDescent="0.25">
      <c r="A50" s="431" t="s">
        <v>277</v>
      </c>
      <c r="B50" s="431" t="s">
        <v>278</v>
      </c>
      <c r="C50" s="431" t="s">
        <v>422</v>
      </c>
      <c r="D50" s="431" t="s">
        <v>279</v>
      </c>
      <c r="E50" s="228">
        <f>'d3'!E50-'d3-п'!E50</f>
        <v>48800</v>
      </c>
      <c r="F50" s="228">
        <f>'d3'!F50-'d3-п'!F50</f>
        <v>48800</v>
      </c>
      <c r="G50" s="228">
        <f>'d3'!G50-'d3-п'!G50</f>
        <v>0</v>
      </c>
      <c r="H50" s="228">
        <f>'d3'!H50-'d3-п'!H50</f>
        <v>0</v>
      </c>
      <c r="I50" s="228">
        <f>'d3'!I50-'d3-п'!I50</f>
        <v>0</v>
      </c>
      <c r="J50" s="228">
        <f>'d3'!J50-'d3-п'!J50</f>
        <v>0</v>
      </c>
      <c r="K50" s="228">
        <f>'d3'!K50-'d3-п'!K50</f>
        <v>0</v>
      </c>
      <c r="L50" s="228">
        <f>'d3'!L50-'d3-п'!L50</f>
        <v>0</v>
      </c>
      <c r="M50" s="228">
        <f>'d3'!M50-'d3-п'!M50</f>
        <v>0</v>
      </c>
      <c r="N50" s="228">
        <f>'d3'!N50-'d3-п'!N50</f>
        <v>0</v>
      </c>
      <c r="O50" s="228">
        <f>'d3'!O50-'d3-п'!O50</f>
        <v>0</v>
      </c>
      <c r="P50" s="228">
        <f>'d3'!P50-'d3-п'!P50</f>
        <v>48800</v>
      </c>
      <c r="R50" s="333"/>
    </row>
    <row r="51" spans="1:20" ht="138.75" thickTop="1" thickBot="1" x14ac:dyDescent="0.25">
      <c r="A51" s="431" t="s">
        <v>676</v>
      </c>
      <c r="B51" s="431" t="s">
        <v>677</v>
      </c>
      <c r="C51" s="431" t="s">
        <v>280</v>
      </c>
      <c r="D51" s="431" t="s">
        <v>678</v>
      </c>
      <c r="E51" s="228">
        <f>'d3'!E51-'d3-п'!E51</f>
        <v>3697700</v>
      </c>
      <c r="F51" s="228">
        <f>'d3'!F51-'d3-п'!F51</f>
        <v>3697700</v>
      </c>
      <c r="G51" s="228">
        <f>'d3'!G51-'d3-п'!G51</f>
        <v>0</v>
      </c>
      <c r="H51" s="228">
        <f>'d3'!H51-'d3-п'!H51</f>
        <v>0</v>
      </c>
      <c r="I51" s="228">
        <f>'d3'!I51-'d3-п'!I51</f>
        <v>0</v>
      </c>
      <c r="J51" s="228">
        <f>'d3'!J51-'d3-п'!J51</f>
        <v>0</v>
      </c>
      <c r="K51" s="228">
        <f>'d3'!K51-'d3-п'!K51</f>
        <v>0</v>
      </c>
      <c r="L51" s="228">
        <f>'d3'!L51-'d3-п'!L51</f>
        <v>0</v>
      </c>
      <c r="M51" s="228">
        <f>'d3'!M51-'d3-п'!M51</f>
        <v>0</v>
      </c>
      <c r="N51" s="228">
        <f>'d3'!N51-'d3-п'!N51</f>
        <v>0</v>
      </c>
      <c r="O51" s="228">
        <f>'d3'!O51-'d3-п'!O51</f>
        <v>0</v>
      </c>
      <c r="P51" s="228">
        <f>'d3'!P51-'d3-п'!P51</f>
        <v>3697700</v>
      </c>
      <c r="R51" s="333"/>
    </row>
    <row r="52" spans="1:20" s="94" customFormat="1" ht="138.75" thickTop="1" thickBot="1" x14ac:dyDescent="0.25">
      <c r="A52" s="431" t="s">
        <v>393</v>
      </c>
      <c r="B52" s="431" t="s">
        <v>395</v>
      </c>
      <c r="C52" s="431" t="s">
        <v>280</v>
      </c>
      <c r="D52" s="230" t="s">
        <v>391</v>
      </c>
      <c r="E52" s="228">
        <f>'d3'!E52-'d3-п'!E52</f>
        <v>-251585.05999999959</v>
      </c>
      <c r="F52" s="228">
        <f>'d3'!F52-'d3-п'!F52</f>
        <v>-251585.05999999959</v>
      </c>
      <c r="G52" s="228">
        <f>'d3'!G52-'d3-п'!G52</f>
        <v>0</v>
      </c>
      <c r="H52" s="228">
        <f>'d3'!H52-'d3-п'!H52</f>
        <v>0</v>
      </c>
      <c r="I52" s="228">
        <f>'d3'!I52-'d3-п'!I52</f>
        <v>0</v>
      </c>
      <c r="J52" s="228">
        <f>'d3'!J52-'d3-п'!J52</f>
        <v>0</v>
      </c>
      <c r="K52" s="228">
        <f>'d3'!K52-'d3-п'!K52</f>
        <v>0</v>
      </c>
      <c r="L52" s="228">
        <f>'d3'!L52-'d3-п'!L52</f>
        <v>0</v>
      </c>
      <c r="M52" s="228">
        <f>'d3'!M52-'d3-п'!M52</f>
        <v>0</v>
      </c>
      <c r="N52" s="228">
        <f>'d3'!N52-'d3-п'!N52</f>
        <v>0</v>
      </c>
      <c r="O52" s="228">
        <f>'d3'!O52-'d3-п'!O52</f>
        <v>0</v>
      </c>
      <c r="P52" s="228">
        <f>'d3'!P52-'d3-п'!P52</f>
        <v>-251585.05999999959</v>
      </c>
      <c r="R52" s="333"/>
    </row>
    <row r="53" spans="1:20" s="94" customFormat="1" ht="93" thickTop="1" thickBot="1" x14ac:dyDescent="0.25">
      <c r="A53" s="431" t="s">
        <v>394</v>
      </c>
      <c r="B53" s="431" t="s">
        <v>396</v>
      </c>
      <c r="C53" s="431" t="s">
        <v>280</v>
      </c>
      <c r="D53" s="230" t="s">
        <v>392</v>
      </c>
      <c r="E53" s="228">
        <f>'d3'!E53-'d3-п'!E53</f>
        <v>0</v>
      </c>
      <c r="F53" s="228">
        <f>'d3'!F53-'d3-п'!F53</f>
        <v>0</v>
      </c>
      <c r="G53" s="228">
        <f>'d3'!G53-'d3-п'!G53</f>
        <v>0</v>
      </c>
      <c r="H53" s="228">
        <f>'d3'!H53-'d3-п'!H53</f>
        <v>0</v>
      </c>
      <c r="I53" s="228">
        <f>'d3'!I53-'d3-п'!I53</f>
        <v>0</v>
      </c>
      <c r="J53" s="228">
        <f>'d3'!J53-'d3-п'!J53</f>
        <v>0</v>
      </c>
      <c r="K53" s="228">
        <f>'d3'!K53-'d3-п'!K53</f>
        <v>0</v>
      </c>
      <c r="L53" s="228">
        <f>'d3'!L53-'d3-п'!L53</f>
        <v>0</v>
      </c>
      <c r="M53" s="228">
        <f>'d3'!M53-'d3-п'!M53</f>
        <v>0</v>
      </c>
      <c r="N53" s="228">
        <f>'d3'!N53-'d3-п'!N53</f>
        <v>0</v>
      </c>
      <c r="O53" s="228">
        <f>'d3'!O53-'d3-п'!O53</f>
        <v>0</v>
      </c>
      <c r="P53" s="228">
        <f>'d3'!P53-'d3-п'!P53</f>
        <v>0</v>
      </c>
      <c r="R53" s="333"/>
    </row>
    <row r="54" spans="1:20" s="94" customFormat="1" ht="93" thickTop="1" thickBot="1" x14ac:dyDescent="0.25">
      <c r="A54" s="431" t="s">
        <v>563</v>
      </c>
      <c r="B54" s="431" t="s">
        <v>243</v>
      </c>
      <c r="C54" s="431" t="s">
        <v>210</v>
      </c>
      <c r="D54" s="431" t="s">
        <v>42</v>
      </c>
      <c r="E54" s="228">
        <f>'d3'!E54-'d3-п'!E54</f>
        <v>0</v>
      </c>
      <c r="F54" s="228">
        <f>'d3'!F54-'d3-п'!F54</f>
        <v>0</v>
      </c>
      <c r="G54" s="228">
        <f>'d3'!G54-'d3-п'!G54</f>
        <v>0</v>
      </c>
      <c r="H54" s="228">
        <f>'d3'!H54-'d3-п'!H54</f>
        <v>0</v>
      </c>
      <c r="I54" s="228">
        <f>'d3'!I54-'d3-п'!I54</f>
        <v>0</v>
      </c>
      <c r="J54" s="228">
        <f>'d3'!J54-'d3-п'!J54</f>
        <v>-123402.5700000003</v>
      </c>
      <c r="K54" s="228">
        <f>'d3'!K54-'d3-п'!K54</f>
        <v>-123402.5700000003</v>
      </c>
      <c r="L54" s="228">
        <f>'d3'!L54-'d3-п'!L54</f>
        <v>0</v>
      </c>
      <c r="M54" s="228">
        <f>'d3'!M54-'d3-п'!M54</f>
        <v>0</v>
      </c>
      <c r="N54" s="228">
        <f>'d3'!N54-'d3-п'!N54</f>
        <v>0</v>
      </c>
      <c r="O54" s="228">
        <f>'d3'!O54-'d3-п'!O54</f>
        <v>-123402.5700000003</v>
      </c>
      <c r="P54" s="228">
        <f>'d3'!P54-'d3-п'!P54</f>
        <v>-123402.5700000003</v>
      </c>
      <c r="R54" s="328" t="b">
        <f>K54='d5'!J69+'d5'!J70+'d5'!J71+'d5'!J72+'d5'!J73+'d5'!J74+'d5'!J76+'d5'!J77</f>
        <v>0</v>
      </c>
    </row>
    <row r="55" spans="1:20" s="94" customFormat="1" ht="93" hidden="1" thickTop="1" thickBot="1" x14ac:dyDescent="0.25">
      <c r="A55" s="406" t="s">
        <v>727</v>
      </c>
      <c r="B55" s="406" t="s">
        <v>443</v>
      </c>
      <c r="C55" s="406" t="s">
        <v>53</v>
      </c>
      <c r="D55" s="406" t="s">
        <v>444</v>
      </c>
      <c r="E55" s="407">
        <f t="shared" ref="E55" si="15">F55</f>
        <v>0</v>
      </c>
      <c r="F55" s="410"/>
      <c r="G55" s="410"/>
      <c r="H55" s="410"/>
      <c r="I55" s="410"/>
      <c r="J55" s="407">
        <f t="shared" ref="J55" si="16">L55+O55</f>
        <v>0</v>
      </c>
      <c r="K55" s="410"/>
      <c r="L55" s="410"/>
      <c r="M55" s="410"/>
      <c r="N55" s="410"/>
      <c r="O55" s="409">
        <f t="shared" ref="O55" si="17">K55</f>
        <v>0</v>
      </c>
      <c r="P55" s="407">
        <f t="shared" si="14"/>
        <v>0</v>
      </c>
      <c r="R55" s="328"/>
    </row>
    <row r="56" spans="1:20" ht="226.5" thickTop="1" thickBot="1" x14ac:dyDescent="0.25">
      <c r="A56" s="451" t="s">
        <v>196</v>
      </c>
      <c r="B56" s="451"/>
      <c r="C56" s="451"/>
      <c r="D56" s="452" t="s">
        <v>45</v>
      </c>
      <c r="E56" s="453">
        <f>E57</f>
        <v>279501</v>
      </c>
      <c r="F56" s="454">
        <f t="shared" ref="F56:G56" si="18">F57</f>
        <v>279501</v>
      </c>
      <c r="G56" s="454">
        <f t="shared" si="18"/>
        <v>0</v>
      </c>
      <c r="H56" s="454">
        <f>H57</f>
        <v>-115000</v>
      </c>
      <c r="I56" s="453">
        <f t="shared" ref="I56" si="19">I57</f>
        <v>0</v>
      </c>
      <c r="J56" s="453">
        <f>J57</f>
        <v>823499</v>
      </c>
      <c r="K56" s="454">
        <f>K57</f>
        <v>780499</v>
      </c>
      <c r="L56" s="454">
        <f>L57</f>
        <v>43000</v>
      </c>
      <c r="M56" s="454">
        <f t="shared" ref="M56" si="20">M57</f>
        <v>0</v>
      </c>
      <c r="N56" s="453">
        <f>N57</f>
        <v>0</v>
      </c>
      <c r="O56" s="453">
        <f>O57</f>
        <v>780499</v>
      </c>
      <c r="P56" s="454">
        <f>P57</f>
        <v>1103000</v>
      </c>
    </row>
    <row r="57" spans="1:20" ht="226.5" thickTop="1" thickBot="1" x14ac:dyDescent="0.25">
      <c r="A57" s="455" t="s">
        <v>197</v>
      </c>
      <c r="B57" s="455"/>
      <c r="C57" s="455"/>
      <c r="D57" s="456" t="s">
        <v>46</v>
      </c>
      <c r="E57" s="457">
        <f>SUM(E58:E90)</f>
        <v>279501</v>
      </c>
      <c r="F57" s="457">
        <f>SUM(F58:F90)</f>
        <v>279501</v>
      </c>
      <c r="G57" s="457">
        <f>SUM(G58:G90)</f>
        <v>0</v>
      </c>
      <c r="H57" s="457">
        <f>SUM(H58:H90)</f>
        <v>-115000</v>
      </c>
      <c r="I57" s="457">
        <f>SUM(I58:I90)</f>
        <v>0</v>
      </c>
      <c r="J57" s="457">
        <f t="shared" ref="J57" si="21">L57+O57</f>
        <v>823499</v>
      </c>
      <c r="K57" s="457">
        <f>SUM(K58:K90)</f>
        <v>780499</v>
      </c>
      <c r="L57" s="457">
        <f>SUM(L58:L90)</f>
        <v>43000</v>
      </c>
      <c r="M57" s="457">
        <f>SUM(M58:M90)</f>
        <v>0</v>
      </c>
      <c r="N57" s="457">
        <f>SUM(N58:N90)</f>
        <v>0</v>
      </c>
      <c r="O57" s="457">
        <f>SUM(O58:O90)</f>
        <v>780499</v>
      </c>
      <c r="P57" s="458">
        <f t="shared" ref="P57" si="22">E57+J57</f>
        <v>1103000</v>
      </c>
      <c r="Q57" s="334" t="b">
        <f>P57=P59+P60+P61+P62+P63+P66+P67+P68+P70+P71+P83+P84+P85+P72+P87+P58+P88+P64+P65+P69+P86+P90+P73+P76+P80</f>
        <v>1</v>
      </c>
      <c r="R57" s="335" t="b">
        <f>K57='d5'!J79</f>
        <v>0</v>
      </c>
      <c r="T57" s="334"/>
    </row>
    <row r="58" spans="1:20" ht="230.25" thickTop="1" thickBot="1" x14ac:dyDescent="0.25">
      <c r="A58" s="431" t="s">
        <v>513</v>
      </c>
      <c r="B58" s="431" t="s">
        <v>286</v>
      </c>
      <c r="C58" s="431" t="s">
        <v>284</v>
      </c>
      <c r="D58" s="431" t="s">
        <v>285</v>
      </c>
      <c r="E58" s="228">
        <f>'d3'!E58-'d3-п'!E58</f>
        <v>42000</v>
      </c>
      <c r="F58" s="228">
        <f>'d3'!F58-'d3-п'!F58</f>
        <v>42000</v>
      </c>
      <c r="G58" s="228">
        <f>'d3'!G58-'d3-п'!G58</f>
        <v>0</v>
      </c>
      <c r="H58" s="228">
        <f>'d3'!H58-'d3-п'!H58</f>
        <v>-85000</v>
      </c>
      <c r="I58" s="228">
        <f>'d3'!I58-'d3-п'!I58</f>
        <v>0</v>
      </c>
      <c r="J58" s="228">
        <f>'d3'!J58-'d3-п'!J58</f>
        <v>0</v>
      </c>
      <c r="K58" s="228">
        <f>'d3'!K58-'d3-п'!K58</f>
        <v>0</v>
      </c>
      <c r="L58" s="228">
        <f>'d3'!L58-'d3-п'!L58</f>
        <v>0</v>
      </c>
      <c r="M58" s="228">
        <f>'d3'!M58-'d3-п'!M58</f>
        <v>0</v>
      </c>
      <c r="N58" s="228">
        <f>'d3'!N58-'d3-п'!N58</f>
        <v>0</v>
      </c>
      <c r="O58" s="228">
        <f>'d3'!O58-'d3-п'!O58</f>
        <v>0</v>
      </c>
      <c r="P58" s="228">
        <f>'d3'!P58-'d3-п'!P58</f>
        <v>42000</v>
      </c>
      <c r="Q58" s="334"/>
      <c r="R58" s="335" t="b">
        <f>K58='d5'!J80+'d5'!J81</f>
        <v>0</v>
      </c>
      <c r="T58" s="334"/>
    </row>
    <row r="59" spans="1:20" s="94" customFormat="1" ht="138.75" thickTop="1" thickBot="1" x14ac:dyDescent="0.25">
      <c r="A59" s="431" t="s">
        <v>320</v>
      </c>
      <c r="B59" s="431" t="s">
        <v>321</v>
      </c>
      <c r="C59" s="431" t="s">
        <v>251</v>
      </c>
      <c r="D59" s="229" t="s">
        <v>322</v>
      </c>
      <c r="E59" s="228">
        <f>'d3'!E59-'d3-п'!E59</f>
        <v>0</v>
      </c>
      <c r="F59" s="228">
        <f>'d3'!F59-'d3-п'!F59</f>
        <v>0</v>
      </c>
      <c r="G59" s="228">
        <f>'d3'!G59-'d3-п'!G59</f>
        <v>0</v>
      </c>
      <c r="H59" s="228">
        <f>'d3'!H59-'d3-п'!H59</f>
        <v>0</v>
      </c>
      <c r="I59" s="228">
        <f>'d3'!I59-'d3-п'!I59</f>
        <v>0</v>
      </c>
      <c r="J59" s="228">
        <f>'d3'!J59-'d3-п'!J59</f>
        <v>0</v>
      </c>
      <c r="K59" s="228">
        <f>'d3'!K59-'d3-п'!K59</f>
        <v>0</v>
      </c>
      <c r="L59" s="228">
        <f>'d3'!L59-'d3-п'!L59</f>
        <v>0</v>
      </c>
      <c r="M59" s="228">
        <f>'d3'!M59-'d3-п'!M59</f>
        <v>0</v>
      </c>
      <c r="N59" s="228">
        <f>'d3'!N59-'d3-п'!N59</f>
        <v>0</v>
      </c>
      <c r="O59" s="228">
        <f>'d3'!O59-'d3-п'!O59</f>
        <v>0</v>
      </c>
      <c r="P59" s="228">
        <f>'d3'!P59-'d3-п'!P59</f>
        <v>0</v>
      </c>
      <c r="R59" s="335" t="b">
        <f>K59='d5'!J82</f>
        <v>0</v>
      </c>
    </row>
    <row r="60" spans="1:20" s="94" customFormat="1" ht="138.75" thickTop="1" thickBot="1" x14ac:dyDescent="0.25">
      <c r="A60" s="431" t="s">
        <v>323</v>
      </c>
      <c r="B60" s="431" t="s">
        <v>324</v>
      </c>
      <c r="C60" s="431" t="s">
        <v>252</v>
      </c>
      <c r="D60" s="431" t="s">
        <v>7</v>
      </c>
      <c r="E60" s="228">
        <f>'d3'!E60-'d3-п'!E60</f>
        <v>-200000</v>
      </c>
      <c r="F60" s="228">
        <f>'d3'!F60-'d3-п'!F60</f>
        <v>-200000</v>
      </c>
      <c r="G60" s="228">
        <f>'d3'!G60-'d3-п'!G60</f>
        <v>0</v>
      </c>
      <c r="H60" s="228">
        <f>'d3'!H60-'d3-п'!H60</f>
        <v>0</v>
      </c>
      <c r="I60" s="228">
        <f>'d3'!I60-'d3-п'!I60</f>
        <v>0</v>
      </c>
      <c r="J60" s="228">
        <f>'d3'!J60-'d3-п'!J60</f>
        <v>0</v>
      </c>
      <c r="K60" s="228">
        <f>'d3'!K60-'d3-п'!K60</f>
        <v>0</v>
      </c>
      <c r="L60" s="228">
        <f>'d3'!L60-'d3-п'!L60</f>
        <v>0</v>
      </c>
      <c r="M60" s="228">
        <f>'d3'!M60-'d3-п'!M60</f>
        <v>0</v>
      </c>
      <c r="N60" s="228">
        <f>'d3'!N60-'d3-п'!N60</f>
        <v>0</v>
      </c>
      <c r="O60" s="228">
        <f>'d3'!O60-'d3-п'!O60</f>
        <v>0</v>
      </c>
      <c r="P60" s="228">
        <f>'d3'!P60-'d3-п'!P60</f>
        <v>-200000</v>
      </c>
      <c r="R60" s="335"/>
    </row>
    <row r="61" spans="1:20" s="94" customFormat="1" ht="184.5" thickTop="1" thickBot="1" x14ac:dyDescent="0.25">
      <c r="A61" s="431" t="s">
        <v>326</v>
      </c>
      <c r="B61" s="431" t="s">
        <v>327</v>
      </c>
      <c r="C61" s="431" t="s">
        <v>252</v>
      </c>
      <c r="D61" s="431" t="s">
        <v>8</v>
      </c>
      <c r="E61" s="228">
        <f>'d3'!E61-'d3-п'!E61</f>
        <v>550000</v>
      </c>
      <c r="F61" s="228">
        <f>'d3'!F61-'d3-п'!F61</f>
        <v>550000</v>
      </c>
      <c r="G61" s="228">
        <f>'d3'!G61-'d3-п'!G61</f>
        <v>0</v>
      </c>
      <c r="H61" s="228">
        <f>'d3'!H61-'d3-п'!H61</f>
        <v>0</v>
      </c>
      <c r="I61" s="228">
        <f>'d3'!I61-'d3-п'!I61</f>
        <v>0</v>
      </c>
      <c r="J61" s="228">
        <f>'d3'!J61-'d3-п'!J61</f>
        <v>0</v>
      </c>
      <c r="K61" s="228">
        <f>'d3'!K61-'d3-п'!K61</f>
        <v>0</v>
      </c>
      <c r="L61" s="228">
        <f>'d3'!L61-'d3-п'!L61</f>
        <v>0</v>
      </c>
      <c r="M61" s="228">
        <f>'d3'!M61-'d3-п'!M61</f>
        <v>0</v>
      </c>
      <c r="N61" s="228">
        <f>'d3'!N61-'d3-п'!N61</f>
        <v>0</v>
      </c>
      <c r="O61" s="228">
        <f>'d3'!O61-'d3-п'!O61</f>
        <v>0</v>
      </c>
      <c r="P61" s="228">
        <f>'d3'!P61-'d3-п'!P61</f>
        <v>550000</v>
      </c>
      <c r="R61" s="335"/>
    </row>
    <row r="62" spans="1:20" s="94" customFormat="1" ht="184.5" thickTop="1" thickBot="1" x14ac:dyDescent="0.25">
      <c r="A62" s="431" t="s">
        <v>328</v>
      </c>
      <c r="B62" s="431" t="s">
        <v>325</v>
      </c>
      <c r="C62" s="431" t="s">
        <v>252</v>
      </c>
      <c r="D62" s="431" t="s">
        <v>9</v>
      </c>
      <c r="E62" s="228">
        <f>'d3'!E62-'d3-п'!E62</f>
        <v>-250000</v>
      </c>
      <c r="F62" s="228">
        <f>'d3'!F62-'d3-п'!F62</f>
        <v>-250000</v>
      </c>
      <c r="G62" s="228">
        <f>'d3'!G62-'d3-п'!G62</f>
        <v>0</v>
      </c>
      <c r="H62" s="228">
        <f>'d3'!H62-'d3-п'!H62</f>
        <v>0</v>
      </c>
      <c r="I62" s="228">
        <f>'d3'!I62-'d3-п'!I62</f>
        <v>0</v>
      </c>
      <c r="J62" s="228">
        <f>'d3'!J62-'d3-п'!J62</f>
        <v>0</v>
      </c>
      <c r="K62" s="228">
        <f>'d3'!K62-'d3-п'!K62</f>
        <v>0</v>
      </c>
      <c r="L62" s="228">
        <f>'d3'!L62-'d3-п'!L62</f>
        <v>0</v>
      </c>
      <c r="M62" s="228">
        <f>'d3'!M62-'d3-п'!M62</f>
        <v>0</v>
      </c>
      <c r="N62" s="228">
        <f>'d3'!N62-'d3-п'!N62</f>
        <v>0</v>
      </c>
      <c r="O62" s="228">
        <f>'d3'!O62-'d3-п'!O62</f>
        <v>0</v>
      </c>
      <c r="P62" s="228">
        <f>'d3'!P62-'d3-п'!P62</f>
        <v>-250000</v>
      </c>
      <c r="R62" s="335"/>
    </row>
    <row r="63" spans="1:20" s="94" customFormat="1" ht="184.5" thickTop="1" thickBot="1" x14ac:dyDescent="0.25">
      <c r="A63" s="431" t="s">
        <v>329</v>
      </c>
      <c r="B63" s="431" t="s">
        <v>330</v>
      </c>
      <c r="C63" s="431" t="s">
        <v>252</v>
      </c>
      <c r="D63" s="431" t="s">
        <v>11</v>
      </c>
      <c r="E63" s="228">
        <f>'d3'!E63-'d3-п'!E63</f>
        <v>-1400000</v>
      </c>
      <c r="F63" s="228">
        <f>'d3'!F63-'d3-п'!F63</f>
        <v>-1400000</v>
      </c>
      <c r="G63" s="228">
        <f>'d3'!G63-'d3-п'!G63</f>
        <v>0</v>
      </c>
      <c r="H63" s="228">
        <f>'d3'!H63-'d3-п'!H63</f>
        <v>0</v>
      </c>
      <c r="I63" s="228">
        <f>'d3'!I63-'d3-п'!I63</f>
        <v>0</v>
      </c>
      <c r="J63" s="228">
        <f>'d3'!J63-'d3-п'!J63</f>
        <v>0</v>
      </c>
      <c r="K63" s="228">
        <f>'d3'!K63-'d3-п'!K63</f>
        <v>0</v>
      </c>
      <c r="L63" s="228">
        <f>'d3'!L63-'d3-п'!L63</f>
        <v>0</v>
      </c>
      <c r="M63" s="228">
        <f>'d3'!M63-'d3-п'!M63</f>
        <v>0</v>
      </c>
      <c r="N63" s="228">
        <f>'d3'!N63-'d3-п'!N63</f>
        <v>0</v>
      </c>
      <c r="O63" s="228">
        <f>'d3'!O63-'d3-п'!O63</f>
        <v>0</v>
      </c>
      <c r="P63" s="228">
        <f>'d3'!P63-'d3-п'!P63</f>
        <v>-1400000</v>
      </c>
      <c r="R63" s="335"/>
    </row>
    <row r="64" spans="1:20" s="94" customFormat="1" ht="184.5" thickTop="1" thickBot="1" x14ac:dyDescent="0.25">
      <c r="A64" s="431" t="s">
        <v>679</v>
      </c>
      <c r="B64" s="431" t="s">
        <v>680</v>
      </c>
      <c r="C64" s="431" t="s">
        <v>252</v>
      </c>
      <c r="D64" s="431" t="s">
        <v>681</v>
      </c>
      <c r="E64" s="228">
        <f>'d3'!E64-'d3-п'!E64</f>
        <v>0</v>
      </c>
      <c r="F64" s="228">
        <f>'d3'!F64-'d3-п'!F64</f>
        <v>0</v>
      </c>
      <c r="G64" s="228">
        <f>'d3'!G64-'d3-п'!G64</f>
        <v>0</v>
      </c>
      <c r="H64" s="228">
        <f>'d3'!H64-'d3-п'!H64</f>
        <v>0</v>
      </c>
      <c r="I64" s="228">
        <f>'d3'!I64-'d3-п'!I64</f>
        <v>0</v>
      </c>
      <c r="J64" s="228">
        <f>'d3'!J64-'d3-п'!J64</f>
        <v>0</v>
      </c>
      <c r="K64" s="228">
        <f>'d3'!K64-'d3-п'!K64</f>
        <v>0</v>
      </c>
      <c r="L64" s="228">
        <f>'d3'!L64-'d3-п'!L64</f>
        <v>0</v>
      </c>
      <c r="M64" s="228">
        <f>'d3'!M64-'d3-п'!M64</f>
        <v>0</v>
      </c>
      <c r="N64" s="228">
        <f>'d3'!N64-'d3-п'!N64</f>
        <v>0</v>
      </c>
      <c r="O64" s="228">
        <f>'d3'!O64-'d3-п'!O64</f>
        <v>0</v>
      </c>
      <c r="P64" s="228">
        <f>'d3'!P64-'d3-п'!P64</f>
        <v>0</v>
      </c>
      <c r="R64" s="335"/>
    </row>
    <row r="65" spans="1:18" s="94" customFormat="1" ht="138.75" thickTop="1" thickBot="1" x14ac:dyDescent="0.25">
      <c r="A65" s="431" t="s">
        <v>682</v>
      </c>
      <c r="B65" s="431" t="s">
        <v>683</v>
      </c>
      <c r="C65" s="431" t="s">
        <v>251</v>
      </c>
      <c r="D65" s="431" t="s">
        <v>684</v>
      </c>
      <c r="E65" s="228">
        <f>'d3'!E65-'d3-п'!E65</f>
        <v>0</v>
      </c>
      <c r="F65" s="228">
        <f>'d3'!F65-'d3-п'!F65</f>
        <v>0</v>
      </c>
      <c r="G65" s="228">
        <f>'d3'!G65-'d3-п'!G65</f>
        <v>0</v>
      </c>
      <c r="H65" s="228">
        <f>'d3'!H65-'d3-п'!H65</f>
        <v>0</v>
      </c>
      <c r="I65" s="228">
        <f>'d3'!I65-'d3-п'!I65</f>
        <v>0</v>
      </c>
      <c r="J65" s="228">
        <f>'d3'!J65-'d3-п'!J65</f>
        <v>0</v>
      </c>
      <c r="K65" s="228">
        <f>'d3'!K65-'d3-п'!K65</f>
        <v>0</v>
      </c>
      <c r="L65" s="228">
        <f>'d3'!L65-'d3-п'!L65</f>
        <v>0</v>
      </c>
      <c r="M65" s="228">
        <f>'d3'!M65-'d3-п'!M65</f>
        <v>0</v>
      </c>
      <c r="N65" s="228">
        <f>'d3'!N65-'d3-п'!N65</f>
        <v>0</v>
      </c>
      <c r="O65" s="228">
        <f>'d3'!O65-'d3-п'!O65</f>
        <v>0</v>
      </c>
      <c r="P65" s="228">
        <f>'d3'!P65-'d3-п'!P65</f>
        <v>0</v>
      </c>
      <c r="R65" s="335"/>
    </row>
    <row r="66" spans="1:18" ht="276" thickTop="1" thickBot="1" x14ac:dyDescent="0.25">
      <c r="A66" s="431" t="s">
        <v>318</v>
      </c>
      <c r="B66" s="431" t="s">
        <v>316</v>
      </c>
      <c r="C66" s="431" t="s">
        <v>246</v>
      </c>
      <c r="D66" s="431" t="s">
        <v>21</v>
      </c>
      <c r="E66" s="228">
        <f>'d3'!E66-'d3-п'!E66</f>
        <v>0</v>
      </c>
      <c r="F66" s="228">
        <f>'d3'!F66-'d3-п'!F66</f>
        <v>0</v>
      </c>
      <c r="G66" s="228">
        <f>'d3'!G66-'d3-п'!G66</f>
        <v>0</v>
      </c>
      <c r="H66" s="228">
        <f>'d3'!H66-'d3-п'!H66</f>
        <v>0</v>
      </c>
      <c r="I66" s="228">
        <f>'d3'!I66-'d3-п'!I66</f>
        <v>0</v>
      </c>
      <c r="J66" s="228">
        <f>'d3'!J66-'d3-п'!J66</f>
        <v>0</v>
      </c>
      <c r="K66" s="228">
        <f>'d3'!K66-'d3-п'!K66</f>
        <v>0</v>
      </c>
      <c r="L66" s="228">
        <f>'d3'!L66-'d3-п'!L66</f>
        <v>0</v>
      </c>
      <c r="M66" s="228">
        <f>'d3'!M66-'d3-п'!M66</f>
        <v>0</v>
      </c>
      <c r="N66" s="228">
        <f>'d3'!N66-'d3-п'!N66</f>
        <v>0</v>
      </c>
      <c r="O66" s="228">
        <f>'d3'!O66-'d3-п'!O66</f>
        <v>0</v>
      </c>
      <c r="P66" s="228">
        <f>'d3'!P66-'d3-п'!P66</f>
        <v>0</v>
      </c>
      <c r="R66" s="335"/>
    </row>
    <row r="67" spans="1:18" ht="138.75" thickTop="1" thickBot="1" x14ac:dyDescent="0.25">
      <c r="A67" s="431" t="s">
        <v>319</v>
      </c>
      <c r="B67" s="431" t="s">
        <v>317</v>
      </c>
      <c r="C67" s="431" t="s">
        <v>245</v>
      </c>
      <c r="D67" s="431" t="s">
        <v>606</v>
      </c>
      <c r="E67" s="228">
        <f>'d3'!E67-'d3-п'!E67</f>
        <v>-132499</v>
      </c>
      <c r="F67" s="228">
        <f>'d3'!F67-'d3-п'!F67</f>
        <v>-132499</v>
      </c>
      <c r="G67" s="228">
        <f>'d3'!G67-'d3-п'!G67</f>
        <v>0</v>
      </c>
      <c r="H67" s="228">
        <f>'d3'!H67-'d3-п'!H67</f>
        <v>0</v>
      </c>
      <c r="I67" s="228">
        <f>'d3'!I67-'d3-п'!I67</f>
        <v>0</v>
      </c>
      <c r="J67" s="228">
        <f>'d3'!J67-'d3-п'!J67</f>
        <v>117499</v>
      </c>
      <c r="K67" s="228">
        <f>'d3'!K67-'d3-п'!K67</f>
        <v>117499</v>
      </c>
      <c r="L67" s="228">
        <f>'d3'!L67-'d3-п'!L67</f>
        <v>0</v>
      </c>
      <c r="M67" s="228">
        <f>'d3'!M67-'d3-п'!M67</f>
        <v>0</v>
      </c>
      <c r="N67" s="228">
        <f>'d3'!N67-'d3-п'!N67</f>
        <v>0</v>
      </c>
      <c r="O67" s="228">
        <f>'d3'!O67-'d3-п'!O67</f>
        <v>117499</v>
      </c>
      <c r="P67" s="228">
        <f>'d3'!P67-'d3-п'!P67</f>
        <v>-15000</v>
      </c>
      <c r="R67" s="335" t="b">
        <f>K67='d5'!J84</f>
        <v>0</v>
      </c>
    </row>
    <row r="68" spans="1:18" ht="409.6" thickTop="1" thickBot="1" x14ac:dyDescent="0.25">
      <c r="A68" s="431" t="s">
        <v>314</v>
      </c>
      <c r="B68" s="431" t="s">
        <v>315</v>
      </c>
      <c r="C68" s="431" t="s">
        <v>245</v>
      </c>
      <c r="D68" s="431" t="s">
        <v>604</v>
      </c>
      <c r="E68" s="228">
        <f>'d3'!E68-'d3-п'!E68</f>
        <v>0</v>
      </c>
      <c r="F68" s="228">
        <f>'d3'!F68-'d3-п'!F68</f>
        <v>0</v>
      </c>
      <c r="G68" s="228">
        <f>'d3'!G68-'d3-п'!G68</f>
        <v>0</v>
      </c>
      <c r="H68" s="228">
        <f>'d3'!H68-'d3-п'!H68</f>
        <v>0</v>
      </c>
      <c r="I68" s="228">
        <f>'d3'!I68-'d3-п'!I68</f>
        <v>0</v>
      </c>
      <c r="J68" s="228">
        <f>'d3'!J68-'d3-п'!J68</f>
        <v>0</v>
      </c>
      <c r="K68" s="228">
        <f>'d3'!K68-'d3-п'!K68</f>
        <v>0</v>
      </c>
      <c r="L68" s="228">
        <f>'d3'!L68-'d3-п'!L68</f>
        <v>0</v>
      </c>
      <c r="M68" s="228">
        <f>'d3'!M68-'d3-п'!M68</f>
        <v>0</v>
      </c>
      <c r="N68" s="228">
        <f>'d3'!N68-'d3-п'!N68</f>
        <v>0</v>
      </c>
      <c r="O68" s="228">
        <f>'d3'!O68-'d3-п'!O68</f>
        <v>0</v>
      </c>
      <c r="P68" s="228">
        <f>'d3'!P68-'d3-п'!P68</f>
        <v>0</v>
      </c>
      <c r="R68" s="335"/>
    </row>
    <row r="69" spans="1:18" ht="276" thickTop="1" thickBot="1" x14ac:dyDescent="0.25">
      <c r="A69" s="431" t="s">
        <v>685</v>
      </c>
      <c r="B69" s="431" t="s">
        <v>686</v>
      </c>
      <c r="C69" s="431" t="s">
        <v>245</v>
      </c>
      <c r="D69" s="431" t="s">
        <v>687</v>
      </c>
      <c r="E69" s="228">
        <f>'d3'!E69-'d3-п'!E69</f>
        <v>0</v>
      </c>
      <c r="F69" s="228">
        <f>'d3'!F69-'d3-п'!F69</f>
        <v>0</v>
      </c>
      <c r="G69" s="228">
        <f>'d3'!G69-'d3-п'!G69</f>
        <v>0</v>
      </c>
      <c r="H69" s="228">
        <f>'d3'!H69-'d3-п'!H69</f>
        <v>0</v>
      </c>
      <c r="I69" s="228">
        <f>'d3'!I69-'d3-п'!I69</f>
        <v>0</v>
      </c>
      <c r="J69" s="228">
        <f>'d3'!J69-'d3-п'!J69</f>
        <v>0</v>
      </c>
      <c r="K69" s="228">
        <f>'d3'!K69-'d3-п'!K69</f>
        <v>0</v>
      </c>
      <c r="L69" s="228">
        <f>'d3'!L69-'d3-п'!L69</f>
        <v>0</v>
      </c>
      <c r="M69" s="228">
        <f>'d3'!M69-'d3-п'!M69</f>
        <v>0</v>
      </c>
      <c r="N69" s="228">
        <f>'d3'!N69-'d3-п'!N69</f>
        <v>0</v>
      </c>
      <c r="O69" s="228">
        <f>'d3'!O69-'d3-п'!O69</f>
        <v>0</v>
      </c>
      <c r="P69" s="228">
        <f>'d3'!P69-'d3-п'!P69</f>
        <v>0</v>
      </c>
      <c r="R69" s="335"/>
    </row>
    <row r="70" spans="1:18" ht="367.5" thickTop="1" thickBot="1" x14ac:dyDescent="0.25">
      <c r="A70" s="431" t="s">
        <v>424</v>
      </c>
      <c r="B70" s="431" t="s">
        <v>423</v>
      </c>
      <c r="C70" s="431" t="s">
        <v>60</v>
      </c>
      <c r="D70" s="431" t="s">
        <v>605</v>
      </c>
      <c r="E70" s="228">
        <f>'d3'!E70-'d3-п'!E70</f>
        <v>170000</v>
      </c>
      <c r="F70" s="228">
        <f>'d3'!F70-'d3-п'!F70</f>
        <v>170000</v>
      </c>
      <c r="G70" s="228">
        <f>'d3'!G70-'d3-п'!G70</f>
        <v>0</v>
      </c>
      <c r="H70" s="228">
        <f>'d3'!H70-'d3-п'!H70</f>
        <v>0</v>
      </c>
      <c r="I70" s="228">
        <f>'d3'!I70-'d3-п'!I70</f>
        <v>0</v>
      </c>
      <c r="J70" s="228">
        <f>'d3'!J70-'d3-п'!J70</f>
        <v>0</v>
      </c>
      <c r="K70" s="228">
        <f>'d3'!K70-'d3-п'!K70</f>
        <v>0</v>
      </c>
      <c r="L70" s="228">
        <f>'d3'!L70-'d3-п'!L70</f>
        <v>0</v>
      </c>
      <c r="M70" s="228">
        <f>'d3'!M70-'d3-п'!M70</f>
        <v>0</v>
      </c>
      <c r="N70" s="228">
        <f>'d3'!N70-'d3-п'!N70</f>
        <v>0</v>
      </c>
      <c r="O70" s="228">
        <f>'d3'!O70-'d3-п'!O70</f>
        <v>0</v>
      </c>
      <c r="P70" s="228">
        <f>'d3'!P70-'d3-п'!P70</f>
        <v>170000</v>
      </c>
      <c r="R70" s="335"/>
    </row>
    <row r="71" spans="1:18" ht="230.25" thickTop="1" thickBot="1" x14ac:dyDescent="0.25">
      <c r="A71" s="431" t="s">
        <v>397</v>
      </c>
      <c r="B71" s="431" t="s">
        <v>398</v>
      </c>
      <c r="C71" s="431" t="s">
        <v>251</v>
      </c>
      <c r="D71" s="431" t="s">
        <v>425</v>
      </c>
      <c r="E71" s="228">
        <f>'d3'!E71-'d3-п'!E71</f>
        <v>30000</v>
      </c>
      <c r="F71" s="228">
        <f>'d3'!F71-'d3-п'!F71</f>
        <v>30000</v>
      </c>
      <c r="G71" s="228">
        <f>'d3'!G71-'d3-п'!G71</f>
        <v>0</v>
      </c>
      <c r="H71" s="228">
        <f>'d3'!H71-'d3-п'!H71</f>
        <v>0</v>
      </c>
      <c r="I71" s="228">
        <f>'d3'!I71-'d3-п'!I71</f>
        <v>0</v>
      </c>
      <c r="J71" s="228">
        <f>'d3'!J71-'d3-п'!J71</f>
        <v>0</v>
      </c>
      <c r="K71" s="228">
        <f>'d3'!K71-'d3-п'!K71</f>
        <v>0</v>
      </c>
      <c r="L71" s="228">
        <f>'d3'!L71-'d3-п'!L71</f>
        <v>0</v>
      </c>
      <c r="M71" s="228">
        <f>'d3'!M71-'d3-п'!M71</f>
        <v>0</v>
      </c>
      <c r="N71" s="228">
        <f>'d3'!N71-'d3-п'!N71</f>
        <v>0</v>
      </c>
      <c r="O71" s="228">
        <f>'d3'!O71-'d3-п'!O71</f>
        <v>0</v>
      </c>
      <c r="P71" s="228">
        <f>'d3'!P71-'d3-п'!P71</f>
        <v>30000</v>
      </c>
      <c r="R71" s="335"/>
    </row>
    <row r="72" spans="1:18" ht="93" thickTop="1" thickBot="1" x14ac:dyDescent="0.25">
      <c r="A72" s="431" t="s">
        <v>537</v>
      </c>
      <c r="B72" s="431" t="s">
        <v>456</v>
      </c>
      <c r="C72" s="431" t="s">
        <v>457</v>
      </c>
      <c r="D72" s="431" t="s">
        <v>455</v>
      </c>
      <c r="E72" s="228">
        <f>'d3'!E72-'d3-п'!E72</f>
        <v>0</v>
      </c>
      <c r="F72" s="228">
        <f>'d3'!F72-'d3-п'!F72</f>
        <v>0</v>
      </c>
      <c r="G72" s="228">
        <f>'d3'!G72-'d3-п'!G72</f>
        <v>0</v>
      </c>
      <c r="H72" s="228">
        <f>'d3'!H72-'d3-п'!H72</f>
        <v>0</v>
      </c>
      <c r="I72" s="228">
        <f>'d3'!I72-'d3-п'!I72</f>
        <v>0</v>
      </c>
      <c r="J72" s="228">
        <f>'d3'!J72-'d3-п'!J72</f>
        <v>0</v>
      </c>
      <c r="K72" s="228">
        <f>'d3'!K72-'d3-п'!K72</f>
        <v>0</v>
      </c>
      <c r="L72" s="228">
        <f>'d3'!L72-'d3-п'!L72</f>
        <v>0</v>
      </c>
      <c r="M72" s="228">
        <f>'d3'!M72-'d3-п'!M72</f>
        <v>0</v>
      </c>
      <c r="N72" s="228">
        <f>'d3'!N72-'d3-п'!N72</f>
        <v>0</v>
      </c>
      <c r="O72" s="228">
        <f>'d3'!O72-'d3-п'!O72</f>
        <v>0</v>
      </c>
      <c r="P72" s="228">
        <f>'d3'!P72-'d3-п'!P72</f>
        <v>0</v>
      </c>
      <c r="R72" s="335"/>
    </row>
    <row r="73" spans="1:18" ht="409.6" thickTop="1" x14ac:dyDescent="0.65">
      <c r="A73" s="568" t="s">
        <v>949</v>
      </c>
      <c r="B73" s="568" t="s">
        <v>950</v>
      </c>
      <c r="C73" s="570" t="s">
        <v>60</v>
      </c>
      <c r="D73" s="425" t="s">
        <v>951</v>
      </c>
      <c r="E73" s="568">
        <f>'d3'!E73-'d3-п'!E73</f>
        <v>0</v>
      </c>
      <c r="F73" s="568">
        <f>'d3'!F73-'d3-п'!F73</f>
        <v>0</v>
      </c>
      <c r="G73" s="568">
        <f>'d3'!G73-'d3-п'!G73</f>
        <v>0</v>
      </c>
      <c r="H73" s="568">
        <f>'d3'!H73-'d3-п'!H73</f>
        <v>0</v>
      </c>
      <c r="I73" s="568">
        <f>'d3'!I73-'d3-п'!I73</f>
        <v>0</v>
      </c>
      <c r="J73" s="568">
        <f>'d3'!J73-'d3-п'!J73</f>
        <v>0</v>
      </c>
      <c r="K73" s="568">
        <f>'d3'!K73-'d3-п'!K73</f>
        <v>0</v>
      </c>
      <c r="L73" s="568">
        <f>'d3'!L73-'d3-п'!L73</f>
        <v>0</v>
      </c>
      <c r="M73" s="568">
        <f>'d3'!M73-'d3-п'!M73</f>
        <v>0</v>
      </c>
      <c r="N73" s="568">
        <f>'d3'!N73-'d3-п'!N73</f>
        <v>0</v>
      </c>
      <c r="O73" s="568">
        <f>'d3'!O73-'d3-п'!O73</f>
        <v>0</v>
      </c>
      <c r="P73" s="568">
        <f>'d3'!P73-'d3-п'!P73</f>
        <v>0</v>
      </c>
      <c r="R73" s="335"/>
    </row>
    <row r="74" spans="1:18" ht="409.5" x14ac:dyDescent="0.2">
      <c r="A74" s="566"/>
      <c r="B74" s="566"/>
      <c r="C74" s="571"/>
      <c r="D74" s="426" t="s">
        <v>952</v>
      </c>
      <c r="E74" s="665"/>
      <c r="F74" s="665">
        <f>'d3'!F74-'d3-п'!F74</f>
        <v>0</v>
      </c>
      <c r="G74" s="665">
        <f>'d3'!G74-'d3-п'!G74</f>
        <v>0</v>
      </c>
      <c r="H74" s="665">
        <f>'d3'!H74-'d3-п'!H74</f>
        <v>0</v>
      </c>
      <c r="I74" s="665">
        <f>'d3'!I74-'d3-п'!I74</f>
        <v>0</v>
      </c>
      <c r="J74" s="665">
        <f>'d3'!J74-'d3-п'!J74</f>
        <v>0</v>
      </c>
      <c r="K74" s="665">
        <f>'d3'!K74-'d3-п'!K74</f>
        <v>0</v>
      </c>
      <c r="L74" s="665">
        <f>'d3'!L74-'d3-п'!L74</f>
        <v>0</v>
      </c>
      <c r="M74" s="665">
        <f>'d3'!M74-'d3-п'!M74</f>
        <v>0</v>
      </c>
      <c r="N74" s="665">
        <f>'d3'!N74-'d3-п'!N74</f>
        <v>0</v>
      </c>
      <c r="O74" s="665">
        <f>'d3'!O74-'d3-п'!O74</f>
        <v>0</v>
      </c>
      <c r="P74" s="665">
        <f>'d3'!P74-'d3-п'!P74</f>
        <v>0</v>
      </c>
      <c r="R74" s="335" t="b">
        <f>P73='d5'!J85</f>
        <v>0</v>
      </c>
    </row>
    <row r="75" spans="1:18" ht="373.5" customHeight="1" thickBot="1" x14ac:dyDescent="0.25">
      <c r="A75" s="567"/>
      <c r="B75" s="567"/>
      <c r="C75" s="572"/>
      <c r="D75" s="427" t="s">
        <v>953</v>
      </c>
      <c r="E75" s="652"/>
      <c r="F75" s="652">
        <f>'d3'!F75-'d3-п'!F75</f>
        <v>0</v>
      </c>
      <c r="G75" s="652">
        <f>'d3'!G75-'d3-п'!G75</f>
        <v>0</v>
      </c>
      <c r="H75" s="652">
        <f>'d3'!H75-'d3-п'!H75</f>
        <v>0</v>
      </c>
      <c r="I75" s="652">
        <f>'d3'!I75-'d3-п'!I75</f>
        <v>0</v>
      </c>
      <c r="J75" s="652">
        <f>'d3'!J75-'d3-п'!J75</f>
        <v>0</v>
      </c>
      <c r="K75" s="652">
        <f>'d3'!K75-'d3-п'!K75</f>
        <v>0</v>
      </c>
      <c r="L75" s="652">
        <f>'d3'!L75-'d3-п'!L75</f>
        <v>0</v>
      </c>
      <c r="M75" s="652">
        <f>'d3'!M75-'d3-п'!M75</f>
        <v>0</v>
      </c>
      <c r="N75" s="652">
        <f>'d3'!N75-'d3-п'!N75</f>
        <v>0</v>
      </c>
      <c r="O75" s="652">
        <f>'d3'!O75-'d3-п'!O75</f>
        <v>0</v>
      </c>
      <c r="P75" s="652">
        <f>'d3'!P75-'d3-п'!P75</f>
        <v>0</v>
      </c>
      <c r="R75" s="335"/>
    </row>
    <row r="76" spans="1:18" ht="409.6" thickTop="1" x14ac:dyDescent="0.2">
      <c r="A76" s="569" t="s">
        <v>954</v>
      </c>
      <c r="B76" s="569" t="s">
        <v>955</v>
      </c>
      <c r="C76" s="569" t="s">
        <v>60</v>
      </c>
      <c r="D76" s="433" t="s">
        <v>956</v>
      </c>
      <c r="E76" s="568">
        <f>'d3'!E76-'d3-п'!E76</f>
        <v>0</v>
      </c>
      <c r="F76" s="568">
        <f>'d3'!F76-'d3-п'!F76</f>
        <v>0</v>
      </c>
      <c r="G76" s="568">
        <f>'d3'!G76-'d3-п'!G76</f>
        <v>0</v>
      </c>
      <c r="H76" s="568">
        <f>'d3'!H76-'d3-п'!H76</f>
        <v>0</v>
      </c>
      <c r="I76" s="568">
        <f>'d3'!I76-'d3-п'!I76</f>
        <v>0</v>
      </c>
      <c r="J76" s="568">
        <f>'d3'!J76-'d3-п'!J76</f>
        <v>0</v>
      </c>
      <c r="K76" s="568">
        <f>'d3'!K76-'d3-п'!K76</f>
        <v>0</v>
      </c>
      <c r="L76" s="568">
        <f>'d3'!L76-'d3-п'!L76</f>
        <v>0</v>
      </c>
      <c r="M76" s="568">
        <f>'d3'!M76-'d3-п'!M76</f>
        <v>0</v>
      </c>
      <c r="N76" s="568">
        <f>'d3'!N76-'d3-п'!N76</f>
        <v>0</v>
      </c>
      <c r="O76" s="568">
        <f>'d3'!O76-'d3-п'!O76</f>
        <v>0</v>
      </c>
      <c r="P76" s="568">
        <f>'d3'!P76-'d3-п'!P76</f>
        <v>0</v>
      </c>
      <c r="R76" s="335"/>
    </row>
    <row r="77" spans="1:18" ht="409.5" customHeight="1" x14ac:dyDescent="0.2">
      <c r="A77" s="566"/>
      <c r="B77" s="566"/>
      <c r="C77" s="566"/>
      <c r="D77" s="426" t="s">
        <v>957</v>
      </c>
      <c r="E77" s="665"/>
      <c r="F77" s="665">
        <f>'d3'!F77-'d3-п'!F77</f>
        <v>0</v>
      </c>
      <c r="G77" s="665">
        <f>'d3'!G77-'d3-п'!G77</f>
        <v>0</v>
      </c>
      <c r="H77" s="665">
        <f>'d3'!H77-'d3-п'!H77</f>
        <v>0</v>
      </c>
      <c r="I77" s="665">
        <f>'d3'!I77-'d3-п'!I77</f>
        <v>0</v>
      </c>
      <c r="J77" s="665">
        <f>'d3'!J77-'d3-п'!J77</f>
        <v>0</v>
      </c>
      <c r="K77" s="665">
        <f>'d3'!K77-'d3-п'!K77</f>
        <v>0</v>
      </c>
      <c r="L77" s="665">
        <f>'d3'!L77-'d3-п'!L77</f>
        <v>0</v>
      </c>
      <c r="M77" s="665">
        <f>'d3'!M77-'d3-п'!M77</f>
        <v>0</v>
      </c>
      <c r="N77" s="665">
        <f>'d3'!N77-'d3-п'!N77</f>
        <v>0</v>
      </c>
      <c r="O77" s="665">
        <f>'d3'!O77-'d3-п'!O77</f>
        <v>0</v>
      </c>
      <c r="P77" s="665">
        <f>'d3'!P77-'d3-п'!P77</f>
        <v>0</v>
      </c>
      <c r="R77" s="335" t="b">
        <f>P76='d5'!J88</f>
        <v>0</v>
      </c>
    </row>
    <row r="78" spans="1:18" ht="409.5" x14ac:dyDescent="0.2">
      <c r="A78" s="566"/>
      <c r="B78" s="566"/>
      <c r="C78" s="566"/>
      <c r="D78" s="426" t="s">
        <v>958</v>
      </c>
      <c r="E78" s="665"/>
      <c r="F78" s="665">
        <f>'d3'!F78-'d3-п'!F78</f>
        <v>0</v>
      </c>
      <c r="G78" s="665">
        <f>'d3'!G78-'d3-п'!G78</f>
        <v>0</v>
      </c>
      <c r="H78" s="665">
        <f>'d3'!H78-'d3-п'!H78</f>
        <v>0</v>
      </c>
      <c r="I78" s="665">
        <f>'d3'!I78-'d3-п'!I78</f>
        <v>0</v>
      </c>
      <c r="J78" s="665">
        <f>'d3'!J78-'d3-п'!J78</f>
        <v>0</v>
      </c>
      <c r="K78" s="665">
        <f>'d3'!K78-'d3-п'!K78</f>
        <v>0</v>
      </c>
      <c r="L78" s="665">
        <f>'d3'!L78-'d3-п'!L78</f>
        <v>0</v>
      </c>
      <c r="M78" s="665">
        <f>'d3'!M78-'d3-п'!M78</f>
        <v>0</v>
      </c>
      <c r="N78" s="665">
        <f>'d3'!N78-'d3-п'!N78</f>
        <v>0</v>
      </c>
      <c r="O78" s="665">
        <f>'d3'!O78-'d3-п'!O78</f>
        <v>0</v>
      </c>
      <c r="P78" s="665">
        <f>'d3'!P78-'d3-п'!P78</f>
        <v>0</v>
      </c>
      <c r="R78" s="335"/>
    </row>
    <row r="79" spans="1:18" ht="275.25" thickBot="1" x14ac:dyDescent="0.25">
      <c r="A79" s="567"/>
      <c r="B79" s="567"/>
      <c r="C79" s="567"/>
      <c r="D79" s="377" t="s">
        <v>959</v>
      </c>
      <c r="E79" s="652"/>
      <c r="F79" s="652">
        <f>'d3'!F79-'d3-п'!F79</f>
        <v>0</v>
      </c>
      <c r="G79" s="652">
        <f>'d3'!G79-'d3-п'!G79</f>
        <v>0</v>
      </c>
      <c r="H79" s="652">
        <f>'d3'!H79-'d3-п'!H79</f>
        <v>0</v>
      </c>
      <c r="I79" s="652">
        <f>'d3'!I79-'d3-п'!I79</f>
        <v>0</v>
      </c>
      <c r="J79" s="652">
        <f>'d3'!J79-'d3-п'!J79</f>
        <v>0</v>
      </c>
      <c r="K79" s="652">
        <f>'d3'!K79-'d3-п'!K79</f>
        <v>0</v>
      </c>
      <c r="L79" s="652">
        <f>'d3'!L79-'d3-п'!L79</f>
        <v>0</v>
      </c>
      <c r="M79" s="652">
        <f>'d3'!M79-'d3-п'!M79</f>
        <v>0</v>
      </c>
      <c r="N79" s="652">
        <f>'d3'!N79-'d3-п'!N79</f>
        <v>0</v>
      </c>
      <c r="O79" s="652">
        <f>'d3'!O79-'d3-п'!O79</f>
        <v>0</v>
      </c>
      <c r="P79" s="652">
        <f>'d3'!P79-'d3-п'!P79</f>
        <v>0</v>
      </c>
      <c r="R79" s="335"/>
    </row>
    <row r="80" spans="1:18" ht="409.6" thickTop="1" x14ac:dyDescent="0.2">
      <c r="A80" s="569" t="s">
        <v>960</v>
      </c>
      <c r="B80" s="569" t="s">
        <v>961</v>
      </c>
      <c r="C80" s="569" t="s">
        <v>60</v>
      </c>
      <c r="D80" s="433" t="s">
        <v>962</v>
      </c>
      <c r="E80" s="568">
        <f>'d3'!E80-'d3-п'!E80</f>
        <v>0</v>
      </c>
      <c r="F80" s="568">
        <f>'d3'!F80-'d3-п'!F80</f>
        <v>0</v>
      </c>
      <c r="G80" s="568">
        <f>'d3'!G80-'d3-п'!G80</f>
        <v>0</v>
      </c>
      <c r="H80" s="568">
        <f>'d3'!H80-'d3-п'!H80</f>
        <v>0</v>
      </c>
      <c r="I80" s="568">
        <f>'d3'!I80-'d3-п'!I80</f>
        <v>0</v>
      </c>
      <c r="J80" s="568">
        <f>'d3'!J80-'d3-п'!J80</f>
        <v>0</v>
      </c>
      <c r="K80" s="568">
        <f>'d3'!K80-'d3-п'!K80</f>
        <v>0</v>
      </c>
      <c r="L80" s="568">
        <f>'d3'!L80-'d3-п'!L80</f>
        <v>0</v>
      </c>
      <c r="M80" s="568">
        <f>'d3'!M80-'d3-п'!M80</f>
        <v>0</v>
      </c>
      <c r="N80" s="568">
        <f>'d3'!N80-'d3-п'!N80</f>
        <v>0</v>
      </c>
      <c r="O80" s="568">
        <f>'d3'!O80-'d3-п'!O80</f>
        <v>0</v>
      </c>
      <c r="P80" s="568">
        <f>'d3'!P80-'d3-п'!P80</f>
        <v>0</v>
      </c>
      <c r="R80" s="335"/>
    </row>
    <row r="81" spans="1:18" ht="409.5" x14ac:dyDescent="0.2">
      <c r="A81" s="566"/>
      <c r="B81" s="566"/>
      <c r="C81" s="566"/>
      <c r="D81" s="426" t="s">
        <v>963</v>
      </c>
      <c r="E81" s="665"/>
      <c r="F81" s="665"/>
      <c r="G81" s="665"/>
      <c r="H81" s="665"/>
      <c r="I81" s="665"/>
      <c r="J81" s="665"/>
      <c r="K81" s="665"/>
      <c r="L81" s="665"/>
      <c r="M81" s="665"/>
      <c r="N81" s="665"/>
      <c r="O81" s="665"/>
      <c r="P81" s="665"/>
      <c r="R81" s="335" t="b">
        <f>K80='d5'!J92</f>
        <v>0</v>
      </c>
    </row>
    <row r="82" spans="1:18" ht="46.5" thickBot="1" x14ac:dyDescent="0.25">
      <c r="A82" s="566"/>
      <c r="B82" s="566"/>
      <c r="C82" s="566"/>
      <c r="D82" s="377" t="s">
        <v>964</v>
      </c>
      <c r="E82" s="652"/>
      <c r="F82" s="652"/>
      <c r="G82" s="652"/>
      <c r="H82" s="652"/>
      <c r="I82" s="652"/>
      <c r="J82" s="652"/>
      <c r="K82" s="652"/>
      <c r="L82" s="652"/>
      <c r="M82" s="652"/>
      <c r="N82" s="652"/>
      <c r="O82" s="652"/>
      <c r="P82" s="652"/>
      <c r="R82" s="335"/>
    </row>
    <row r="83" spans="1:18" ht="184.5" thickTop="1" thickBot="1" x14ac:dyDescent="0.25">
      <c r="A83" s="431" t="s">
        <v>399</v>
      </c>
      <c r="B83" s="431" t="s">
        <v>401</v>
      </c>
      <c r="C83" s="431" t="s">
        <v>237</v>
      </c>
      <c r="D83" s="230" t="s">
        <v>403</v>
      </c>
      <c r="E83" s="228">
        <f>'d3'!E83-'d3-п'!E83</f>
        <v>-30000</v>
      </c>
      <c r="F83" s="228">
        <f>'d3'!F83-'d3-п'!F83</f>
        <v>-30000</v>
      </c>
      <c r="G83" s="228">
        <f>'d3'!G83-'d3-п'!G83</f>
        <v>0</v>
      </c>
      <c r="H83" s="228">
        <f>'d3'!H83-'d3-п'!H83</f>
        <v>-30000</v>
      </c>
      <c r="I83" s="228">
        <f>'d3'!I83-'d3-п'!I83</f>
        <v>0</v>
      </c>
      <c r="J83" s="228">
        <f>'d3'!J83-'d3-п'!J83</f>
        <v>27000</v>
      </c>
      <c r="K83" s="228">
        <f>'d3'!K83-'d3-п'!K83</f>
        <v>27000</v>
      </c>
      <c r="L83" s="228">
        <f>'d3'!L83-'d3-п'!L83</f>
        <v>0</v>
      </c>
      <c r="M83" s="228">
        <f>'d3'!M83-'d3-п'!M83</f>
        <v>0</v>
      </c>
      <c r="N83" s="228">
        <f>'d3'!N83-'d3-п'!N83</f>
        <v>0</v>
      </c>
      <c r="O83" s="228">
        <f>'d3'!O83-'d3-п'!O83</f>
        <v>27000</v>
      </c>
      <c r="P83" s="228">
        <f>'d3'!P83-'d3-п'!P83</f>
        <v>-3000</v>
      </c>
      <c r="R83" s="335" t="b">
        <f>K83='d5'!J95+'d5'!J97+'d5'!J98+'d5'!J99+'d5'!J96</f>
        <v>0</v>
      </c>
    </row>
    <row r="84" spans="1:18" ht="138.75" thickTop="1" thickBot="1" x14ac:dyDescent="0.25">
      <c r="A84" s="431" t="s">
        <v>400</v>
      </c>
      <c r="B84" s="431" t="s">
        <v>402</v>
      </c>
      <c r="C84" s="431" t="s">
        <v>237</v>
      </c>
      <c r="D84" s="230" t="s">
        <v>404</v>
      </c>
      <c r="E84" s="228">
        <f>'d3'!E84-'d3-п'!E84</f>
        <v>1500000</v>
      </c>
      <c r="F84" s="228">
        <f>'d3'!F84-'d3-п'!F84</f>
        <v>1500000</v>
      </c>
      <c r="G84" s="228">
        <f>'d3'!G84-'d3-п'!G84</f>
        <v>0</v>
      </c>
      <c r="H84" s="228">
        <f>'d3'!H84-'d3-п'!H84</f>
        <v>0</v>
      </c>
      <c r="I84" s="228">
        <f>'d3'!I84-'d3-п'!I84</f>
        <v>0</v>
      </c>
      <c r="J84" s="228">
        <f>'d3'!J84-'d3-п'!J84</f>
        <v>0</v>
      </c>
      <c r="K84" s="228">
        <f>'d3'!K84-'d3-п'!K84</f>
        <v>0</v>
      </c>
      <c r="L84" s="228">
        <f>'d3'!L84-'d3-п'!L84</f>
        <v>0</v>
      </c>
      <c r="M84" s="228">
        <f>'d3'!M84-'d3-п'!M84</f>
        <v>0</v>
      </c>
      <c r="N84" s="228">
        <f>'d3'!N84-'d3-п'!N84</f>
        <v>0</v>
      </c>
      <c r="O84" s="228">
        <f>'d3'!O84-'d3-п'!O84</f>
        <v>0</v>
      </c>
      <c r="P84" s="228">
        <f>'d3'!P84-'d3-п'!P84</f>
        <v>1500000</v>
      </c>
      <c r="R84" s="335" t="b">
        <f>K84='d5'!J100+'d5'!J101</f>
        <v>0</v>
      </c>
    </row>
    <row r="85" spans="1:18" ht="138.75" thickTop="1" thickBot="1" x14ac:dyDescent="0.25">
      <c r="A85" s="431" t="s">
        <v>447</v>
      </c>
      <c r="B85" s="431" t="s">
        <v>445</v>
      </c>
      <c r="C85" s="431" t="s">
        <v>415</v>
      </c>
      <c r="D85" s="230" t="s">
        <v>446</v>
      </c>
      <c r="E85" s="228">
        <f>'d3'!E85-'d3-п'!E85</f>
        <v>0</v>
      </c>
      <c r="F85" s="228">
        <f>'d3'!F85-'d3-п'!F85</f>
        <v>0</v>
      </c>
      <c r="G85" s="228">
        <f>'d3'!G85-'d3-п'!G85</f>
        <v>0</v>
      </c>
      <c r="H85" s="228">
        <f>'d3'!H85-'d3-п'!H85</f>
        <v>0</v>
      </c>
      <c r="I85" s="228">
        <f>'d3'!I85-'d3-п'!I85</f>
        <v>0</v>
      </c>
      <c r="J85" s="228">
        <f>'d3'!J85-'d3-п'!J85</f>
        <v>0</v>
      </c>
      <c r="K85" s="228">
        <f>'d3'!K85-'d3-п'!K85</f>
        <v>0</v>
      </c>
      <c r="L85" s="228">
        <f>'d3'!L85-'d3-п'!L85</f>
        <v>0</v>
      </c>
      <c r="M85" s="228">
        <f>'d3'!M85-'d3-п'!M85</f>
        <v>0</v>
      </c>
      <c r="N85" s="228">
        <f>'d3'!N85-'d3-п'!N85</f>
        <v>0</v>
      </c>
      <c r="O85" s="228">
        <f>'d3'!O85-'d3-п'!O85</f>
        <v>0</v>
      </c>
      <c r="P85" s="228">
        <f>'d3'!P85-'d3-п'!P85</f>
        <v>0</v>
      </c>
      <c r="R85" s="335" t="b">
        <f>K85='d5'!J102</f>
        <v>0</v>
      </c>
    </row>
    <row r="86" spans="1:18" ht="409.6" thickTop="1" thickBot="1" x14ac:dyDescent="0.25">
      <c r="A86" s="431" t="s">
        <v>934</v>
      </c>
      <c r="B86" s="431" t="s">
        <v>935</v>
      </c>
      <c r="C86" s="431" t="s">
        <v>415</v>
      </c>
      <c r="D86" s="230" t="s">
        <v>936</v>
      </c>
      <c r="E86" s="228">
        <f>'d3'!E86-'d3-п'!E86</f>
        <v>0</v>
      </c>
      <c r="F86" s="228">
        <f>'d3'!F86-'d3-п'!F86</f>
        <v>0</v>
      </c>
      <c r="G86" s="228">
        <f>'d3'!G86-'d3-п'!G86</f>
        <v>0</v>
      </c>
      <c r="H86" s="228">
        <f>'d3'!H86-'d3-п'!H86</f>
        <v>0</v>
      </c>
      <c r="I86" s="228">
        <f>'d3'!I86-'d3-п'!I86</f>
        <v>0</v>
      </c>
      <c r="J86" s="228">
        <f>'d3'!J86-'d3-п'!J86</f>
        <v>-364000</v>
      </c>
      <c r="K86" s="228">
        <f>'d3'!K86-'d3-п'!K86</f>
        <v>-364000</v>
      </c>
      <c r="L86" s="228">
        <f>'d3'!L86-'d3-п'!L86</f>
        <v>0</v>
      </c>
      <c r="M86" s="228">
        <f>'d3'!M86-'d3-п'!M86</f>
        <v>0</v>
      </c>
      <c r="N86" s="228">
        <f>'d3'!N86-'d3-п'!N86</f>
        <v>0</v>
      </c>
      <c r="O86" s="228">
        <f>'d3'!O86-'d3-п'!O86</f>
        <v>-364000</v>
      </c>
      <c r="P86" s="228">
        <f>'d3'!P86-'d3-п'!P86</f>
        <v>-364000</v>
      </c>
      <c r="R86" s="335" t="b">
        <f>K86='d5'!J103</f>
        <v>0</v>
      </c>
    </row>
    <row r="87" spans="1:18" ht="99.75" thickTop="1" thickBot="1" x14ac:dyDescent="0.25">
      <c r="A87" s="431" t="s">
        <v>500</v>
      </c>
      <c r="B87" s="431" t="s">
        <v>501</v>
      </c>
      <c r="C87" s="431" t="s">
        <v>359</v>
      </c>
      <c r="D87" s="431" t="s">
        <v>648</v>
      </c>
      <c r="E87" s="228">
        <f>'d3'!E87-'d3-п'!E87</f>
        <v>0</v>
      </c>
      <c r="F87" s="228">
        <f>'d3'!F87-'d3-п'!F87</f>
        <v>0</v>
      </c>
      <c r="G87" s="228">
        <f>'d3'!G87-'d3-п'!G87</f>
        <v>0</v>
      </c>
      <c r="H87" s="228">
        <f>'d3'!H87-'d3-п'!H87</f>
        <v>0</v>
      </c>
      <c r="I87" s="228">
        <f>'d3'!I87-'d3-п'!I87</f>
        <v>0</v>
      </c>
      <c r="J87" s="228">
        <f>'d3'!J87-'d3-п'!J87</f>
        <v>1000000</v>
      </c>
      <c r="K87" s="228">
        <f>'d3'!K87-'d3-п'!K87</f>
        <v>1000000</v>
      </c>
      <c r="L87" s="228">
        <f>'d3'!L87-'d3-п'!L87</f>
        <v>0</v>
      </c>
      <c r="M87" s="228">
        <f>'d3'!M87-'d3-п'!M87</f>
        <v>0</v>
      </c>
      <c r="N87" s="228">
        <f>'d3'!N87-'d3-п'!N87</f>
        <v>0</v>
      </c>
      <c r="O87" s="228">
        <f>'d3'!O87-'d3-п'!O87</f>
        <v>1000000</v>
      </c>
      <c r="P87" s="228">
        <f>'d3'!P87-'d3-п'!P87</f>
        <v>1000000</v>
      </c>
      <c r="R87" s="335" t="b">
        <f>K87='d5'!J104</f>
        <v>0</v>
      </c>
    </row>
    <row r="88" spans="1:18" ht="379.5" customHeight="1" thickTop="1" thickBot="1" x14ac:dyDescent="0.7">
      <c r="A88" s="554" t="s">
        <v>527</v>
      </c>
      <c r="B88" s="554" t="s">
        <v>412</v>
      </c>
      <c r="C88" s="554" t="s">
        <v>210</v>
      </c>
      <c r="D88" s="232" t="s">
        <v>585</v>
      </c>
      <c r="E88" s="568">
        <f>'d3'!E88-'d3-п'!E88</f>
        <v>0</v>
      </c>
      <c r="F88" s="568">
        <f>'d3'!F88-'d3-п'!F88</f>
        <v>0</v>
      </c>
      <c r="G88" s="568">
        <f>'d3'!G88-'d3-п'!G88</f>
        <v>0</v>
      </c>
      <c r="H88" s="568">
        <f>'d3'!H88-'d3-п'!H88</f>
        <v>0</v>
      </c>
      <c r="I88" s="568">
        <f>'d3'!I88-'d3-п'!I88</f>
        <v>0</v>
      </c>
      <c r="J88" s="568">
        <f>'d3'!J88-'d3-п'!J88</f>
        <v>43000</v>
      </c>
      <c r="K88" s="568">
        <f>'d3'!K88-'d3-п'!K88</f>
        <v>0</v>
      </c>
      <c r="L88" s="568">
        <f>'d3'!L88-'d3-п'!L88</f>
        <v>43000</v>
      </c>
      <c r="M88" s="568">
        <f>'d3'!M88-'d3-п'!M88</f>
        <v>0</v>
      </c>
      <c r="N88" s="568">
        <f>'d3'!N88-'d3-п'!N88</f>
        <v>0</v>
      </c>
      <c r="O88" s="568">
        <f>'d3'!O88-'d3-п'!O88</f>
        <v>0</v>
      </c>
      <c r="P88" s="568">
        <f>'d3'!P88-'d3-п'!P88</f>
        <v>43000</v>
      </c>
      <c r="Q88" s="337">
        <f>P88</f>
        <v>43000</v>
      </c>
      <c r="R88" s="335"/>
    </row>
    <row r="89" spans="1:18" ht="184.5" thickTop="1" thickBot="1" x14ac:dyDescent="0.25">
      <c r="A89" s="555"/>
      <c r="B89" s="555"/>
      <c r="C89" s="555"/>
      <c r="D89" s="233" t="s">
        <v>586</v>
      </c>
      <c r="E89" s="652"/>
      <c r="F89" s="652"/>
      <c r="G89" s="652"/>
      <c r="H89" s="652"/>
      <c r="I89" s="652"/>
      <c r="J89" s="652"/>
      <c r="K89" s="652"/>
      <c r="L89" s="652"/>
      <c r="M89" s="652"/>
      <c r="N89" s="652"/>
      <c r="O89" s="652"/>
      <c r="P89" s="652"/>
      <c r="R89" s="335"/>
    </row>
    <row r="90" spans="1:18" ht="93" hidden="1" thickTop="1" thickBot="1" x14ac:dyDescent="0.25">
      <c r="A90" s="406" t="s">
        <v>939</v>
      </c>
      <c r="B90" s="406" t="s">
        <v>308</v>
      </c>
      <c r="C90" s="406" t="s">
        <v>210</v>
      </c>
      <c r="D90" s="406" t="s">
        <v>306</v>
      </c>
      <c r="E90" s="407">
        <f t="shared" ref="E90" si="23">F90</f>
        <v>0</v>
      </c>
      <c r="F90" s="410"/>
      <c r="G90" s="410"/>
      <c r="H90" s="410"/>
      <c r="I90" s="410"/>
      <c r="J90" s="407">
        <f t="shared" ref="J90" si="24">L90+O90</f>
        <v>0</v>
      </c>
      <c r="K90" s="410"/>
      <c r="L90" s="410"/>
      <c r="M90" s="410"/>
      <c r="N90" s="410"/>
      <c r="O90" s="409">
        <f t="shared" ref="O90" si="25">K90</f>
        <v>0</v>
      </c>
      <c r="P90" s="407">
        <f t="shared" ref="P90" si="26">E90+J90</f>
        <v>0</v>
      </c>
      <c r="R90" s="335" t="b">
        <f>K90='d5'!J105</f>
        <v>1</v>
      </c>
    </row>
    <row r="91" spans="1:18" ht="136.5" thickTop="1" thickBot="1" x14ac:dyDescent="0.25">
      <c r="A91" s="451">
        <v>1000000</v>
      </c>
      <c r="B91" s="451"/>
      <c r="C91" s="451"/>
      <c r="D91" s="452" t="s">
        <v>29</v>
      </c>
      <c r="E91" s="453">
        <f>E92</f>
        <v>-1795013</v>
      </c>
      <c r="F91" s="454">
        <f t="shared" ref="F91:G91" si="27">F92</f>
        <v>-1795013</v>
      </c>
      <c r="G91" s="454">
        <f t="shared" si="27"/>
        <v>986310</v>
      </c>
      <c r="H91" s="454">
        <f>H92</f>
        <v>-394000</v>
      </c>
      <c r="I91" s="453">
        <f t="shared" ref="I91" si="28">I92</f>
        <v>0</v>
      </c>
      <c r="J91" s="453">
        <f>J92</f>
        <v>600000</v>
      </c>
      <c r="K91" s="454">
        <f>K92</f>
        <v>600000</v>
      </c>
      <c r="L91" s="454">
        <f>L92</f>
        <v>0</v>
      </c>
      <c r="M91" s="454">
        <f t="shared" ref="M91" si="29">M92</f>
        <v>0</v>
      </c>
      <c r="N91" s="453">
        <f>N92</f>
        <v>0</v>
      </c>
      <c r="O91" s="453">
        <f>O92</f>
        <v>600000</v>
      </c>
      <c r="P91" s="454">
        <f t="shared" ref="P91" si="30">P92</f>
        <v>-1195013</v>
      </c>
    </row>
    <row r="92" spans="1:18" ht="181.5" thickTop="1" thickBot="1" x14ac:dyDescent="0.25">
      <c r="A92" s="455">
        <v>1010000</v>
      </c>
      <c r="B92" s="455"/>
      <c r="C92" s="455"/>
      <c r="D92" s="456" t="s">
        <v>47</v>
      </c>
      <c r="E92" s="457">
        <f>F92</f>
        <v>-1795013</v>
      </c>
      <c r="F92" s="457">
        <f>SUM(F93:F99)</f>
        <v>-1795013</v>
      </c>
      <c r="G92" s="457">
        <f>SUM(G93:G99)</f>
        <v>986310</v>
      </c>
      <c r="H92" s="457">
        <f>SUM(H93:H99)</f>
        <v>-394000</v>
      </c>
      <c r="I92" s="457">
        <f>SUM(I93:I99)</f>
        <v>0</v>
      </c>
      <c r="J92" s="457">
        <f t="shared" ref="J92" si="31">L92+O92</f>
        <v>600000</v>
      </c>
      <c r="K92" s="457">
        <f>SUM(K93:K99)</f>
        <v>600000</v>
      </c>
      <c r="L92" s="457">
        <f>SUM(L93:L99)</f>
        <v>0</v>
      </c>
      <c r="M92" s="457">
        <f>SUM(M93:M99)</f>
        <v>0</v>
      </c>
      <c r="N92" s="457">
        <f>SUM(N93:N99)</f>
        <v>0</v>
      </c>
      <c r="O92" s="457">
        <f>SUM(O93:O99)</f>
        <v>600000</v>
      </c>
      <c r="P92" s="458">
        <f t="shared" ref="P92" si="32">E92+J92</f>
        <v>-1195013</v>
      </c>
      <c r="Q92" s="334" t="b">
        <f>P92=P93+P94+P95+P96+P97+P98+P99</f>
        <v>1</v>
      </c>
      <c r="R92" s="335" t="b">
        <f>K92='d5'!J107</f>
        <v>0</v>
      </c>
    </row>
    <row r="93" spans="1:18" ht="93" thickTop="1" thickBot="1" x14ac:dyDescent="0.25">
      <c r="A93" s="431" t="s">
        <v>20</v>
      </c>
      <c r="B93" s="431" t="s">
        <v>225</v>
      </c>
      <c r="C93" s="431" t="s">
        <v>226</v>
      </c>
      <c r="D93" s="431" t="s">
        <v>716</v>
      </c>
      <c r="E93" s="228">
        <f>'d3'!E93-'d3-п'!E93</f>
        <v>44000</v>
      </c>
      <c r="F93" s="228">
        <f>'d3'!F93-'d3-п'!F93</f>
        <v>44000</v>
      </c>
      <c r="G93" s="228">
        <f>'d3'!G93-'d3-п'!G93</f>
        <v>239700</v>
      </c>
      <c r="H93" s="228">
        <f>'d3'!H93-'d3-п'!H93</f>
        <v>-248000</v>
      </c>
      <c r="I93" s="228">
        <f>'d3'!I93-'d3-п'!I93</f>
        <v>0</v>
      </c>
      <c r="J93" s="228">
        <f>'d3'!J93-'d3-п'!J93</f>
        <v>0</v>
      </c>
      <c r="K93" s="228">
        <f>'d3'!K93-'d3-п'!K93</f>
        <v>0</v>
      </c>
      <c r="L93" s="228">
        <f>'d3'!L93-'d3-п'!L93</f>
        <v>0</v>
      </c>
      <c r="M93" s="228">
        <f>'d3'!M93-'d3-п'!M93</f>
        <v>0</v>
      </c>
      <c r="N93" s="228">
        <f>'d3'!N93-'d3-п'!N93</f>
        <v>0</v>
      </c>
      <c r="O93" s="228">
        <f>'d3'!O93-'d3-п'!O93</f>
        <v>0</v>
      </c>
      <c r="P93" s="228">
        <f>'d3'!P93-'d3-п'!P93</f>
        <v>44000</v>
      </c>
      <c r="R93" s="335" t="b">
        <f>K93='d5'!J110+'d5'!J111</f>
        <v>0</v>
      </c>
    </row>
    <row r="94" spans="1:18" ht="48" thickTop="1" thickBot="1" x14ac:dyDescent="0.25">
      <c r="A94" s="431" t="s">
        <v>211</v>
      </c>
      <c r="B94" s="431" t="s">
        <v>212</v>
      </c>
      <c r="C94" s="431" t="s">
        <v>214</v>
      </c>
      <c r="D94" s="431" t="s">
        <v>215</v>
      </c>
      <c r="E94" s="228">
        <f>'d3'!E94-'d3-п'!E94</f>
        <v>0</v>
      </c>
      <c r="F94" s="228">
        <f>'d3'!F94-'d3-п'!F94</f>
        <v>0</v>
      </c>
      <c r="G94" s="228">
        <f>'d3'!G94-'d3-п'!G94</f>
        <v>0</v>
      </c>
      <c r="H94" s="228">
        <f>'d3'!H94-'d3-п'!H94</f>
        <v>0</v>
      </c>
      <c r="I94" s="228">
        <f>'d3'!I94-'d3-п'!I94</f>
        <v>0</v>
      </c>
      <c r="J94" s="228">
        <f>'d3'!J94-'d3-п'!J94</f>
        <v>0</v>
      </c>
      <c r="K94" s="228">
        <f>'d3'!K94-'d3-п'!K94</f>
        <v>0</v>
      </c>
      <c r="L94" s="228">
        <f>'d3'!L94-'d3-п'!L94</f>
        <v>0</v>
      </c>
      <c r="M94" s="228">
        <f>'d3'!M94-'d3-п'!M94</f>
        <v>0</v>
      </c>
      <c r="N94" s="228">
        <f>'d3'!N94-'d3-п'!N94</f>
        <v>0</v>
      </c>
      <c r="O94" s="228">
        <f>'d3'!O94-'d3-п'!O94</f>
        <v>0</v>
      </c>
      <c r="P94" s="228">
        <f>'d3'!P94-'d3-п'!P94</f>
        <v>0</v>
      </c>
      <c r="R94" s="335"/>
    </row>
    <row r="95" spans="1:18" ht="93" thickTop="1" thickBot="1" x14ac:dyDescent="0.25">
      <c r="A95" s="431" t="s">
        <v>216</v>
      </c>
      <c r="B95" s="431" t="s">
        <v>217</v>
      </c>
      <c r="C95" s="431" t="s">
        <v>218</v>
      </c>
      <c r="D95" s="431" t="s">
        <v>219</v>
      </c>
      <c r="E95" s="228">
        <f>'d3'!E95-'d3-п'!E95</f>
        <v>172700</v>
      </c>
      <c r="F95" s="228">
        <f>'d3'!F95-'d3-п'!F95</f>
        <v>172700</v>
      </c>
      <c r="G95" s="228">
        <f>'d3'!G95-'d3-п'!G95</f>
        <v>200700</v>
      </c>
      <c r="H95" s="228">
        <f>'d3'!H95-'d3-п'!H95</f>
        <v>-28000</v>
      </c>
      <c r="I95" s="228">
        <f>'d3'!I95-'d3-п'!I95</f>
        <v>0</v>
      </c>
      <c r="J95" s="228">
        <f>'d3'!J95-'d3-п'!J95</f>
        <v>0</v>
      </c>
      <c r="K95" s="228">
        <f>'d3'!K95-'d3-п'!K95</f>
        <v>0</v>
      </c>
      <c r="L95" s="228">
        <f>'d3'!L95-'d3-п'!L95</f>
        <v>0</v>
      </c>
      <c r="M95" s="228">
        <f>'d3'!M95-'d3-п'!M95</f>
        <v>0</v>
      </c>
      <c r="N95" s="228">
        <f>'d3'!N95-'d3-п'!N95</f>
        <v>0</v>
      </c>
      <c r="O95" s="228">
        <f>'d3'!O95-'d3-п'!O95</f>
        <v>0</v>
      </c>
      <c r="P95" s="228">
        <f>'d3'!P95-'d3-п'!P95</f>
        <v>172700</v>
      </c>
      <c r="R95" s="335" t="b">
        <f>K95='d5'!J112</f>
        <v>0</v>
      </c>
    </row>
    <row r="96" spans="1:18" ht="93" thickTop="1" thickBot="1" x14ac:dyDescent="0.25">
      <c r="A96" s="431" t="s">
        <v>220</v>
      </c>
      <c r="B96" s="431" t="s">
        <v>221</v>
      </c>
      <c r="C96" s="431" t="s">
        <v>218</v>
      </c>
      <c r="D96" s="431" t="s">
        <v>630</v>
      </c>
      <c r="E96" s="228">
        <f>'d3'!E96-'d3-п'!E96</f>
        <v>153300</v>
      </c>
      <c r="F96" s="228">
        <f>'d3'!F96-'d3-п'!F96</f>
        <v>153300</v>
      </c>
      <c r="G96" s="228">
        <f>'d3'!G96-'d3-п'!G96</f>
        <v>158300</v>
      </c>
      <c r="H96" s="228">
        <f>'d3'!H96-'d3-п'!H96</f>
        <v>-38000</v>
      </c>
      <c r="I96" s="228">
        <f>'d3'!I96-'d3-п'!I96</f>
        <v>0</v>
      </c>
      <c r="J96" s="228">
        <f>'d3'!J96-'d3-п'!J96</f>
        <v>600000</v>
      </c>
      <c r="K96" s="228">
        <f>'d3'!K96-'d3-п'!K96</f>
        <v>600000</v>
      </c>
      <c r="L96" s="228">
        <f>'d3'!L96-'d3-п'!L96</f>
        <v>0</v>
      </c>
      <c r="M96" s="228">
        <f>'d3'!M96-'d3-п'!M96</f>
        <v>0</v>
      </c>
      <c r="N96" s="228">
        <f>'d3'!N96-'d3-п'!N96</f>
        <v>0</v>
      </c>
      <c r="O96" s="228">
        <f>'d3'!O96-'d3-п'!O96</f>
        <v>600000</v>
      </c>
      <c r="P96" s="228">
        <f>'d3'!P96-'d3-п'!P96</f>
        <v>753300</v>
      </c>
      <c r="R96" s="335" t="b">
        <f>K96='d5'!J113+'d5'!J114</f>
        <v>0</v>
      </c>
    </row>
    <row r="97" spans="1:18" ht="184.5" thickTop="1" thickBot="1" x14ac:dyDescent="0.25">
      <c r="A97" s="431" t="s">
        <v>222</v>
      </c>
      <c r="B97" s="431" t="s">
        <v>213</v>
      </c>
      <c r="C97" s="431" t="s">
        <v>223</v>
      </c>
      <c r="D97" s="431" t="s">
        <v>224</v>
      </c>
      <c r="E97" s="228">
        <f>'d3'!E97-'d3-п'!E97</f>
        <v>84965</v>
      </c>
      <c r="F97" s="228">
        <f>'d3'!F97-'d3-п'!F97</f>
        <v>84965</v>
      </c>
      <c r="G97" s="228">
        <f>'d3'!G97-'d3-п'!G97</f>
        <v>135500</v>
      </c>
      <c r="H97" s="228">
        <f>'d3'!H97-'d3-п'!H97</f>
        <v>-80000</v>
      </c>
      <c r="I97" s="228">
        <f>'d3'!I97-'d3-п'!I97</f>
        <v>0</v>
      </c>
      <c r="J97" s="228">
        <f>'d3'!J97-'d3-п'!J97</f>
        <v>0</v>
      </c>
      <c r="K97" s="228">
        <f>'d3'!K97-'d3-п'!K97</f>
        <v>0</v>
      </c>
      <c r="L97" s="228">
        <f>'d3'!L97-'d3-п'!L97</f>
        <v>0</v>
      </c>
      <c r="M97" s="228">
        <f>'d3'!M97-'d3-п'!M97</f>
        <v>0</v>
      </c>
      <c r="N97" s="228">
        <f>'d3'!N97-'d3-п'!N97</f>
        <v>0</v>
      </c>
      <c r="O97" s="228">
        <f>'d3'!O97-'d3-п'!O97</f>
        <v>0</v>
      </c>
      <c r="P97" s="228">
        <f>'d3'!P97-'d3-п'!P97</f>
        <v>84965</v>
      </c>
      <c r="R97" s="335" t="b">
        <f>K97='d5'!J115</f>
        <v>0</v>
      </c>
    </row>
    <row r="98" spans="1:18" ht="138.75" thickTop="1" thickBot="1" x14ac:dyDescent="0.25">
      <c r="A98" s="431" t="s">
        <v>405</v>
      </c>
      <c r="B98" s="431" t="s">
        <v>406</v>
      </c>
      <c r="C98" s="431" t="s">
        <v>227</v>
      </c>
      <c r="D98" s="431" t="s">
        <v>631</v>
      </c>
      <c r="E98" s="228">
        <f>'d3'!E98-'d3-п'!E98</f>
        <v>333422</v>
      </c>
      <c r="F98" s="228">
        <f>'d3'!F98-'d3-п'!F98</f>
        <v>333422</v>
      </c>
      <c r="G98" s="228">
        <f>'d3'!G98-'d3-п'!G98</f>
        <v>252110</v>
      </c>
      <c r="H98" s="228">
        <f>'d3'!H98-'d3-п'!H98</f>
        <v>0</v>
      </c>
      <c r="I98" s="228">
        <f>'d3'!I98-'d3-п'!I98</f>
        <v>0</v>
      </c>
      <c r="J98" s="228">
        <f>'d3'!J98-'d3-п'!J98</f>
        <v>0</v>
      </c>
      <c r="K98" s="228">
        <f>'d3'!K98-'d3-п'!K98</f>
        <v>0</v>
      </c>
      <c r="L98" s="228">
        <f>'d3'!L98-'d3-п'!L98</f>
        <v>0</v>
      </c>
      <c r="M98" s="228">
        <f>'d3'!M98-'d3-п'!M98</f>
        <v>0</v>
      </c>
      <c r="N98" s="228">
        <f>'d3'!N98-'d3-п'!N98</f>
        <v>0</v>
      </c>
      <c r="O98" s="228">
        <f>'d3'!O98-'d3-п'!O98</f>
        <v>0</v>
      </c>
      <c r="P98" s="228">
        <f>'d3'!P98-'d3-п'!P98</f>
        <v>333422</v>
      </c>
      <c r="R98" s="335"/>
    </row>
    <row r="99" spans="1:18" ht="93" thickTop="1" thickBot="1" x14ac:dyDescent="0.25">
      <c r="A99" s="431" t="s">
        <v>407</v>
      </c>
      <c r="B99" s="431" t="s">
        <v>408</v>
      </c>
      <c r="C99" s="431" t="s">
        <v>227</v>
      </c>
      <c r="D99" s="431" t="s">
        <v>632</v>
      </c>
      <c r="E99" s="228">
        <f>'d3'!E99-'d3-п'!E99</f>
        <v>-2583400</v>
      </c>
      <c r="F99" s="228">
        <f>'d3'!F99-'d3-п'!F99</f>
        <v>-2583400</v>
      </c>
      <c r="G99" s="228">
        <f>'d3'!G99-'d3-п'!G99</f>
        <v>0</v>
      </c>
      <c r="H99" s="228">
        <f>'d3'!H99-'d3-п'!H99</f>
        <v>0</v>
      </c>
      <c r="I99" s="228">
        <f>'d3'!I99-'d3-п'!I99</f>
        <v>0</v>
      </c>
      <c r="J99" s="228">
        <f>'d3'!J99-'d3-п'!J99</f>
        <v>0</v>
      </c>
      <c r="K99" s="228">
        <f>'d3'!K99-'d3-п'!K99</f>
        <v>0</v>
      </c>
      <c r="L99" s="228">
        <f>'d3'!L99-'d3-п'!L99</f>
        <v>0</v>
      </c>
      <c r="M99" s="228">
        <f>'d3'!M99-'d3-п'!M99</f>
        <v>0</v>
      </c>
      <c r="N99" s="228">
        <f>'d3'!N99-'d3-п'!N99</f>
        <v>0</v>
      </c>
      <c r="O99" s="228">
        <f>'d3'!O99-'d3-п'!O99</f>
        <v>0</v>
      </c>
      <c r="P99" s="228">
        <f>'d3'!P99-'d3-п'!P99</f>
        <v>-2583400</v>
      </c>
      <c r="R99" s="335"/>
    </row>
    <row r="100" spans="1:18" ht="136.5" thickTop="1" thickBot="1" x14ac:dyDescent="0.25">
      <c r="A100" s="451" t="s">
        <v>26</v>
      </c>
      <c r="B100" s="451"/>
      <c r="C100" s="451"/>
      <c r="D100" s="452" t="s">
        <v>27</v>
      </c>
      <c r="E100" s="453">
        <f>E101</f>
        <v>3424906</v>
      </c>
      <c r="F100" s="454">
        <f t="shared" ref="F100:G100" si="33">F101</f>
        <v>3424906</v>
      </c>
      <c r="G100" s="454">
        <f t="shared" si="33"/>
        <v>2148915</v>
      </c>
      <c r="H100" s="454">
        <f>H101</f>
        <v>-39060</v>
      </c>
      <c r="I100" s="453">
        <f t="shared" ref="I100" si="34">I101</f>
        <v>0</v>
      </c>
      <c r="J100" s="453">
        <f>J101</f>
        <v>124421</v>
      </c>
      <c r="K100" s="454">
        <f>K101</f>
        <v>124421</v>
      </c>
      <c r="L100" s="454">
        <f>L101</f>
        <v>-10500</v>
      </c>
      <c r="M100" s="454">
        <f t="shared" ref="M100" si="35">M101</f>
        <v>38000</v>
      </c>
      <c r="N100" s="453">
        <f>N101</f>
        <v>0</v>
      </c>
      <c r="O100" s="453">
        <f>O101</f>
        <v>134921</v>
      </c>
      <c r="P100" s="454">
        <f t="shared" ref="P100" si="36">P101</f>
        <v>3549327</v>
      </c>
    </row>
    <row r="101" spans="1:18" ht="136.5" thickTop="1" thickBot="1" x14ac:dyDescent="0.25">
      <c r="A101" s="455" t="s">
        <v>25</v>
      </c>
      <c r="B101" s="455"/>
      <c r="C101" s="455"/>
      <c r="D101" s="456" t="s">
        <v>43</v>
      </c>
      <c r="E101" s="457">
        <f>SUM(E102:E114)</f>
        <v>3424906</v>
      </c>
      <c r="F101" s="457">
        <f>SUM(F102:F114)</f>
        <v>3424906</v>
      </c>
      <c r="G101" s="457">
        <f>SUM(G102:G114)</f>
        <v>2148915</v>
      </c>
      <c r="H101" s="457">
        <f>SUM(H102:H114)</f>
        <v>-39060</v>
      </c>
      <c r="I101" s="457">
        <f>SUM(I102:I114)</f>
        <v>0</v>
      </c>
      <c r="J101" s="457">
        <f>L101+O101</f>
        <v>124421</v>
      </c>
      <c r="K101" s="457">
        <f>SUM(K102:K114)</f>
        <v>124421</v>
      </c>
      <c r="L101" s="457">
        <f>SUM(L102:L114)</f>
        <v>-10500</v>
      </c>
      <c r="M101" s="457">
        <f>SUM(M102:M114)</f>
        <v>38000</v>
      </c>
      <c r="N101" s="457">
        <f>SUM(N102:N114)</f>
        <v>0</v>
      </c>
      <c r="O101" s="457">
        <f>SUM(O102:O114)</f>
        <v>134921</v>
      </c>
      <c r="P101" s="458">
        <f>E101+J101</f>
        <v>3549327</v>
      </c>
      <c r="Q101" s="334" t="b">
        <f>P101=P102+P103+P104+P105+P106+P107+P108+P109+P110+P112+P114+P113+P111</f>
        <v>1</v>
      </c>
      <c r="R101" s="335" t="b">
        <f>K101='d5'!J117</f>
        <v>0</v>
      </c>
    </row>
    <row r="102" spans="1:18" ht="138.75" thickTop="1" thickBot="1" x14ac:dyDescent="0.25">
      <c r="A102" s="431" t="s">
        <v>228</v>
      </c>
      <c r="B102" s="431" t="s">
        <v>229</v>
      </c>
      <c r="C102" s="431" t="s">
        <v>230</v>
      </c>
      <c r="D102" s="431" t="s">
        <v>231</v>
      </c>
      <c r="E102" s="228">
        <f>'d3'!E102-'d3-п'!E102</f>
        <v>0</v>
      </c>
      <c r="F102" s="228">
        <f>'d3'!F102-'d3-п'!F102</f>
        <v>0</v>
      </c>
      <c r="G102" s="228">
        <f>'d3'!G102-'d3-п'!G102</f>
        <v>0</v>
      </c>
      <c r="H102" s="228">
        <f>'d3'!H102-'d3-п'!H102</f>
        <v>0</v>
      </c>
      <c r="I102" s="228">
        <f>'d3'!I102-'d3-п'!I102</f>
        <v>0</v>
      </c>
      <c r="J102" s="228">
        <f>'d3'!J102-'d3-п'!J102</f>
        <v>0</v>
      </c>
      <c r="K102" s="228">
        <f>'d3'!K102-'d3-п'!K102</f>
        <v>0</v>
      </c>
      <c r="L102" s="228">
        <f>'d3'!L102-'d3-п'!L102</f>
        <v>0</v>
      </c>
      <c r="M102" s="228">
        <f>'d3'!M102-'d3-п'!M102</f>
        <v>0</v>
      </c>
      <c r="N102" s="228">
        <f>'d3'!N102-'d3-п'!N102</f>
        <v>0</v>
      </c>
      <c r="O102" s="228">
        <f>'d3'!O102-'d3-п'!O102</f>
        <v>0</v>
      </c>
      <c r="P102" s="228">
        <f>'d3'!P102-'d3-п'!P102</f>
        <v>0</v>
      </c>
      <c r="Q102" s="335"/>
      <c r="R102" s="335" t="b">
        <f>K102='d5'!J119</f>
        <v>0</v>
      </c>
    </row>
    <row r="103" spans="1:18" ht="93" thickTop="1" thickBot="1" x14ac:dyDescent="0.25">
      <c r="A103" s="431" t="s">
        <v>235</v>
      </c>
      <c r="B103" s="431" t="s">
        <v>236</v>
      </c>
      <c r="C103" s="431" t="s">
        <v>230</v>
      </c>
      <c r="D103" s="431" t="s">
        <v>12</v>
      </c>
      <c r="E103" s="228">
        <f>'d3'!E103-'d3-п'!E103</f>
        <v>102200</v>
      </c>
      <c r="F103" s="228">
        <f>'d3'!F103-'d3-п'!F103</f>
        <v>102200</v>
      </c>
      <c r="G103" s="228">
        <f>'d3'!G103-'d3-п'!G103</f>
        <v>97200</v>
      </c>
      <c r="H103" s="228">
        <f>'d3'!H103-'d3-п'!H103</f>
        <v>-10000</v>
      </c>
      <c r="I103" s="228">
        <f>'d3'!I103-'d3-п'!I103</f>
        <v>0</v>
      </c>
      <c r="J103" s="228">
        <f>'d3'!J103-'d3-п'!J103</f>
        <v>0</v>
      </c>
      <c r="K103" s="228">
        <f>'d3'!K103-'d3-п'!K103</f>
        <v>0</v>
      </c>
      <c r="L103" s="228">
        <f>'d3'!L103-'d3-п'!L103</f>
        <v>0</v>
      </c>
      <c r="M103" s="228">
        <f>'d3'!M103-'d3-п'!M103</f>
        <v>0</v>
      </c>
      <c r="N103" s="228">
        <f>'d3'!N103-'d3-п'!N103</f>
        <v>0</v>
      </c>
      <c r="O103" s="228">
        <f>'d3'!O103-'d3-п'!O103</f>
        <v>0</v>
      </c>
      <c r="P103" s="228">
        <f>'d3'!P103-'d3-п'!P103</f>
        <v>102200</v>
      </c>
      <c r="R103" s="335" t="b">
        <f>K103='d5'!J120</f>
        <v>0</v>
      </c>
    </row>
    <row r="104" spans="1:18" ht="93" thickTop="1" thickBot="1" x14ac:dyDescent="0.25">
      <c r="A104" s="431" t="s">
        <v>429</v>
      </c>
      <c r="B104" s="431" t="s">
        <v>430</v>
      </c>
      <c r="C104" s="431" t="s">
        <v>230</v>
      </c>
      <c r="D104" s="431" t="s">
        <v>431</v>
      </c>
      <c r="E104" s="228">
        <f>'d3'!E104-'d3-п'!E104</f>
        <v>78416</v>
      </c>
      <c r="F104" s="228">
        <f>'d3'!F104-'d3-п'!F104</f>
        <v>78416</v>
      </c>
      <c r="G104" s="228">
        <f>'d3'!G104-'d3-п'!G104</f>
        <v>70217</v>
      </c>
      <c r="H104" s="228">
        <f>'d3'!H104-'d3-п'!H104</f>
        <v>0</v>
      </c>
      <c r="I104" s="228">
        <f>'d3'!I104-'d3-п'!I104</f>
        <v>0</v>
      </c>
      <c r="J104" s="228">
        <f>'d3'!J104-'d3-п'!J104</f>
        <v>0</v>
      </c>
      <c r="K104" s="228">
        <f>'d3'!K104-'d3-п'!K104</f>
        <v>0</v>
      </c>
      <c r="L104" s="228">
        <f>'d3'!L104-'d3-п'!L104</f>
        <v>0</v>
      </c>
      <c r="M104" s="228">
        <f>'d3'!M104-'d3-п'!M104</f>
        <v>0</v>
      </c>
      <c r="N104" s="228">
        <f>'d3'!N104-'d3-п'!N104</f>
        <v>0</v>
      </c>
      <c r="O104" s="228">
        <f>'d3'!O104-'d3-п'!O104</f>
        <v>0</v>
      </c>
      <c r="P104" s="228">
        <f>'d3'!P104-'d3-п'!P104</f>
        <v>78416</v>
      </c>
      <c r="R104" s="335" t="b">
        <f>K104='d5'!J121+'d5'!J122</f>
        <v>0</v>
      </c>
    </row>
    <row r="105" spans="1:18" ht="138.75" thickTop="1" thickBot="1" x14ac:dyDescent="0.25">
      <c r="A105" s="431" t="s">
        <v>54</v>
      </c>
      <c r="B105" s="431" t="s">
        <v>232</v>
      </c>
      <c r="C105" s="431" t="s">
        <v>241</v>
      </c>
      <c r="D105" s="431" t="s">
        <v>55</v>
      </c>
      <c r="E105" s="228">
        <f>'d3'!E105-'d3-п'!E105</f>
        <v>780000</v>
      </c>
      <c r="F105" s="228">
        <f>'d3'!F105-'d3-п'!F105</f>
        <v>780000</v>
      </c>
      <c r="G105" s="228">
        <f>'d3'!G105-'d3-п'!G105</f>
        <v>0</v>
      </c>
      <c r="H105" s="228">
        <f>'d3'!H105-'d3-п'!H105</f>
        <v>0</v>
      </c>
      <c r="I105" s="228">
        <f>'d3'!I105-'d3-п'!I105</f>
        <v>0</v>
      </c>
      <c r="J105" s="228">
        <f>'d3'!J105-'d3-п'!J105</f>
        <v>0</v>
      </c>
      <c r="K105" s="228">
        <f>'d3'!K105-'d3-п'!K105</f>
        <v>0</v>
      </c>
      <c r="L105" s="228">
        <f>'d3'!L105-'d3-п'!L105</f>
        <v>0</v>
      </c>
      <c r="M105" s="228">
        <f>'d3'!M105-'d3-п'!M105</f>
        <v>0</v>
      </c>
      <c r="N105" s="228">
        <f>'d3'!N105-'d3-п'!N105</f>
        <v>0</v>
      </c>
      <c r="O105" s="228">
        <f>'d3'!O105-'d3-п'!O105</f>
        <v>0</v>
      </c>
      <c r="P105" s="228">
        <f>'d3'!P105-'d3-п'!P105</f>
        <v>780000</v>
      </c>
      <c r="R105" s="335"/>
    </row>
    <row r="106" spans="1:18" ht="138.75" thickTop="1" thickBot="1" x14ac:dyDescent="0.25">
      <c r="A106" s="431" t="s">
        <v>56</v>
      </c>
      <c r="B106" s="431" t="s">
        <v>233</v>
      </c>
      <c r="C106" s="431" t="s">
        <v>241</v>
      </c>
      <c r="D106" s="431" t="s">
        <v>5</v>
      </c>
      <c r="E106" s="228">
        <f>'d3'!E106-'d3-п'!E106</f>
        <v>0</v>
      </c>
      <c r="F106" s="228">
        <f>'d3'!F106-'d3-п'!F106</f>
        <v>0</v>
      </c>
      <c r="G106" s="228">
        <f>'d3'!G106-'d3-п'!G106</f>
        <v>0</v>
      </c>
      <c r="H106" s="228">
        <f>'d3'!H106-'d3-п'!H106</f>
        <v>0</v>
      </c>
      <c r="I106" s="228">
        <f>'d3'!I106-'d3-п'!I106</f>
        <v>0</v>
      </c>
      <c r="J106" s="228">
        <f>'d3'!J106-'d3-п'!J106</f>
        <v>0</v>
      </c>
      <c r="K106" s="228">
        <f>'d3'!K106-'d3-п'!K106</f>
        <v>0</v>
      </c>
      <c r="L106" s="228">
        <f>'d3'!L106-'d3-п'!L106</f>
        <v>0</v>
      </c>
      <c r="M106" s="228">
        <f>'d3'!M106-'d3-п'!M106</f>
        <v>0</v>
      </c>
      <c r="N106" s="228">
        <f>'d3'!N106-'d3-п'!N106</f>
        <v>0</v>
      </c>
      <c r="O106" s="228">
        <f>'d3'!O106-'d3-п'!O106</f>
        <v>0</v>
      </c>
      <c r="P106" s="228">
        <f>'d3'!P106-'d3-п'!P106</f>
        <v>0</v>
      </c>
      <c r="R106" s="335"/>
    </row>
    <row r="107" spans="1:18" ht="184.5" thickTop="1" thickBot="1" x14ac:dyDescent="0.25">
      <c r="A107" s="431" t="s">
        <v>57</v>
      </c>
      <c r="B107" s="431" t="s">
        <v>234</v>
      </c>
      <c r="C107" s="431" t="s">
        <v>241</v>
      </c>
      <c r="D107" s="431" t="s">
        <v>426</v>
      </c>
      <c r="E107" s="228">
        <f>'d3'!E107-'d3-п'!E107</f>
        <v>0</v>
      </c>
      <c r="F107" s="228">
        <f>'d3'!F107-'d3-п'!F107</f>
        <v>0</v>
      </c>
      <c r="G107" s="228">
        <f>'d3'!G107-'d3-п'!G107</f>
        <v>0</v>
      </c>
      <c r="H107" s="228">
        <f>'d3'!H107-'d3-п'!H107</f>
        <v>0</v>
      </c>
      <c r="I107" s="228">
        <f>'d3'!I107-'d3-п'!I107</f>
        <v>0</v>
      </c>
      <c r="J107" s="228">
        <f>'d3'!J107-'d3-п'!J107</f>
        <v>0</v>
      </c>
      <c r="K107" s="228">
        <f>'d3'!K107-'d3-п'!K107</f>
        <v>0</v>
      </c>
      <c r="L107" s="228">
        <f>'d3'!L107-'d3-п'!L107</f>
        <v>0</v>
      </c>
      <c r="M107" s="228">
        <f>'d3'!M107-'d3-п'!M107</f>
        <v>0</v>
      </c>
      <c r="N107" s="228">
        <f>'d3'!N107-'d3-п'!N107</f>
        <v>0</v>
      </c>
      <c r="O107" s="228">
        <f>'d3'!O107-'d3-п'!O107</f>
        <v>0</v>
      </c>
      <c r="P107" s="228">
        <f>'d3'!P107-'d3-п'!P107</f>
        <v>0</v>
      </c>
      <c r="R107" s="335"/>
    </row>
    <row r="108" spans="1:18" ht="184.5" thickTop="1" thickBot="1" x14ac:dyDescent="0.25">
      <c r="A108" s="431" t="s">
        <v>34</v>
      </c>
      <c r="B108" s="431" t="s">
        <v>238</v>
      </c>
      <c r="C108" s="431" t="s">
        <v>241</v>
      </c>
      <c r="D108" s="431" t="s">
        <v>58</v>
      </c>
      <c r="E108" s="228">
        <f>'d3'!E108-'d3-п'!E108</f>
        <v>2334421</v>
      </c>
      <c r="F108" s="228">
        <f>'d3'!F108-'d3-п'!F108</f>
        <v>2334421</v>
      </c>
      <c r="G108" s="228">
        <f>'d3'!G108-'d3-п'!G108</f>
        <v>1981498</v>
      </c>
      <c r="H108" s="228">
        <f>'d3'!H108-'d3-п'!H108</f>
        <v>-29060</v>
      </c>
      <c r="I108" s="228">
        <f>'d3'!I108-'d3-п'!I108</f>
        <v>0</v>
      </c>
      <c r="J108" s="228">
        <f>'d3'!J108-'d3-п'!J108</f>
        <v>124421</v>
      </c>
      <c r="K108" s="228">
        <f>'d3'!K108-'d3-п'!K108</f>
        <v>124421</v>
      </c>
      <c r="L108" s="228">
        <f>'d3'!L108-'d3-п'!L108</f>
        <v>-10500</v>
      </c>
      <c r="M108" s="228">
        <f>'d3'!M108-'d3-п'!M108</f>
        <v>38000</v>
      </c>
      <c r="N108" s="228">
        <f>'d3'!N108-'d3-п'!N108</f>
        <v>0</v>
      </c>
      <c r="O108" s="228">
        <f>'d3'!O108-'d3-п'!O108</f>
        <v>134921</v>
      </c>
      <c r="P108" s="228">
        <f>'d3'!P108-'d3-п'!P108</f>
        <v>2458842</v>
      </c>
      <c r="R108" s="335" t="b">
        <f>K108='d5'!J126+'d5'!J125+'d5'!J124+'d5'!J123</f>
        <v>0</v>
      </c>
    </row>
    <row r="109" spans="1:18" ht="184.5" thickTop="1" thickBot="1" x14ac:dyDescent="0.25">
      <c r="A109" s="431" t="s">
        <v>35</v>
      </c>
      <c r="B109" s="431" t="s">
        <v>239</v>
      </c>
      <c r="C109" s="431" t="s">
        <v>241</v>
      </c>
      <c r="D109" s="431" t="s">
        <v>59</v>
      </c>
      <c r="E109" s="228">
        <f>'d3'!E109-'d3-п'!E109</f>
        <v>409869</v>
      </c>
      <c r="F109" s="228">
        <f>'d3'!F109-'d3-п'!F109</f>
        <v>409869</v>
      </c>
      <c r="G109" s="228">
        <f>'d3'!G109-'d3-п'!G109</f>
        <v>0</v>
      </c>
      <c r="H109" s="228">
        <f>'d3'!H109-'d3-п'!H109</f>
        <v>0</v>
      </c>
      <c r="I109" s="228">
        <f>'d3'!I109-'d3-п'!I109</f>
        <v>0</v>
      </c>
      <c r="J109" s="228">
        <f>'d3'!J109-'d3-п'!J109</f>
        <v>0</v>
      </c>
      <c r="K109" s="228">
        <f>'d3'!K109-'d3-п'!K109</f>
        <v>0</v>
      </c>
      <c r="L109" s="228">
        <f>'d3'!L109-'d3-п'!L109</f>
        <v>0</v>
      </c>
      <c r="M109" s="228">
        <f>'d3'!M109-'d3-п'!M109</f>
        <v>0</v>
      </c>
      <c r="N109" s="228">
        <f>'d3'!N109-'d3-п'!N109</f>
        <v>0</v>
      </c>
      <c r="O109" s="228">
        <f>'d3'!O109-'d3-п'!O109</f>
        <v>0</v>
      </c>
      <c r="P109" s="228">
        <f>'d3'!P109-'d3-п'!P109</f>
        <v>409869</v>
      </c>
      <c r="R109" s="335" t="b">
        <f>K109='d5'!J128+'d5'!J127</f>
        <v>0</v>
      </c>
    </row>
    <row r="110" spans="1:18" ht="276" thickTop="1" thickBot="1" x14ac:dyDescent="0.25">
      <c r="A110" s="225" t="s">
        <v>36</v>
      </c>
      <c r="B110" s="225" t="s">
        <v>240</v>
      </c>
      <c r="C110" s="225" t="s">
        <v>241</v>
      </c>
      <c r="D110" s="431" t="s">
        <v>37</v>
      </c>
      <c r="E110" s="228">
        <f>'d3'!E110-'d3-п'!E110</f>
        <v>-280000</v>
      </c>
      <c r="F110" s="228">
        <f>'d3'!F110-'d3-п'!F110</f>
        <v>-280000</v>
      </c>
      <c r="G110" s="228">
        <f>'d3'!G110-'d3-п'!G110</f>
        <v>0</v>
      </c>
      <c r="H110" s="228">
        <f>'d3'!H110-'d3-п'!H110</f>
        <v>0</v>
      </c>
      <c r="I110" s="228">
        <f>'d3'!I110-'d3-п'!I110</f>
        <v>0</v>
      </c>
      <c r="J110" s="228">
        <f>'d3'!J110-'d3-п'!J110</f>
        <v>0</v>
      </c>
      <c r="K110" s="228">
        <f>'d3'!K110-'d3-п'!K110</f>
        <v>0</v>
      </c>
      <c r="L110" s="228">
        <f>'d3'!L110-'d3-п'!L110</f>
        <v>0</v>
      </c>
      <c r="M110" s="228">
        <f>'d3'!M110-'d3-п'!M110</f>
        <v>0</v>
      </c>
      <c r="N110" s="228">
        <f>'d3'!N110-'d3-п'!N110</f>
        <v>0</v>
      </c>
      <c r="O110" s="228">
        <f>'d3'!O110-'d3-п'!O110</f>
        <v>0</v>
      </c>
      <c r="P110" s="228">
        <f>'d3'!P110-'d3-п'!P110</f>
        <v>-280000</v>
      </c>
      <c r="R110" s="335"/>
    </row>
    <row r="111" spans="1:18" ht="184.5" hidden="1" thickTop="1" thickBot="1" x14ac:dyDescent="0.25">
      <c r="A111" s="423" t="s">
        <v>730</v>
      </c>
      <c r="B111" s="423" t="s">
        <v>728</v>
      </c>
      <c r="C111" s="423" t="s">
        <v>241</v>
      </c>
      <c r="D111" s="406" t="s">
        <v>729</v>
      </c>
      <c r="E111" s="228">
        <f>'d3'!E111-'d3-п'!E111</f>
        <v>0</v>
      </c>
      <c r="F111" s="228">
        <f>'d3'!F111-'d3-п'!F111</f>
        <v>0</v>
      </c>
      <c r="G111" s="228">
        <f>'d3'!G111-'d3-п'!G111</f>
        <v>0</v>
      </c>
      <c r="H111" s="228">
        <f>'d3'!H111-'d3-п'!H111</f>
        <v>0</v>
      </c>
      <c r="I111" s="228">
        <f>'d3'!I111-'d3-п'!I111</f>
        <v>0</v>
      </c>
      <c r="J111" s="228">
        <f>'d3'!J111-'d3-п'!J111</f>
        <v>0</v>
      </c>
      <c r="K111" s="228">
        <f>'d3'!K111-'d3-п'!K111</f>
        <v>0</v>
      </c>
      <c r="L111" s="228">
        <f>'d3'!L111-'d3-п'!L111</f>
        <v>0</v>
      </c>
      <c r="M111" s="228">
        <f>'d3'!M111-'d3-п'!M111</f>
        <v>0</v>
      </c>
      <c r="N111" s="228">
        <f>'d3'!N111-'d3-п'!N111</f>
        <v>0</v>
      </c>
      <c r="O111" s="228">
        <f>'d3'!O111-'d3-п'!O111</f>
        <v>0</v>
      </c>
      <c r="P111" s="228">
        <f>'d3'!P111-'d3-п'!P111</f>
        <v>0</v>
      </c>
      <c r="R111" s="335"/>
    </row>
    <row r="112" spans="1:18" ht="93" thickTop="1" thickBot="1" x14ac:dyDescent="0.25">
      <c r="A112" s="225" t="s">
        <v>38</v>
      </c>
      <c r="B112" s="225" t="s">
        <v>242</v>
      </c>
      <c r="C112" s="225" t="s">
        <v>241</v>
      </c>
      <c r="D112" s="431" t="s">
        <v>39</v>
      </c>
      <c r="E112" s="228">
        <f>'d3'!E112-'d3-п'!E112</f>
        <v>0</v>
      </c>
      <c r="F112" s="228">
        <f>'d3'!F112-'d3-п'!F112</f>
        <v>0</v>
      </c>
      <c r="G112" s="228">
        <f>'d3'!G112-'d3-п'!G112</f>
        <v>0</v>
      </c>
      <c r="H112" s="228">
        <f>'d3'!H112-'d3-п'!H112</f>
        <v>0</v>
      </c>
      <c r="I112" s="228">
        <f>'d3'!I112-'d3-п'!I112</f>
        <v>0</v>
      </c>
      <c r="J112" s="228">
        <f>'d3'!J112-'d3-п'!J112</f>
        <v>0</v>
      </c>
      <c r="K112" s="228">
        <f>'d3'!K112-'d3-п'!K112</f>
        <v>0</v>
      </c>
      <c r="L112" s="228">
        <f>'d3'!L112-'d3-п'!L112</f>
        <v>0</v>
      </c>
      <c r="M112" s="228">
        <f>'d3'!M112-'d3-п'!M112</f>
        <v>0</v>
      </c>
      <c r="N112" s="228">
        <f>'d3'!N112-'d3-п'!N112</f>
        <v>0</v>
      </c>
      <c r="O112" s="228">
        <f>'d3'!O112-'d3-п'!O112</f>
        <v>0</v>
      </c>
      <c r="P112" s="228">
        <f>'d3'!P112-'d3-п'!P112</f>
        <v>0</v>
      </c>
      <c r="R112" s="335"/>
    </row>
    <row r="113" spans="1:18" ht="276" thickTop="1" thickBot="1" x14ac:dyDescent="0.25">
      <c r="A113" s="225" t="s">
        <v>417</v>
      </c>
      <c r="B113" s="225" t="s">
        <v>416</v>
      </c>
      <c r="C113" s="225" t="s">
        <v>415</v>
      </c>
      <c r="D113" s="431" t="s">
        <v>414</v>
      </c>
      <c r="E113" s="228">
        <f>'d3'!E113-'d3-п'!E113</f>
        <v>0</v>
      </c>
      <c r="F113" s="228">
        <f>'d3'!F113-'d3-п'!F113</f>
        <v>0</v>
      </c>
      <c r="G113" s="228">
        <f>'d3'!G113-'d3-п'!G113</f>
        <v>0</v>
      </c>
      <c r="H113" s="228">
        <f>'d3'!H113-'d3-п'!H113</f>
        <v>0</v>
      </c>
      <c r="I113" s="228">
        <f>'d3'!I113-'d3-п'!I113</f>
        <v>0</v>
      </c>
      <c r="J113" s="228">
        <f>'d3'!J113-'d3-п'!J113</f>
        <v>0</v>
      </c>
      <c r="K113" s="228">
        <f>'d3'!K113-'d3-п'!K113</f>
        <v>0</v>
      </c>
      <c r="L113" s="228">
        <f>'d3'!L113-'d3-п'!L113</f>
        <v>0</v>
      </c>
      <c r="M113" s="228">
        <f>'d3'!M113-'d3-п'!M113</f>
        <v>0</v>
      </c>
      <c r="N113" s="228">
        <f>'d3'!N113-'d3-п'!N113</f>
        <v>0</v>
      </c>
      <c r="O113" s="228">
        <f>'d3'!O113-'d3-п'!O113</f>
        <v>0</v>
      </c>
      <c r="P113" s="228">
        <f>'d3'!P113-'d3-п'!P113</f>
        <v>0</v>
      </c>
      <c r="R113" s="335"/>
    </row>
    <row r="114" spans="1:18" ht="93" thickTop="1" thickBot="1" x14ac:dyDescent="0.25">
      <c r="A114" s="431" t="s">
        <v>463</v>
      </c>
      <c r="B114" s="431" t="s">
        <v>443</v>
      </c>
      <c r="C114" s="431" t="s">
        <v>53</v>
      </c>
      <c r="D114" s="431" t="s">
        <v>444</v>
      </c>
      <c r="E114" s="228">
        <f>'d3'!E114-'d3-п'!E114</f>
        <v>0</v>
      </c>
      <c r="F114" s="228">
        <f>'d3'!F114-'d3-п'!F114</f>
        <v>0</v>
      </c>
      <c r="G114" s="228">
        <f>'d3'!G114-'d3-п'!G114</f>
        <v>0</v>
      </c>
      <c r="H114" s="228">
        <f>'d3'!H114-'d3-п'!H114</f>
        <v>0</v>
      </c>
      <c r="I114" s="228">
        <f>'d3'!I114-'d3-п'!I114</f>
        <v>0</v>
      </c>
      <c r="J114" s="228">
        <f>'d3'!J114-'d3-п'!J114</f>
        <v>0</v>
      </c>
      <c r="K114" s="228">
        <f>'d3'!K114-'d3-п'!K114</f>
        <v>0</v>
      </c>
      <c r="L114" s="228">
        <f>'d3'!L114-'d3-п'!L114</f>
        <v>0</v>
      </c>
      <c r="M114" s="228">
        <f>'d3'!M114-'d3-п'!M114</f>
        <v>0</v>
      </c>
      <c r="N114" s="228">
        <f>'d3'!N114-'d3-п'!N114</f>
        <v>0</v>
      </c>
      <c r="O114" s="228">
        <f>'d3'!O114-'d3-п'!O114</f>
        <v>0</v>
      </c>
      <c r="P114" s="228">
        <f>'d3'!P114-'d3-п'!P114</f>
        <v>0</v>
      </c>
      <c r="R114" s="335" t="b">
        <f>K114='d5'!J129</f>
        <v>0</v>
      </c>
    </row>
    <row r="115" spans="1:18" ht="181.5" thickTop="1" thickBot="1" x14ac:dyDescent="0.25">
      <c r="A115" s="451" t="s">
        <v>198</v>
      </c>
      <c r="B115" s="451"/>
      <c r="C115" s="451"/>
      <c r="D115" s="452" t="s">
        <v>28</v>
      </c>
      <c r="E115" s="453">
        <f>E116</f>
        <v>3533269</v>
      </c>
      <c r="F115" s="454">
        <f t="shared" ref="F115:G115" si="37">F116</f>
        <v>3533269</v>
      </c>
      <c r="G115" s="454">
        <f t="shared" si="37"/>
        <v>16820</v>
      </c>
      <c r="H115" s="454">
        <f>H116</f>
        <v>0</v>
      </c>
      <c r="I115" s="453">
        <f t="shared" ref="I115" si="38">I116</f>
        <v>0</v>
      </c>
      <c r="J115" s="453">
        <f>J116</f>
        <v>3000653</v>
      </c>
      <c r="K115" s="454">
        <f>K116</f>
        <v>3000653</v>
      </c>
      <c r="L115" s="454">
        <f>L116</f>
        <v>0</v>
      </c>
      <c r="M115" s="454">
        <f t="shared" ref="M115" si="39">M116</f>
        <v>0</v>
      </c>
      <c r="N115" s="453">
        <f>N116</f>
        <v>0</v>
      </c>
      <c r="O115" s="453">
        <f>O116</f>
        <v>3000653</v>
      </c>
      <c r="P115" s="454">
        <f>P116</f>
        <v>6533922</v>
      </c>
    </row>
    <row r="116" spans="1:18" ht="181.5" thickTop="1" thickBot="1" x14ac:dyDescent="0.25">
      <c r="A116" s="455" t="s">
        <v>199</v>
      </c>
      <c r="B116" s="455"/>
      <c r="C116" s="455"/>
      <c r="D116" s="456" t="s">
        <v>48</v>
      </c>
      <c r="E116" s="457">
        <f>SUM(E117:E134)</f>
        <v>3533269</v>
      </c>
      <c r="F116" s="457">
        <f>SUM(F117:F134)</f>
        <v>3533269</v>
      </c>
      <c r="G116" s="457">
        <f>SUM(G117:G134)</f>
        <v>16820</v>
      </c>
      <c r="H116" s="457">
        <f>SUM(H117:H134)</f>
        <v>0</v>
      </c>
      <c r="I116" s="457">
        <f>SUM(I117:I134)</f>
        <v>0</v>
      </c>
      <c r="J116" s="457">
        <f t="shared" ref="J116" si="40">L116+O116</f>
        <v>3000653</v>
      </c>
      <c r="K116" s="457">
        <f>SUM(K117:K134)</f>
        <v>3000653</v>
      </c>
      <c r="L116" s="457">
        <f>SUM(L117:L134)</f>
        <v>0</v>
      </c>
      <c r="M116" s="457">
        <f>SUM(M117:M134)</f>
        <v>0</v>
      </c>
      <c r="N116" s="457">
        <f>SUM(N117:N134)</f>
        <v>0</v>
      </c>
      <c r="O116" s="457">
        <f>SUM(O117:O134)</f>
        <v>3000653</v>
      </c>
      <c r="P116" s="458">
        <f>E116+J116</f>
        <v>6533922</v>
      </c>
      <c r="Q116" s="334" t="b">
        <f>P116=P119+P121+P122+P123+P124+P125+P126+P128+P129+P130+P134+P120+P117+P131+P118+P127+P133</f>
        <v>1</v>
      </c>
      <c r="R116" s="335" t="b">
        <f>K116='d5'!J130</f>
        <v>0</v>
      </c>
    </row>
    <row r="117" spans="1:18" ht="230.25" thickTop="1" thickBot="1" x14ac:dyDescent="0.25">
      <c r="A117" s="431" t="s">
        <v>522</v>
      </c>
      <c r="B117" s="431" t="s">
        <v>286</v>
      </c>
      <c r="C117" s="431" t="s">
        <v>284</v>
      </c>
      <c r="D117" s="431" t="s">
        <v>285</v>
      </c>
      <c r="E117" s="228">
        <f>'d3'!E117-'d3-п'!E117</f>
        <v>0</v>
      </c>
      <c r="F117" s="228">
        <f>'d3'!F117-'d3-п'!F117</f>
        <v>0</v>
      </c>
      <c r="G117" s="228">
        <f>'d3'!G117-'d3-п'!G117</f>
        <v>0</v>
      </c>
      <c r="H117" s="228">
        <f>'d3'!H117-'d3-п'!H117</f>
        <v>0</v>
      </c>
      <c r="I117" s="228">
        <f>'d3'!I117-'d3-п'!I117</f>
        <v>0</v>
      </c>
      <c r="J117" s="228">
        <f>'d3'!J117-'d3-п'!J117</f>
        <v>0</v>
      </c>
      <c r="K117" s="228">
        <f>'d3'!K117-'d3-п'!K117</f>
        <v>0</v>
      </c>
      <c r="L117" s="228">
        <f>'d3'!L117-'d3-п'!L117</f>
        <v>0</v>
      </c>
      <c r="M117" s="228">
        <f>'d3'!M117-'d3-п'!M117</f>
        <v>0</v>
      </c>
      <c r="N117" s="228">
        <f>'d3'!N117-'d3-п'!N117</f>
        <v>0</v>
      </c>
      <c r="O117" s="228">
        <f>'d3'!O117-'d3-п'!O117</f>
        <v>0</v>
      </c>
      <c r="P117" s="228">
        <f>'d3'!P117-'d3-п'!P117</f>
        <v>0</v>
      </c>
      <c r="Q117" s="334"/>
      <c r="R117" s="335" t="b">
        <f>K117='d5'!J132</f>
        <v>0</v>
      </c>
    </row>
    <row r="118" spans="1:18" ht="93" thickTop="1" thickBot="1" x14ac:dyDescent="0.25">
      <c r="A118" s="431" t="s">
        <v>552</v>
      </c>
      <c r="B118" s="431" t="s">
        <v>53</v>
      </c>
      <c r="C118" s="431" t="s">
        <v>52</v>
      </c>
      <c r="D118" s="431" t="s">
        <v>298</v>
      </c>
      <c r="E118" s="228">
        <f>'d3'!E118-'d3-п'!E118</f>
        <v>0</v>
      </c>
      <c r="F118" s="228">
        <f>'d3'!F118-'d3-п'!F118</f>
        <v>0</v>
      </c>
      <c r="G118" s="228">
        <f>'d3'!G118-'d3-п'!G118</f>
        <v>0</v>
      </c>
      <c r="H118" s="228">
        <f>'d3'!H118-'d3-п'!H118</f>
        <v>0</v>
      </c>
      <c r="I118" s="228">
        <f>'d3'!I118-'d3-п'!I118</f>
        <v>0</v>
      </c>
      <c r="J118" s="228">
        <f>'d3'!J118-'d3-п'!J118</f>
        <v>0</v>
      </c>
      <c r="K118" s="228">
        <f>'d3'!K118-'d3-п'!K118</f>
        <v>0</v>
      </c>
      <c r="L118" s="228">
        <f>'d3'!L118-'d3-п'!L118</f>
        <v>0</v>
      </c>
      <c r="M118" s="228">
        <f>'d3'!M118-'d3-п'!M118</f>
        <v>0</v>
      </c>
      <c r="N118" s="228">
        <f>'d3'!N118-'d3-п'!N118</f>
        <v>0</v>
      </c>
      <c r="O118" s="228">
        <f>'d3'!O118-'d3-п'!O118</f>
        <v>0</v>
      </c>
      <c r="P118" s="228">
        <f>'d3'!P118-'d3-п'!P118</f>
        <v>0</v>
      </c>
      <c r="Q118" s="334"/>
      <c r="R118" s="335"/>
    </row>
    <row r="119" spans="1:18" ht="138.75" thickTop="1" thickBot="1" x14ac:dyDescent="0.25">
      <c r="A119" s="431" t="s">
        <v>331</v>
      </c>
      <c r="B119" s="431" t="s">
        <v>332</v>
      </c>
      <c r="C119" s="431" t="s">
        <v>415</v>
      </c>
      <c r="D119" s="431" t="s">
        <v>333</v>
      </c>
      <c r="E119" s="228">
        <f>'d3'!E119-'d3-п'!E119</f>
        <v>500000</v>
      </c>
      <c r="F119" s="228">
        <f>'d3'!F119-'d3-п'!F119</f>
        <v>500000</v>
      </c>
      <c r="G119" s="228">
        <f>'d3'!G119-'d3-п'!G119</f>
        <v>0</v>
      </c>
      <c r="H119" s="228">
        <f>'d3'!H119-'d3-п'!H119</f>
        <v>0</v>
      </c>
      <c r="I119" s="228">
        <f>'d3'!I119-'d3-п'!I119</f>
        <v>0</v>
      </c>
      <c r="J119" s="228">
        <f>'d3'!J119-'d3-п'!J119</f>
        <v>1000000</v>
      </c>
      <c r="K119" s="228">
        <f>'d3'!K119-'d3-п'!K119</f>
        <v>1000000</v>
      </c>
      <c r="L119" s="228">
        <f>'d3'!L119-'d3-п'!L119</f>
        <v>0</v>
      </c>
      <c r="M119" s="228">
        <f>'d3'!M119-'d3-п'!M119</f>
        <v>0</v>
      </c>
      <c r="N119" s="228">
        <f>'d3'!N119-'d3-п'!N119</f>
        <v>0</v>
      </c>
      <c r="O119" s="228">
        <f>'d3'!O119-'d3-п'!O119</f>
        <v>1000000</v>
      </c>
      <c r="P119" s="228">
        <f>'d3'!P119-'d3-п'!P119</f>
        <v>1500000</v>
      </c>
    </row>
    <row r="120" spans="1:18" ht="138.75" thickTop="1" thickBot="1" x14ac:dyDescent="0.25">
      <c r="A120" s="431" t="s">
        <v>464</v>
      </c>
      <c r="B120" s="431" t="s">
        <v>465</v>
      </c>
      <c r="C120" s="431" t="s">
        <v>334</v>
      </c>
      <c r="D120" s="431" t="s">
        <v>466</v>
      </c>
      <c r="E120" s="228">
        <f>'d3'!E120-'d3-п'!E120</f>
        <v>10000000</v>
      </c>
      <c r="F120" s="228">
        <f>'d3'!F120-'d3-п'!F120</f>
        <v>10000000</v>
      </c>
      <c r="G120" s="228">
        <f>'d3'!G120-'d3-п'!G120</f>
        <v>0</v>
      </c>
      <c r="H120" s="228">
        <f>'d3'!H120-'d3-п'!H120</f>
        <v>0</v>
      </c>
      <c r="I120" s="228">
        <f>'d3'!I120-'d3-п'!I120</f>
        <v>0</v>
      </c>
      <c r="J120" s="228">
        <f>'d3'!J120-'d3-п'!J120</f>
        <v>0</v>
      </c>
      <c r="K120" s="228">
        <f>'d3'!K120-'d3-п'!K120</f>
        <v>0</v>
      </c>
      <c r="L120" s="228">
        <f>'d3'!L120-'d3-п'!L120</f>
        <v>0</v>
      </c>
      <c r="M120" s="228">
        <f>'d3'!M120-'d3-п'!M120</f>
        <v>0</v>
      </c>
      <c r="N120" s="228">
        <f>'d3'!N120-'d3-п'!N120</f>
        <v>0</v>
      </c>
      <c r="O120" s="228">
        <f>'d3'!O120-'d3-п'!O120</f>
        <v>0</v>
      </c>
      <c r="P120" s="228">
        <f>'d3'!P120-'d3-п'!P120</f>
        <v>10000000</v>
      </c>
    </row>
    <row r="121" spans="1:18" ht="138.75" thickTop="1" thickBot="1" x14ac:dyDescent="0.25">
      <c r="A121" s="431" t="s">
        <v>337</v>
      </c>
      <c r="B121" s="431" t="s">
        <v>338</v>
      </c>
      <c r="C121" s="431" t="s">
        <v>334</v>
      </c>
      <c r="D121" s="431" t="s">
        <v>339</v>
      </c>
      <c r="E121" s="228">
        <f>'d3'!E121-'d3-п'!E121</f>
        <v>0</v>
      </c>
      <c r="F121" s="228">
        <f>'d3'!F121-'d3-п'!F121</f>
        <v>0</v>
      </c>
      <c r="G121" s="228">
        <f>'d3'!G121-'d3-п'!G121</f>
        <v>0</v>
      </c>
      <c r="H121" s="228">
        <f>'d3'!H121-'d3-п'!H121</f>
        <v>0</v>
      </c>
      <c r="I121" s="228">
        <f>'d3'!I121-'d3-п'!I121</f>
        <v>0</v>
      </c>
      <c r="J121" s="228">
        <f>'d3'!J121-'d3-п'!J121</f>
        <v>0</v>
      </c>
      <c r="K121" s="228">
        <f>'d3'!K121-'d3-п'!K121</f>
        <v>0</v>
      </c>
      <c r="L121" s="228">
        <f>'d3'!L121-'d3-п'!L121</f>
        <v>0</v>
      </c>
      <c r="M121" s="228">
        <f>'d3'!M121-'d3-п'!M121</f>
        <v>0</v>
      </c>
      <c r="N121" s="228">
        <f>'d3'!N121-'d3-п'!N121</f>
        <v>0</v>
      </c>
      <c r="O121" s="228">
        <f>'d3'!O121-'d3-п'!O121</f>
        <v>0</v>
      </c>
      <c r="P121" s="228">
        <f>'d3'!P121-'d3-п'!P121</f>
        <v>0</v>
      </c>
    </row>
    <row r="122" spans="1:18" ht="138.75" thickTop="1" thickBot="1" x14ac:dyDescent="0.25">
      <c r="A122" s="431" t="s">
        <v>356</v>
      </c>
      <c r="B122" s="431" t="s">
        <v>357</v>
      </c>
      <c r="C122" s="431" t="s">
        <v>334</v>
      </c>
      <c r="D122" s="431" t="s">
        <v>358</v>
      </c>
      <c r="E122" s="228">
        <f>'d3'!E122-'d3-п'!E122</f>
        <v>0</v>
      </c>
      <c r="F122" s="228">
        <f>'d3'!F122-'d3-п'!F122</f>
        <v>0</v>
      </c>
      <c r="G122" s="228">
        <f>'d3'!G122-'d3-п'!G122</f>
        <v>0</v>
      </c>
      <c r="H122" s="228">
        <f>'d3'!H122-'d3-п'!H122</f>
        <v>0</v>
      </c>
      <c r="I122" s="228">
        <f>'d3'!I122-'d3-п'!I122</f>
        <v>0</v>
      </c>
      <c r="J122" s="228">
        <f>'d3'!J122-'d3-п'!J122</f>
        <v>1000000</v>
      </c>
      <c r="K122" s="228">
        <f>'d3'!K122-'d3-п'!K122</f>
        <v>1000000</v>
      </c>
      <c r="L122" s="228">
        <f>'d3'!L122-'d3-п'!L122</f>
        <v>0</v>
      </c>
      <c r="M122" s="228">
        <f>'d3'!M122-'d3-п'!M122</f>
        <v>0</v>
      </c>
      <c r="N122" s="228">
        <f>'d3'!N122-'d3-п'!N122</f>
        <v>0</v>
      </c>
      <c r="O122" s="228">
        <f>'d3'!O122-'d3-п'!O122</f>
        <v>1000000</v>
      </c>
      <c r="P122" s="228">
        <f>'d3'!P122-'d3-п'!P122</f>
        <v>1000000</v>
      </c>
    </row>
    <row r="123" spans="1:18" ht="138.75" thickTop="1" thickBot="1" x14ac:dyDescent="0.25">
      <c r="A123" s="431" t="s">
        <v>335</v>
      </c>
      <c r="B123" s="431" t="s">
        <v>336</v>
      </c>
      <c r="C123" s="431" t="s">
        <v>334</v>
      </c>
      <c r="D123" s="431" t="s">
        <v>633</v>
      </c>
      <c r="E123" s="228">
        <f>'d3'!E123-'d3-п'!E123</f>
        <v>0</v>
      </c>
      <c r="F123" s="228">
        <f>'d3'!F123-'d3-п'!F123</f>
        <v>0</v>
      </c>
      <c r="G123" s="228">
        <f>'d3'!G123-'d3-п'!G123</f>
        <v>0</v>
      </c>
      <c r="H123" s="228">
        <f>'d3'!H123-'d3-п'!H123</f>
        <v>0</v>
      </c>
      <c r="I123" s="228">
        <f>'d3'!I123-'d3-п'!I123</f>
        <v>0</v>
      </c>
      <c r="J123" s="228">
        <f>'d3'!J123-'d3-п'!J123</f>
        <v>0</v>
      </c>
      <c r="K123" s="228">
        <f>'d3'!K123-'d3-п'!K123</f>
        <v>0</v>
      </c>
      <c r="L123" s="228">
        <f>'d3'!L123-'d3-п'!L123</f>
        <v>0</v>
      </c>
      <c r="M123" s="228">
        <f>'d3'!M123-'d3-п'!M123</f>
        <v>0</v>
      </c>
      <c r="N123" s="228">
        <f>'d3'!N123-'d3-п'!N123</f>
        <v>0</v>
      </c>
      <c r="O123" s="228">
        <f>'d3'!O123-'d3-п'!O123</f>
        <v>0</v>
      </c>
      <c r="P123" s="228">
        <f>'d3'!P123-'d3-п'!P123</f>
        <v>0</v>
      </c>
    </row>
    <row r="124" spans="1:18" ht="230.25" thickTop="1" thickBot="1" x14ac:dyDescent="0.25">
      <c r="A124" s="431" t="s">
        <v>351</v>
      </c>
      <c r="B124" s="431" t="s">
        <v>352</v>
      </c>
      <c r="C124" s="431" t="s">
        <v>334</v>
      </c>
      <c r="D124" s="431" t="s">
        <v>353</v>
      </c>
      <c r="E124" s="228">
        <f>'d3'!E124-'d3-п'!E124</f>
        <v>0</v>
      </c>
      <c r="F124" s="228">
        <f>'d3'!F124-'d3-п'!F124</f>
        <v>0</v>
      </c>
      <c r="G124" s="228">
        <f>'d3'!G124-'d3-п'!G124</f>
        <v>0</v>
      </c>
      <c r="H124" s="228">
        <f>'d3'!H124-'d3-п'!H124</f>
        <v>0</v>
      </c>
      <c r="I124" s="228">
        <f>'d3'!I124-'d3-п'!I124</f>
        <v>0</v>
      </c>
      <c r="J124" s="228">
        <f>'d3'!J124-'d3-п'!J124</f>
        <v>0</v>
      </c>
      <c r="K124" s="228">
        <f>'d3'!K124-'d3-п'!K124</f>
        <v>0</v>
      </c>
      <c r="L124" s="228">
        <f>'d3'!L124-'d3-п'!L124</f>
        <v>0</v>
      </c>
      <c r="M124" s="228">
        <f>'d3'!M124-'d3-п'!M124</f>
        <v>0</v>
      </c>
      <c r="N124" s="228">
        <f>'d3'!N124-'d3-п'!N124</f>
        <v>0</v>
      </c>
      <c r="O124" s="228">
        <f>'d3'!O124-'d3-п'!O124</f>
        <v>0</v>
      </c>
      <c r="P124" s="228">
        <f>'d3'!P124-'d3-п'!P124</f>
        <v>0</v>
      </c>
    </row>
    <row r="125" spans="1:18" ht="93" thickTop="1" thickBot="1" x14ac:dyDescent="0.25">
      <c r="A125" s="431" t="s">
        <v>340</v>
      </c>
      <c r="B125" s="431" t="s">
        <v>341</v>
      </c>
      <c r="C125" s="431" t="s">
        <v>334</v>
      </c>
      <c r="D125" s="431" t="s">
        <v>342</v>
      </c>
      <c r="E125" s="228">
        <f>'d3'!E125-'d3-п'!E125</f>
        <v>2595165</v>
      </c>
      <c r="F125" s="228">
        <f>'d3'!F125-'d3-п'!F125</f>
        <v>2595165</v>
      </c>
      <c r="G125" s="228">
        <f>'d3'!G125-'d3-п'!G125</f>
        <v>0</v>
      </c>
      <c r="H125" s="228">
        <f>'d3'!H125-'d3-п'!H125</f>
        <v>0</v>
      </c>
      <c r="I125" s="228">
        <f>'d3'!I125-'d3-п'!I125</f>
        <v>0</v>
      </c>
      <c r="J125" s="228">
        <f>'d3'!J125-'d3-п'!J125</f>
        <v>668000</v>
      </c>
      <c r="K125" s="228">
        <f>'d3'!K125-'d3-п'!K125</f>
        <v>668000</v>
      </c>
      <c r="L125" s="228">
        <f>'d3'!L125-'d3-п'!L125</f>
        <v>0</v>
      </c>
      <c r="M125" s="228">
        <f>'d3'!M125-'d3-п'!M125</f>
        <v>0</v>
      </c>
      <c r="N125" s="228">
        <f>'d3'!N125-'d3-п'!N125</f>
        <v>0</v>
      </c>
      <c r="O125" s="228">
        <f>'d3'!O125-'d3-п'!O125</f>
        <v>668000</v>
      </c>
      <c r="P125" s="228">
        <f>'d3'!P125-'d3-п'!P125</f>
        <v>3263165</v>
      </c>
    </row>
    <row r="126" spans="1:18" ht="99.75" thickTop="1" thickBot="1" x14ac:dyDescent="0.25">
      <c r="A126" s="431" t="s">
        <v>360</v>
      </c>
      <c r="B126" s="431" t="s">
        <v>361</v>
      </c>
      <c r="C126" s="431" t="s">
        <v>359</v>
      </c>
      <c r="D126" s="431" t="s">
        <v>649</v>
      </c>
      <c r="E126" s="228">
        <f>'d3'!E126-'d3-п'!E126</f>
        <v>0</v>
      </c>
      <c r="F126" s="228">
        <f>'d3'!F126-'d3-п'!F126</f>
        <v>0</v>
      </c>
      <c r="G126" s="228">
        <f>'d3'!G126-'d3-п'!G126</f>
        <v>0</v>
      </c>
      <c r="H126" s="228">
        <f>'d3'!H126-'d3-п'!H126</f>
        <v>0</v>
      </c>
      <c r="I126" s="228">
        <f>'d3'!I126-'d3-п'!I126</f>
        <v>0</v>
      </c>
      <c r="J126" s="228">
        <f>'d3'!J126-'d3-п'!J126</f>
        <v>-1166025</v>
      </c>
      <c r="K126" s="228">
        <f>'d3'!K126-'d3-п'!K126</f>
        <v>-1166025</v>
      </c>
      <c r="L126" s="228">
        <f>'d3'!L126-'d3-п'!L126</f>
        <v>0</v>
      </c>
      <c r="M126" s="228">
        <f>'d3'!M126-'d3-п'!M126</f>
        <v>0</v>
      </c>
      <c r="N126" s="228">
        <f>'d3'!N126-'d3-п'!N126</f>
        <v>0</v>
      </c>
      <c r="O126" s="228">
        <f>'d3'!O126-'d3-п'!O126</f>
        <v>-1166025</v>
      </c>
      <c r="P126" s="228">
        <f>'d3'!P126-'d3-п'!P126</f>
        <v>-1166025</v>
      </c>
    </row>
    <row r="127" spans="1:18" ht="138.75" thickTop="1" thickBot="1" x14ac:dyDescent="0.25">
      <c r="A127" s="431" t="s">
        <v>558</v>
      </c>
      <c r="B127" s="431" t="s">
        <v>428</v>
      </c>
      <c r="C127" s="431" t="s">
        <v>210</v>
      </c>
      <c r="D127" s="431" t="s">
        <v>313</v>
      </c>
      <c r="E127" s="228">
        <f>'d3'!E127-'d3-п'!E127</f>
        <v>0</v>
      </c>
      <c r="F127" s="228">
        <f>'d3'!F127-'d3-п'!F127</f>
        <v>0</v>
      </c>
      <c r="G127" s="228">
        <f>'d3'!G127-'d3-п'!G127</f>
        <v>0</v>
      </c>
      <c r="H127" s="228">
        <f>'d3'!H127-'d3-п'!H127</f>
        <v>0</v>
      </c>
      <c r="I127" s="228">
        <f>'d3'!I127-'d3-п'!I127</f>
        <v>0</v>
      </c>
      <c r="J127" s="228">
        <f>'d3'!J127-'d3-п'!J127</f>
        <v>0</v>
      </c>
      <c r="K127" s="228">
        <f>'d3'!K127-'d3-п'!K127</f>
        <v>0</v>
      </c>
      <c r="L127" s="228">
        <f>'d3'!L127-'d3-п'!L127</f>
        <v>0</v>
      </c>
      <c r="M127" s="228">
        <f>'d3'!M127-'d3-п'!M127</f>
        <v>0</v>
      </c>
      <c r="N127" s="228">
        <f>'d3'!N127-'d3-п'!N127</f>
        <v>0</v>
      </c>
      <c r="O127" s="228">
        <f>'d3'!O127-'d3-п'!O127</f>
        <v>0</v>
      </c>
      <c r="P127" s="228">
        <f>'d3'!P127-'d3-п'!P127</f>
        <v>0</v>
      </c>
      <c r="R127" s="327"/>
    </row>
    <row r="128" spans="1:18" ht="230.25" thickTop="1" thickBot="1" x14ac:dyDescent="0.25">
      <c r="A128" s="431" t="s">
        <v>346</v>
      </c>
      <c r="B128" s="431" t="s">
        <v>347</v>
      </c>
      <c r="C128" s="431" t="s">
        <v>349</v>
      </c>
      <c r="D128" s="431" t="s">
        <v>348</v>
      </c>
      <c r="E128" s="228">
        <f>'d3'!E128-'d3-п'!E128</f>
        <v>-9561896</v>
      </c>
      <c r="F128" s="228">
        <f>'d3'!F128-'d3-п'!F128</f>
        <v>-9561896</v>
      </c>
      <c r="G128" s="228">
        <f>'d3'!G128-'d3-п'!G128</f>
        <v>0</v>
      </c>
      <c r="H128" s="228">
        <f>'d3'!H128-'d3-п'!H128</f>
        <v>0</v>
      </c>
      <c r="I128" s="228">
        <f>'d3'!I128-'d3-п'!I128</f>
        <v>0</v>
      </c>
      <c r="J128" s="228">
        <f>'d3'!J128-'d3-п'!J128</f>
        <v>266025</v>
      </c>
      <c r="K128" s="228">
        <f>'d3'!K128-'d3-п'!K128</f>
        <v>266025</v>
      </c>
      <c r="L128" s="228">
        <f>'d3'!L128-'d3-п'!L128</f>
        <v>0</v>
      </c>
      <c r="M128" s="228">
        <f>'d3'!M128-'d3-п'!M128</f>
        <v>0</v>
      </c>
      <c r="N128" s="228">
        <f>'d3'!N128-'d3-п'!N128</f>
        <v>0</v>
      </c>
      <c r="O128" s="228">
        <f>'d3'!O128-'d3-п'!O128</f>
        <v>266025</v>
      </c>
      <c r="P128" s="228">
        <f>'d3'!P128-'d3-п'!P128</f>
        <v>-9295871</v>
      </c>
    </row>
    <row r="129" spans="1:18" ht="48" thickTop="1" thickBot="1" x14ac:dyDescent="0.25">
      <c r="A129" s="431" t="s">
        <v>350</v>
      </c>
      <c r="B129" s="431" t="s">
        <v>262</v>
      </c>
      <c r="C129" s="431" t="s">
        <v>263</v>
      </c>
      <c r="D129" s="431" t="s">
        <v>51</v>
      </c>
      <c r="E129" s="228">
        <f>'d3'!E129-'d3-п'!E129</f>
        <v>0</v>
      </c>
      <c r="F129" s="228">
        <f>'d3'!F129-'d3-п'!F129</f>
        <v>0</v>
      </c>
      <c r="G129" s="228">
        <f>'d3'!G129-'d3-п'!G129</f>
        <v>0</v>
      </c>
      <c r="H129" s="228">
        <f>'d3'!H129-'d3-п'!H129</f>
        <v>0</v>
      </c>
      <c r="I129" s="228">
        <f>'d3'!I129-'d3-п'!I129</f>
        <v>0</v>
      </c>
      <c r="J129" s="228">
        <f>'d3'!J129-'d3-п'!J129</f>
        <v>167475</v>
      </c>
      <c r="K129" s="228">
        <f>'d3'!K129-'d3-п'!K129</f>
        <v>167475</v>
      </c>
      <c r="L129" s="228">
        <f>'d3'!L129-'d3-п'!L129</f>
        <v>0</v>
      </c>
      <c r="M129" s="228">
        <f>'d3'!M129-'d3-п'!M129</f>
        <v>0</v>
      </c>
      <c r="N129" s="228">
        <f>'d3'!N129-'d3-п'!N129</f>
        <v>0</v>
      </c>
      <c r="O129" s="228">
        <f>'d3'!O129-'d3-п'!O129</f>
        <v>167475</v>
      </c>
      <c r="P129" s="228">
        <f>'d3'!P129-'d3-п'!P129</f>
        <v>167475</v>
      </c>
    </row>
    <row r="130" spans="1:18" ht="93" thickTop="1" thickBot="1" x14ac:dyDescent="0.7">
      <c r="A130" s="431" t="s">
        <v>362</v>
      </c>
      <c r="B130" s="431" t="s">
        <v>243</v>
      </c>
      <c r="C130" s="431" t="s">
        <v>210</v>
      </c>
      <c r="D130" s="431" t="s">
        <v>42</v>
      </c>
      <c r="E130" s="228">
        <f>'d3'!E130-'d3-п'!E130</f>
        <v>0</v>
      </c>
      <c r="F130" s="228">
        <f>'d3'!F130-'d3-п'!F130</f>
        <v>0</v>
      </c>
      <c r="G130" s="228">
        <f>'d3'!G130-'d3-п'!G130</f>
        <v>0</v>
      </c>
      <c r="H130" s="228">
        <f>'d3'!H130-'d3-п'!H130</f>
        <v>0</v>
      </c>
      <c r="I130" s="228">
        <f>'d3'!I130-'d3-п'!I130</f>
        <v>0</v>
      </c>
      <c r="J130" s="228">
        <f>'d3'!J130-'d3-п'!J130</f>
        <v>1065178</v>
      </c>
      <c r="K130" s="228">
        <f>'d3'!K130-'d3-п'!K130</f>
        <v>1065178</v>
      </c>
      <c r="L130" s="228">
        <f>'d3'!L130-'d3-п'!L130</f>
        <v>0</v>
      </c>
      <c r="M130" s="228">
        <f>'d3'!M130-'d3-п'!M130</f>
        <v>0</v>
      </c>
      <c r="N130" s="228">
        <f>'d3'!N130-'d3-п'!N130</f>
        <v>0</v>
      </c>
      <c r="O130" s="228">
        <f>'d3'!O130-'d3-п'!O130</f>
        <v>1065178</v>
      </c>
      <c r="P130" s="228">
        <f>'d3'!P130-'d3-п'!P130</f>
        <v>1065178</v>
      </c>
      <c r="Q130" s="112"/>
    </row>
    <row r="131" spans="1:18" ht="358.5" customHeight="1" thickTop="1" thickBot="1" x14ac:dyDescent="0.7">
      <c r="A131" s="554" t="s">
        <v>528</v>
      </c>
      <c r="B131" s="554" t="s">
        <v>412</v>
      </c>
      <c r="C131" s="554" t="s">
        <v>210</v>
      </c>
      <c r="D131" s="232" t="s">
        <v>585</v>
      </c>
      <c r="E131" s="568">
        <f>'d3'!E131-'d3-п'!E131</f>
        <v>0</v>
      </c>
      <c r="F131" s="568">
        <f>'d3'!F131-'d3-п'!F131</f>
        <v>0</v>
      </c>
      <c r="G131" s="568">
        <f>'d3'!G131-'d3-п'!G131</f>
        <v>0</v>
      </c>
      <c r="H131" s="568">
        <f>'d3'!H131-'d3-п'!H131</f>
        <v>0</v>
      </c>
      <c r="I131" s="568">
        <f>'d3'!I131-'d3-п'!I131</f>
        <v>0</v>
      </c>
      <c r="J131" s="568">
        <f>'d3'!J131-'d3-п'!J131</f>
        <v>0</v>
      </c>
      <c r="K131" s="568">
        <f>'d3'!K131-'d3-п'!K131</f>
        <v>0</v>
      </c>
      <c r="L131" s="568">
        <f>'d3'!L131-'d3-п'!L131</f>
        <v>0</v>
      </c>
      <c r="M131" s="568">
        <f>'d3'!M131-'d3-п'!M131</f>
        <v>0</v>
      </c>
      <c r="N131" s="568">
        <f>'d3'!N131-'d3-п'!N131</f>
        <v>0</v>
      </c>
      <c r="O131" s="568">
        <f>'d3'!O131-'d3-п'!O131</f>
        <v>0</v>
      </c>
      <c r="P131" s="568">
        <f>'d3'!P131-'d3-п'!P131</f>
        <v>0</v>
      </c>
      <c r="Q131" s="339">
        <f>P131</f>
        <v>0</v>
      </c>
    </row>
    <row r="132" spans="1:18" ht="184.5" thickTop="1" thickBot="1" x14ac:dyDescent="0.7">
      <c r="A132" s="554"/>
      <c r="B132" s="554"/>
      <c r="C132" s="554"/>
      <c r="D132" s="233" t="s">
        <v>586</v>
      </c>
      <c r="E132" s="652"/>
      <c r="F132" s="652">
        <f>'d3'!F132-'d3-п'!F132</f>
        <v>0</v>
      </c>
      <c r="G132" s="652">
        <f>'d3'!G132-'d3-п'!G132</f>
        <v>0</v>
      </c>
      <c r="H132" s="652">
        <f>'d3'!H132-'d3-п'!H132</f>
        <v>0</v>
      </c>
      <c r="I132" s="652">
        <f>'d3'!I132-'d3-п'!I132</f>
        <v>0</v>
      </c>
      <c r="J132" s="652">
        <f>'d3'!J132-'d3-п'!J132</f>
        <v>0</v>
      </c>
      <c r="K132" s="652">
        <f>'d3'!K132-'d3-п'!K132</f>
        <v>0</v>
      </c>
      <c r="L132" s="652">
        <f>'d3'!L132-'d3-п'!L132</f>
        <v>0</v>
      </c>
      <c r="M132" s="652">
        <f>'d3'!M132-'d3-п'!M132</f>
        <v>0</v>
      </c>
      <c r="N132" s="652">
        <f>'d3'!N132-'d3-п'!N132</f>
        <v>0</v>
      </c>
      <c r="O132" s="652">
        <f>'d3'!O132-'d3-п'!O132</f>
        <v>0</v>
      </c>
      <c r="P132" s="652">
        <f>'d3'!P132-'d3-п'!P132</f>
        <v>0</v>
      </c>
      <c r="Q132" s="112"/>
    </row>
    <row r="133" spans="1:18" ht="138.75" thickTop="1" thickBot="1" x14ac:dyDescent="0.7">
      <c r="A133" s="431" t="s">
        <v>752</v>
      </c>
      <c r="B133" s="431" t="s">
        <v>750</v>
      </c>
      <c r="C133" s="431" t="s">
        <v>302</v>
      </c>
      <c r="D133" s="243" t="s">
        <v>751</v>
      </c>
      <c r="E133" s="228">
        <f>'d3'!E133-'d3-п'!E133</f>
        <v>0</v>
      </c>
      <c r="F133" s="228">
        <f>'d3'!F133-'d3-п'!F133</f>
        <v>0</v>
      </c>
      <c r="G133" s="228">
        <f>'d3'!G133-'d3-п'!G133</f>
        <v>0</v>
      </c>
      <c r="H133" s="228">
        <f>'d3'!H133-'d3-п'!H133</f>
        <v>0</v>
      </c>
      <c r="I133" s="228">
        <f>'d3'!I133-'d3-п'!I133</f>
        <v>0</v>
      </c>
      <c r="J133" s="228">
        <f>'d3'!J133-'d3-п'!J133</f>
        <v>0</v>
      </c>
      <c r="K133" s="228">
        <f>'d3'!K133-'d3-п'!K133</f>
        <v>0</v>
      </c>
      <c r="L133" s="228">
        <f>'d3'!L133-'d3-п'!L133</f>
        <v>0</v>
      </c>
      <c r="M133" s="228">
        <f>'d3'!M133-'d3-п'!M133</f>
        <v>0</v>
      </c>
      <c r="N133" s="228">
        <f>'d3'!N133-'d3-п'!N133</f>
        <v>0</v>
      </c>
      <c r="O133" s="228">
        <f>'d3'!O133-'d3-п'!O133</f>
        <v>0</v>
      </c>
      <c r="P133" s="228">
        <f>'d3'!P133-'d3-п'!P133</f>
        <v>0</v>
      </c>
      <c r="Q133" s="112"/>
    </row>
    <row r="134" spans="1:18" ht="93" thickTop="1" thickBot="1" x14ac:dyDescent="0.25">
      <c r="A134" s="431" t="s">
        <v>300</v>
      </c>
      <c r="B134" s="431" t="s">
        <v>301</v>
      </c>
      <c r="C134" s="431" t="s">
        <v>302</v>
      </c>
      <c r="D134" s="431" t="s">
        <v>299</v>
      </c>
      <c r="E134" s="228">
        <f>'d3'!E134-'d3-п'!E134</f>
        <v>0</v>
      </c>
      <c r="F134" s="228">
        <f>'d3'!F134-'d3-п'!F134</f>
        <v>0</v>
      </c>
      <c r="G134" s="228">
        <f>'d3'!G134-'d3-п'!G134</f>
        <v>16820</v>
      </c>
      <c r="H134" s="228">
        <f>'d3'!H134-'d3-п'!H134</f>
        <v>0</v>
      </c>
      <c r="I134" s="228">
        <f>'d3'!I134-'d3-п'!I134</f>
        <v>0</v>
      </c>
      <c r="J134" s="228">
        <f>'d3'!J134-'d3-п'!J134</f>
        <v>0</v>
      </c>
      <c r="K134" s="228">
        <f>'d3'!K134-'d3-п'!K134</f>
        <v>0</v>
      </c>
      <c r="L134" s="228">
        <f>'d3'!L134-'d3-п'!L134</f>
        <v>0</v>
      </c>
      <c r="M134" s="228">
        <f>'d3'!M134-'d3-п'!M134</f>
        <v>0</v>
      </c>
      <c r="N134" s="228">
        <f>'d3'!N134-'d3-п'!N134</f>
        <v>0</v>
      </c>
      <c r="O134" s="228">
        <f>'d3'!O134-'d3-п'!O134</f>
        <v>0</v>
      </c>
      <c r="P134" s="228">
        <f>'d3'!P134-'d3-п'!P134</f>
        <v>0</v>
      </c>
      <c r="R134" s="335" t="b">
        <f>K134='d5'!J205</f>
        <v>0</v>
      </c>
    </row>
    <row r="135" spans="1:18" ht="271.5" thickTop="1" thickBot="1" x14ac:dyDescent="0.25">
      <c r="A135" s="451" t="s">
        <v>30</v>
      </c>
      <c r="B135" s="451"/>
      <c r="C135" s="451"/>
      <c r="D135" s="452" t="s">
        <v>459</v>
      </c>
      <c r="E135" s="453">
        <f>E136</f>
        <v>-167177</v>
      </c>
      <c r="F135" s="454">
        <f t="shared" ref="F135:G135" si="41">F136</f>
        <v>-167177</v>
      </c>
      <c r="G135" s="454">
        <f t="shared" si="41"/>
        <v>-167177</v>
      </c>
      <c r="H135" s="454">
        <f>H136</f>
        <v>0</v>
      </c>
      <c r="I135" s="453">
        <f t="shared" ref="I135" si="42">I136</f>
        <v>0</v>
      </c>
      <c r="J135" s="453">
        <f>J136</f>
        <v>4000000</v>
      </c>
      <c r="K135" s="454">
        <f>K136</f>
        <v>4000000</v>
      </c>
      <c r="L135" s="454">
        <f>L136</f>
        <v>0</v>
      </c>
      <c r="M135" s="454">
        <f t="shared" ref="M135" si="43">M136</f>
        <v>0</v>
      </c>
      <c r="N135" s="453">
        <f>N136</f>
        <v>0</v>
      </c>
      <c r="O135" s="453">
        <f>O136</f>
        <v>4000000</v>
      </c>
      <c r="P135" s="454">
        <f t="shared" ref="P135" si="44">P136</f>
        <v>3832823</v>
      </c>
    </row>
    <row r="136" spans="1:18" ht="271.5" thickTop="1" thickBot="1" x14ac:dyDescent="0.25">
      <c r="A136" s="455" t="s">
        <v>31</v>
      </c>
      <c r="B136" s="455"/>
      <c r="C136" s="455"/>
      <c r="D136" s="456" t="s">
        <v>458</v>
      </c>
      <c r="E136" s="457">
        <f>SUM(E137:E144)</f>
        <v>-167177</v>
      </c>
      <c r="F136" s="457">
        <f t="shared" ref="F136:O136" si="45">SUM(F137:F144)</f>
        <v>-167177</v>
      </c>
      <c r="G136" s="457">
        <f t="shared" si="45"/>
        <v>-167177</v>
      </c>
      <c r="H136" s="457">
        <f t="shared" si="45"/>
        <v>0</v>
      </c>
      <c r="I136" s="457">
        <f t="shared" si="45"/>
        <v>0</v>
      </c>
      <c r="J136" s="457">
        <f t="shared" ref="J136" si="46">L136+O136</f>
        <v>4000000</v>
      </c>
      <c r="K136" s="457">
        <f t="shared" si="45"/>
        <v>4000000</v>
      </c>
      <c r="L136" s="457">
        <f t="shared" si="45"/>
        <v>0</v>
      </c>
      <c r="M136" s="457">
        <f t="shared" si="45"/>
        <v>0</v>
      </c>
      <c r="N136" s="457">
        <f t="shared" si="45"/>
        <v>0</v>
      </c>
      <c r="O136" s="457">
        <f t="shared" si="45"/>
        <v>4000000</v>
      </c>
      <c r="P136" s="458">
        <f t="shared" ref="P136" si="47">E136+J136</f>
        <v>3832823</v>
      </c>
      <c r="Q136" s="334" t="b">
        <f>P136=P140+P142+P143+P137+P138+P144+P139+P141</f>
        <v>1</v>
      </c>
      <c r="R136" s="335" t="b">
        <f>K136='d5'!J206</f>
        <v>0</v>
      </c>
    </row>
    <row r="137" spans="1:18" ht="230.25" thickTop="1" thickBot="1" x14ac:dyDescent="0.25">
      <c r="A137" s="431" t="s">
        <v>518</v>
      </c>
      <c r="B137" s="431" t="s">
        <v>286</v>
      </c>
      <c r="C137" s="431" t="s">
        <v>284</v>
      </c>
      <c r="D137" s="431" t="s">
        <v>285</v>
      </c>
      <c r="E137" s="228">
        <f>'d3'!E137-'d3-п'!E137</f>
        <v>-167177</v>
      </c>
      <c r="F137" s="228">
        <f>'d3'!F137-'d3-п'!F137</f>
        <v>-167177</v>
      </c>
      <c r="G137" s="228">
        <f>'d3'!G137-'d3-п'!G137</f>
        <v>-167177</v>
      </c>
      <c r="H137" s="228">
        <f>'d3'!H137-'d3-п'!H137</f>
        <v>0</v>
      </c>
      <c r="I137" s="228">
        <f>'d3'!I137-'d3-п'!I137</f>
        <v>0</v>
      </c>
      <c r="J137" s="228">
        <f>'d3'!J137-'d3-п'!J137</f>
        <v>0</v>
      </c>
      <c r="K137" s="228">
        <f>'d3'!K137-'d3-п'!K137</f>
        <v>0</v>
      </c>
      <c r="L137" s="228">
        <f>'d3'!L137-'d3-п'!L137</f>
        <v>0</v>
      </c>
      <c r="M137" s="228">
        <f>'d3'!M137-'d3-п'!M137</f>
        <v>0</v>
      </c>
      <c r="N137" s="228">
        <f>'d3'!N137-'d3-п'!N137</f>
        <v>0</v>
      </c>
      <c r="O137" s="228">
        <f>'d3'!O137-'d3-п'!O137</f>
        <v>0</v>
      </c>
      <c r="P137" s="228">
        <f>'d3'!P137-'d3-п'!P137</f>
        <v>-167177</v>
      </c>
      <c r="Q137" s="334"/>
      <c r="R137" s="335"/>
    </row>
    <row r="138" spans="1:18" ht="93" thickTop="1" thickBot="1" x14ac:dyDescent="0.25">
      <c r="A138" s="431" t="s">
        <v>550</v>
      </c>
      <c r="B138" s="431" t="s">
        <v>53</v>
      </c>
      <c r="C138" s="431" t="s">
        <v>52</v>
      </c>
      <c r="D138" s="431" t="s">
        <v>298</v>
      </c>
      <c r="E138" s="228">
        <f>'d3'!E138-'d3-п'!E138</f>
        <v>0</v>
      </c>
      <c r="F138" s="228">
        <f>'d3'!F138-'d3-п'!F138</f>
        <v>0</v>
      </c>
      <c r="G138" s="228">
        <f>'d3'!G138-'d3-п'!G138</f>
        <v>0</v>
      </c>
      <c r="H138" s="228">
        <f>'d3'!H138-'d3-п'!H138</f>
        <v>0</v>
      </c>
      <c r="I138" s="228">
        <f>'d3'!I138-'d3-п'!I138</f>
        <v>0</v>
      </c>
      <c r="J138" s="228">
        <f>'d3'!J138-'d3-п'!J138</f>
        <v>0</v>
      </c>
      <c r="K138" s="228">
        <f>'d3'!K138-'d3-п'!K138</f>
        <v>0</v>
      </c>
      <c r="L138" s="228">
        <f>'d3'!L138-'d3-п'!L138</f>
        <v>0</v>
      </c>
      <c r="M138" s="228">
        <f>'d3'!M138-'d3-п'!M138</f>
        <v>0</v>
      </c>
      <c r="N138" s="228">
        <f>'d3'!N138-'d3-п'!N138</f>
        <v>0</v>
      </c>
      <c r="O138" s="228">
        <f>'d3'!O138-'d3-п'!O138</f>
        <v>0</v>
      </c>
      <c r="P138" s="228">
        <f>'d3'!P138-'d3-п'!P138</f>
        <v>0</v>
      </c>
      <c r="Q138" s="334"/>
      <c r="R138" s="335"/>
    </row>
    <row r="139" spans="1:18" ht="321.75" thickTop="1" thickBot="1" x14ac:dyDescent="0.25">
      <c r="A139" s="431" t="s">
        <v>553</v>
      </c>
      <c r="B139" s="431" t="s">
        <v>555</v>
      </c>
      <c r="C139" s="431" t="s">
        <v>241</v>
      </c>
      <c r="D139" s="431" t="s">
        <v>554</v>
      </c>
      <c r="E139" s="228">
        <f>'d3'!E139-'d3-п'!E139</f>
        <v>0</v>
      </c>
      <c r="F139" s="228">
        <f>'d3'!F139-'d3-п'!F139</f>
        <v>0</v>
      </c>
      <c r="G139" s="228">
        <f>'d3'!G139-'d3-п'!G139</f>
        <v>0</v>
      </c>
      <c r="H139" s="228">
        <f>'d3'!H139-'d3-п'!H139</f>
        <v>0</v>
      </c>
      <c r="I139" s="228">
        <f>'d3'!I139-'d3-п'!I139</f>
        <v>0</v>
      </c>
      <c r="J139" s="228">
        <f>'d3'!J139-'d3-п'!J139</f>
        <v>0</v>
      </c>
      <c r="K139" s="228">
        <f>'d3'!K139-'d3-п'!K139</f>
        <v>0</v>
      </c>
      <c r="L139" s="228">
        <f>'d3'!L139-'d3-п'!L139</f>
        <v>0</v>
      </c>
      <c r="M139" s="228">
        <f>'d3'!M139-'d3-п'!M139</f>
        <v>0</v>
      </c>
      <c r="N139" s="228">
        <f>'d3'!N139-'d3-п'!N139</f>
        <v>0</v>
      </c>
      <c r="O139" s="228">
        <f>'d3'!O139-'d3-п'!O139</f>
        <v>0</v>
      </c>
      <c r="P139" s="228">
        <f>'d3'!P139-'d3-п'!P139</f>
        <v>0</v>
      </c>
      <c r="Q139" s="334"/>
      <c r="R139" s="335"/>
    </row>
    <row r="140" spans="1:18" ht="99.75" thickTop="1" thickBot="1" x14ac:dyDescent="0.25">
      <c r="A140" s="431" t="s">
        <v>371</v>
      </c>
      <c r="B140" s="431" t="s">
        <v>372</v>
      </c>
      <c r="C140" s="431" t="s">
        <v>359</v>
      </c>
      <c r="D140" s="431" t="s">
        <v>647</v>
      </c>
      <c r="E140" s="228">
        <f>'d3'!E140-'d3-п'!E140</f>
        <v>0</v>
      </c>
      <c r="F140" s="228">
        <f>'d3'!F140-'d3-п'!F140</f>
        <v>0</v>
      </c>
      <c r="G140" s="228">
        <f>'d3'!G140-'d3-п'!G140</f>
        <v>0</v>
      </c>
      <c r="H140" s="228">
        <f>'d3'!H140-'d3-п'!H140</f>
        <v>0</v>
      </c>
      <c r="I140" s="228">
        <f>'d3'!I140-'d3-п'!I140</f>
        <v>0</v>
      </c>
      <c r="J140" s="228">
        <f>'d3'!J140-'d3-п'!J140</f>
        <v>2300000</v>
      </c>
      <c r="K140" s="228">
        <f>'d3'!K140-'d3-п'!K140</f>
        <v>2300000</v>
      </c>
      <c r="L140" s="228">
        <f>'d3'!L140-'d3-п'!L140</f>
        <v>0</v>
      </c>
      <c r="M140" s="228">
        <f>'d3'!M140-'d3-п'!M140</f>
        <v>0</v>
      </c>
      <c r="N140" s="228">
        <f>'d3'!N140-'d3-п'!N140</f>
        <v>0</v>
      </c>
      <c r="O140" s="228">
        <f>'d3'!O140-'d3-п'!O140</f>
        <v>2300000</v>
      </c>
      <c r="P140" s="228">
        <f>'d3'!P140-'d3-п'!P140</f>
        <v>2300000</v>
      </c>
      <c r="Q140" s="327"/>
    </row>
    <row r="141" spans="1:18" ht="99.75" thickTop="1" thickBot="1" x14ac:dyDescent="0.25">
      <c r="A141" s="431" t="s">
        <v>748</v>
      </c>
      <c r="B141" s="431" t="s">
        <v>749</v>
      </c>
      <c r="C141" s="431" t="s">
        <v>359</v>
      </c>
      <c r="D141" s="431" t="s">
        <v>747</v>
      </c>
      <c r="E141" s="228">
        <f>'d3'!E141-'d3-п'!E141</f>
        <v>0</v>
      </c>
      <c r="F141" s="228">
        <f>'d3'!F141-'d3-п'!F141</f>
        <v>0</v>
      </c>
      <c r="G141" s="228">
        <f>'d3'!G141-'d3-п'!G141</f>
        <v>0</v>
      </c>
      <c r="H141" s="228">
        <f>'d3'!H141-'d3-п'!H141</f>
        <v>0</v>
      </c>
      <c r="I141" s="228">
        <f>'d3'!I141-'d3-п'!I141</f>
        <v>0</v>
      </c>
      <c r="J141" s="228">
        <f>'d3'!J141-'d3-п'!J141</f>
        <v>0</v>
      </c>
      <c r="K141" s="228">
        <f>'d3'!K141-'d3-п'!K141</f>
        <v>0</v>
      </c>
      <c r="L141" s="228">
        <f>'d3'!L141-'d3-п'!L141</f>
        <v>0</v>
      </c>
      <c r="M141" s="228">
        <f>'d3'!M141-'d3-п'!M141</f>
        <v>0</v>
      </c>
      <c r="N141" s="228">
        <f>'d3'!N141-'d3-п'!N141</f>
        <v>0</v>
      </c>
      <c r="O141" s="228">
        <f>'d3'!O141-'d3-п'!O141</f>
        <v>0</v>
      </c>
      <c r="P141" s="228">
        <f>'d3'!P141-'d3-п'!P141</f>
        <v>0</v>
      </c>
      <c r="Q141" s="327"/>
    </row>
    <row r="142" spans="1:18" ht="145.5" thickTop="1" thickBot="1" x14ac:dyDescent="0.25">
      <c r="A142" s="431" t="s">
        <v>373</v>
      </c>
      <c r="B142" s="431" t="s">
        <v>374</v>
      </c>
      <c r="C142" s="431" t="s">
        <v>359</v>
      </c>
      <c r="D142" s="431" t="s">
        <v>646</v>
      </c>
      <c r="E142" s="228">
        <f>'d3'!E142-'d3-п'!E142</f>
        <v>0</v>
      </c>
      <c r="F142" s="228">
        <f>'d3'!F142-'d3-п'!F142</f>
        <v>0</v>
      </c>
      <c r="G142" s="228">
        <f>'d3'!G142-'d3-п'!G142</f>
        <v>0</v>
      </c>
      <c r="H142" s="228">
        <f>'d3'!H142-'d3-п'!H142</f>
        <v>0</v>
      </c>
      <c r="I142" s="228">
        <f>'d3'!I142-'d3-п'!I142</f>
        <v>0</v>
      </c>
      <c r="J142" s="228">
        <f>'d3'!J142-'d3-п'!J142</f>
        <v>0</v>
      </c>
      <c r="K142" s="228">
        <f>'d3'!K142-'d3-п'!K142</f>
        <v>0</v>
      </c>
      <c r="L142" s="228">
        <f>'d3'!L142-'d3-п'!L142</f>
        <v>0</v>
      </c>
      <c r="M142" s="228">
        <f>'d3'!M142-'d3-п'!M142</f>
        <v>0</v>
      </c>
      <c r="N142" s="228">
        <f>'d3'!N142-'d3-п'!N142</f>
        <v>0</v>
      </c>
      <c r="O142" s="228">
        <f>'d3'!O142-'d3-п'!O142</f>
        <v>0</v>
      </c>
      <c r="P142" s="228">
        <f>'d3'!P142-'d3-п'!P142</f>
        <v>0</v>
      </c>
      <c r="Q142" s="327"/>
    </row>
    <row r="143" spans="1:18" ht="99.75" thickTop="1" thickBot="1" x14ac:dyDescent="0.3">
      <c r="A143" s="431" t="s">
        <v>376</v>
      </c>
      <c r="B143" s="431" t="s">
        <v>377</v>
      </c>
      <c r="C143" s="431" t="s">
        <v>359</v>
      </c>
      <c r="D143" s="431" t="s">
        <v>645</v>
      </c>
      <c r="E143" s="228">
        <f>'d3'!E143-'d3-п'!E143</f>
        <v>0</v>
      </c>
      <c r="F143" s="228">
        <f>'d3'!F143-'d3-п'!F143</f>
        <v>0</v>
      </c>
      <c r="G143" s="228">
        <f>'d3'!G143-'d3-п'!G143</f>
        <v>0</v>
      </c>
      <c r="H143" s="228">
        <f>'d3'!H143-'d3-п'!H143</f>
        <v>0</v>
      </c>
      <c r="I143" s="228">
        <f>'d3'!I143-'d3-п'!I143</f>
        <v>0</v>
      </c>
      <c r="J143" s="228">
        <f>'d3'!J143-'d3-п'!J143</f>
        <v>1700000</v>
      </c>
      <c r="K143" s="228">
        <f>'d3'!K143-'d3-п'!K143</f>
        <v>1700000</v>
      </c>
      <c r="L143" s="228">
        <f>'d3'!L143-'d3-п'!L143</f>
        <v>0</v>
      </c>
      <c r="M143" s="228">
        <f>'d3'!M143-'d3-п'!M143</f>
        <v>0</v>
      </c>
      <c r="N143" s="228">
        <f>'d3'!N143-'d3-п'!N143</f>
        <v>0</v>
      </c>
      <c r="O143" s="228">
        <f>'d3'!O143-'d3-п'!O143</f>
        <v>1700000</v>
      </c>
      <c r="P143" s="228">
        <f>'d3'!P143-'d3-п'!P143</f>
        <v>1700000</v>
      </c>
      <c r="Q143" s="160"/>
    </row>
    <row r="144" spans="1:18" ht="138.75" thickTop="1" thickBot="1" x14ac:dyDescent="0.25">
      <c r="A144" s="431" t="s">
        <v>572</v>
      </c>
      <c r="B144" s="431" t="s">
        <v>428</v>
      </c>
      <c r="C144" s="431" t="s">
        <v>210</v>
      </c>
      <c r="D144" s="431" t="s">
        <v>313</v>
      </c>
      <c r="E144" s="228">
        <f>'d3'!E144-'d3-п'!E144</f>
        <v>0</v>
      </c>
      <c r="F144" s="228">
        <f>'d3'!F144-'d3-п'!F144</f>
        <v>0</v>
      </c>
      <c r="G144" s="228">
        <f>'d3'!G144-'d3-п'!G144</f>
        <v>0</v>
      </c>
      <c r="H144" s="228">
        <f>'d3'!H144-'d3-п'!H144</f>
        <v>0</v>
      </c>
      <c r="I144" s="228">
        <f>'d3'!I144-'d3-п'!I144</f>
        <v>0</v>
      </c>
      <c r="J144" s="228">
        <f>'d3'!J144-'d3-п'!J144</f>
        <v>0</v>
      </c>
      <c r="K144" s="228">
        <f>'d3'!K144-'d3-п'!K144</f>
        <v>0</v>
      </c>
      <c r="L144" s="228">
        <f>'d3'!L144-'d3-п'!L144</f>
        <v>0</v>
      </c>
      <c r="M144" s="228">
        <f>'d3'!M144-'d3-п'!M144</f>
        <v>0</v>
      </c>
      <c r="N144" s="228">
        <f>'d3'!N144-'d3-п'!N144</f>
        <v>0</v>
      </c>
      <c r="O144" s="228">
        <f>'d3'!O144-'d3-п'!O144</f>
        <v>0</v>
      </c>
      <c r="P144" s="228">
        <f>'d3'!P144-'d3-п'!P144</f>
        <v>0</v>
      </c>
    </row>
    <row r="145" spans="1:18" ht="271.5" thickTop="1" thickBot="1" x14ac:dyDescent="0.25">
      <c r="A145" s="451" t="s">
        <v>200</v>
      </c>
      <c r="B145" s="451"/>
      <c r="C145" s="451"/>
      <c r="D145" s="452" t="s">
        <v>928</v>
      </c>
      <c r="E145" s="453">
        <f>E146</f>
        <v>0</v>
      </c>
      <c r="F145" s="454">
        <f t="shared" ref="F145:G145" si="48">F146</f>
        <v>0</v>
      </c>
      <c r="G145" s="454">
        <f t="shared" si="48"/>
        <v>0</v>
      </c>
      <c r="H145" s="454">
        <f>H146</f>
        <v>0</v>
      </c>
      <c r="I145" s="453">
        <f t="shared" ref="I145" si="49">I146</f>
        <v>0</v>
      </c>
      <c r="J145" s="453">
        <f>J146</f>
        <v>0</v>
      </c>
      <c r="K145" s="454">
        <f>K146</f>
        <v>0</v>
      </c>
      <c r="L145" s="454">
        <f>L146</f>
        <v>0</v>
      </c>
      <c r="M145" s="454">
        <f t="shared" ref="M145" si="50">M146</f>
        <v>0</v>
      </c>
      <c r="N145" s="453">
        <f>N146</f>
        <v>0</v>
      </c>
      <c r="O145" s="453">
        <f>O146</f>
        <v>0</v>
      </c>
      <c r="P145" s="454">
        <f t="shared" ref="P145" si="51">P146</f>
        <v>0</v>
      </c>
    </row>
    <row r="146" spans="1:18" ht="226.5" thickTop="1" thickBot="1" x14ac:dyDescent="0.25">
      <c r="A146" s="455" t="s">
        <v>201</v>
      </c>
      <c r="B146" s="455"/>
      <c r="C146" s="455"/>
      <c r="D146" s="456" t="s">
        <v>929</v>
      </c>
      <c r="E146" s="457">
        <f>SUM(E147:E148)</f>
        <v>0</v>
      </c>
      <c r="F146" s="457">
        <f>SUM(F147:F148)</f>
        <v>0</v>
      </c>
      <c r="G146" s="457">
        <f>SUM(G147:G148)</f>
        <v>0</v>
      </c>
      <c r="H146" s="457">
        <f>SUM(H147:H148)</f>
        <v>0</v>
      </c>
      <c r="I146" s="457">
        <f>SUM(I147:I148)</f>
        <v>0</v>
      </c>
      <c r="J146" s="457">
        <f>L146+O146</f>
        <v>0</v>
      </c>
      <c r="K146" s="457">
        <f>SUM(K147:K148)</f>
        <v>0</v>
      </c>
      <c r="L146" s="457">
        <f>SUM(L147:L148)</f>
        <v>0</v>
      </c>
      <c r="M146" s="457">
        <f>SUM(M147:M148)</f>
        <v>0</v>
      </c>
      <c r="N146" s="457">
        <f>SUM(N147:N148)</f>
        <v>0</v>
      </c>
      <c r="O146" s="457">
        <f>SUM(O147:O148)</f>
        <v>0</v>
      </c>
      <c r="P146" s="458">
        <f>E146+J146</f>
        <v>0</v>
      </c>
      <c r="Q146" s="334" t="b">
        <f>P146=P147+P148</f>
        <v>1</v>
      </c>
      <c r="R146" s="335" t="b">
        <f>K146='d5'!J227</f>
        <v>0</v>
      </c>
    </row>
    <row r="147" spans="1:18" ht="230.25" thickTop="1" thickBot="1" x14ac:dyDescent="0.25">
      <c r="A147" s="431" t="s">
        <v>520</v>
      </c>
      <c r="B147" s="431" t="s">
        <v>286</v>
      </c>
      <c r="C147" s="431" t="s">
        <v>284</v>
      </c>
      <c r="D147" s="431" t="s">
        <v>285</v>
      </c>
      <c r="E147" s="228">
        <f>'d3'!E147-'d3-п'!E147</f>
        <v>0</v>
      </c>
      <c r="F147" s="228">
        <f>'d3'!F147-'d3-п'!F147</f>
        <v>0</v>
      </c>
      <c r="G147" s="228">
        <f>'d3'!G147-'d3-п'!G147</f>
        <v>0</v>
      </c>
      <c r="H147" s="228">
        <f>'d3'!H147-'d3-п'!H147</f>
        <v>0</v>
      </c>
      <c r="I147" s="228">
        <f>'d3'!I147-'d3-п'!I147</f>
        <v>0</v>
      </c>
      <c r="J147" s="228">
        <f>'d3'!J147-'d3-п'!J147</f>
        <v>0</v>
      </c>
      <c r="K147" s="228">
        <f>'d3'!K147-'d3-п'!K147</f>
        <v>0</v>
      </c>
      <c r="L147" s="228">
        <f>'d3'!L147-'d3-п'!L147</f>
        <v>0</v>
      </c>
      <c r="M147" s="228">
        <f>'d3'!M147-'d3-п'!M147</f>
        <v>0</v>
      </c>
      <c r="N147" s="228">
        <f>'d3'!N147-'d3-п'!N147</f>
        <v>0</v>
      </c>
      <c r="O147" s="228">
        <f>'d3'!O147-'d3-п'!O147</f>
        <v>0</v>
      </c>
      <c r="P147" s="228">
        <f>'d3'!P147-'d3-п'!P147</f>
        <v>0</v>
      </c>
      <c r="Q147" s="334"/>
      <c r="R147" s="335"/>
    </row>
    <row r="148" spans="1:18" ht="138.75" thickTop="1" thickBot="1" x14ac:dyDescent="0.25">
      <c r="A148" s="431" t="s">
        <v>754</v>
      </c>
      <c r="B148" s="431" t="s">
        <v>755</v>
      </c>
      <c r="C148" s="431" t="s">
        <v>359</v>
      </c>
      <c r="D148" s="431" t="s">
        <v>756</v>
      </c>
      <c r="E148" s="228">
        <f>'d3'!E148-'d3-п'!E148</f>
        <v>0</v>
      </c>
      <c r="F148" s="228">
        <f>'d3'!F148-'d3-п'!F148</f>
        <v>0</v>
      </c>
      <c r="G148" s="228">
        <f>'d3'!G148-'d3-п'!G148</f>
        <v>0</v>
      </c>
      <c r="H148" s="228">
        <f>'d3'!H148-'d3-п'!H148</f>
        <v>0</v>
      </c>
      <c r="I148" s="228">
        <f>'d3'!I148-'d3-п'!I148</f>
        <v>0</v>
      </c>
      <c r="J148" s="228">
        <f>'d3'!J148-'d3-п'!J148</f>
        <v>0</v>
      </c>
      <c r="K148" s="228">
        <f>'d3'!K148-'d3-п'!K148</f>
        <v>0</v>
      </c>
      <c r="L148" s="228">
        <f>'d3'!L148-'d3-п'!L148</f>
        <v>0</v>
      </c>
      <c r="M148" s="228">
        <f>'d3'!M148-'d3-п'!M148</f>
        <v>0</v>
      </c>
      <c r="N148" s="228">
        <f>'d3'!N148-'d3-п'!N148</f>
        <v>0</v>
      </c>
      <c r="O148" s="228">
        <f>'d3'!O148-'d3-п'!O148</f>
        <v>0</v>
      </c>
      <c r="P148" s="228">
        <f>'d3'!P148-'d3-п'!P148</f>
        <v>0</v>
      </c>
      <c r="Q148" s="334"/>
      <c r="R148" s="335"/>
    </row>
    <row r="149" spans="1:18" ht="136.5" thickTop="1" thickBot="1" x14ac:dyDescent="0.25">
      <c r="A149" s="451" t="s">
        <v>591</v>
      </c>
      <c r="B149" s="451"/>
      <c r="C149" s="451"/>
      <c r="D149" s="452" t="s">
        <v>593</v>
      </c>
      <c r="E149" s="453">
        <f>E150</f>
        <v>6656000</v>
      </c>
      <c r="F149" s="454">
        <f t="shared" ref="F149:G149" si="52">F150</f>
        <v>6656000</v>
      </c>
      <c r="G149" s="454">
        <f t="shared" si="52"/>
        <v>-103170</v>
      </c>
      <c r="H149" s="454">
        <f>H150</f>
        <v>0</v>
      </c>
      <c r="I149" s="453">
        <f t="shared" ref="I149" si="53">I150</f>
        <v>0</v>
      </c>
      <c r="J149" s="453">
        <f>J150</f>
        <v>0</v>
      </c>
      <c r="K149" s="454">
        <f>K150</f>
        <v>0</v>
      </c>
      <c r="L149" s="454">
        <f>L150</f>
        <v>0</v>
      </c>
      <c r="M149" s="454">
        <f t="shared" ref="M149" si="54">M150</f>
        <v>0</v>
      </c>
      <c r="N149" s="453">
        <f>N150</f>
        <v>0</v>
      </c>
      <c r="O149" s="453">
        <f>O150</f>
        <v>0</v>
      </c>
      <c r="P149" s="454">
        <f t="shared" ref="P149" si="55">P150</f>
        <v>6656000</v>
      </c>
    </row>
    <row r="150" spans="1:18" ht="181.5" thickTop="1" thickBot="1" x14ac:dyDescent="0.25">
      <c r="A150" s="455" t="s">
        <v>592</v>
      </c>
      <c r="B150" s="455"/>
      <c r="C150" s="455"/>
      <c r="D150" s="456" t="s">
        <v>594</v>
      </c>
      <c r="E150" s="457">
        <f>SUM(E151:E153)</f>
        <v>6656000</v>
      </c>
      <c r="F150" s="457">
        <f t="shared" ref="F150:O150" si="56">SUM(F151:F153)</f>
        <v>6656000</v>
      </c>
      <c r="G150" s="457">
        <f t="shared" si="56"/>
        <v>-103170</v>
      </c>
      <c r="H150" s="457">
        <f t="shared" si="56"/>
        <v>0</v>
      </c>
      <c r="I150" s="457">
        <f t="shared" si="56"/>
        <v>0</v>
      </c>
      <c r="J150" s="457">
        <f>L150+O150</f>
        <v>0</v>
      </c>
      <c r="K150" s="457">
        <f t="shared" si="56"/>
        <v>0</v>
      </c>
      <c r="L150" s="457">
        <f t="shared" si="56"/>
        <v>0</v>
      </c>
      <c r="M150" s="457">
        <f t="shared" si="56"/>
        <v>0</v>
      </c>
      <c r="N150" s="457">
        <f t="shared" si="56"/>
        <v>0</v>
      </c>
      <c r="O150" s="457">
        <f t="shared" si="56"/>
        <v>0</v>
      </c>
      <c r="P150" s="458">
        <f>E150+J150</f>
        <v>6656000</v>
      </c>
      <c r="Q150" s="334" t="b">
        <f>P150=P151+P152+P153</f>
        <v>1</v>
      </c>
      <c r="R150" s="335" t="b">
        <f>K150='d5'!J230</f>
        <v>0</v>
      </c>
    </row>
    <row r="151" spans="1:18" ht="230.25" thickTop="1" thickBot="1" x14ac:dyDescent="0.25">
      <c r="A151" s="431" t="s">
        <v>595</v>
      </c>
      <c r="B151" s="431" t="s">
        <v>286</v>
      </c>
      <c r="C151" s="431" t="s">
        <v>284</v>
      </c>
      <c r="D151" s="431" t="s">
        <v>285</v>
      </c>
      <c r="E151" s="228">
        <f>'d3'!E151-'d3-п'!E151</f>
        <v>-149000</v>
      </c>
      <c r="F151" s="228">
        <f>'d3'!F151-'d3-п'!F151</f>
        <v>-149000</v>
      </c>
      <c r="G151" s="228">
        <f>'d3'!G151-'d3-п'!G151</f>
        <v>-103170</v>
      </c>
      <c r="H151" s="228">
        <f>'d3'!H151-'d3-п'!H151</f>
        <v>0</v>
      </c>
      <c r="I151" s="228">
        <f>'d3'!I151-'d3-п'!I151</f>
        <v>0</v>
      </c>
      <c r="J151" s="228">
        <f>'d3'!J151-'d3-п'!J151</f>
        <v>0</v>
      </c>
      <c r="K151" s="228">
        <f>'d3'!K151-'d3-п'!K151</f>
        <v>0</v>
      </c>
      <c r="L151" s="228">
        <f>'d3'!L151-'d3-п'!L151</f>
        <v>0</v>
      </c>
      <c r="M151" s="228">
        <f>'d3'!M151-'d3-п'!M151</f>
        <v>0</v>
      </c>
      <c r="N151" s="228">
        <f>'d3'!N151-'d3-п'!N151</f>
        <v>0</v>
      </c>
      <c r="O151" s="228">
        <f>'d3'!O151-'d3-п'!O151</f>
        <v>0</v>
      </c>
      <c r="P151" s="228">
        <f>'d3'!P151-'d3-п'!P151</f>
        <v>-149000</v>
      </c>
      <c r="Q151" s="334"/>
      <c r="R151" s="335" t="b">
        <f>K151='d5'!J232</f>
        <v>0</v>
      </c>
    </row>
    <row r="152" spans="1:18" ht="93" hidden="1" thickTop="1" thickBot="1" x14ac:dyDescent="0.25">
      <c r="A152" s="431" t="s">
        <v>634</v>
      </c>
      <c r="B152" s="431" t="s">
        <v>510</v>
      </c>
      <c r="C152" s="431" t="s">
        <v>511</v>
      </c>
      <c r="D152" s="431" t="s">
        <v>512</v>
      </c>
      <c r="E152" s="228">
        <f>'d3'!E152-'d3-п'!E152</f>
        <v>0</v>
      </c>
      <c r="F152" s="228">
        <f>'d3'!F152-'d3-п'!F152</f>
        <v>0</v>
      </c>
      <c r="G152" s="228">
        <f>'d3'!G152-'d3-п'!G152</f>
        <v>0</v>
      </c>
      <c r="H152" s="228">
        <f>'d3'!H152-'d3-п'!H152</f>
        <v>0</v>
      </c>
      <c r="I152" s="228">
        <f>'d3'!I152-'d3-п'!I152</f>
        <v>0</v>
      </c>
      <c r="J152" s="228">
        <f>'d3'!J152-'d3-п'!J152</f>
        <v>0</v>
      </c>
      <c r="K152" s="228">
        <f>'d3'!K152-'d3-п'!K152</f>
        <v>0</v>
      </c>
      <c r="L152" s="228">
        <f>'d3'!L152-'d3-п'!L152</f>
        <v>0</v>
      </c>
      <c r="M152" s="228">
        <f>'d3'!M152-'d3-п'!M152</f>
        <v>0</v>
      </c>
      <c r="N152" s="228">
        <f>'d3'!N152-'d3-п'!N152</f>
        <v>0</v>
      </c>
      <c r="O152" s="228">
        <f>'d3'!O152-'d3-п'!O152</f>
        <v>0</v>
      </c>
      <c r="P152" s="228">
        <f>'d3'!P152-'d3-п'!P152</f>
        <v>0</v>
      </c>
      <c r="Q152" s="334"/>
      <c r="R152" s="335"/>
    </row>
    <row r="153" spans="1:18" ht="93" thickTop="1" thickBot="1" x14ac:dyDescent="0.25">
      <c r="A153" s="431" t="s">
        <v>635</v>
      </c>
      <c r="B153" s="431" t="s">
        <v>343</v>
      </c>
      <c r="C153" s="431" t="s">
        <v>345</v>
      </c>
      <c r="D153" s="431" t="s">
        <v>344</v>
      </c>
      <c r="E153" s="228">
        <f>'d3'!E153-'d3-п'!E153</f>
        <v>6805000</v>
      </c>
      <c r="F153" s="228">
        <f>'d3'!F153-'d3-п'!F153</f>
        <v>6805000</v>
      </c>
      <c r="G153" s="228">
        <f>'d3'!G153-'d3-п'!G153</f>
        <v>0</v>
      </c>
      <c r="H153" s="228">
        <f>'d3'!H153-'d3-п'!H153</f>
        <v>0</v>
      </c>
      <c r="I153" s="228">
        <f>'d3'!I153-'d3-п'!I153</f>
        <v>0</v>
      </c>
      <c r="J153" s="228">
        <f>'d3'!J153-'d3-п'!J153</f>
        <v>0</v>
      </c>
      <c r="K153" s="228">
        <f>'d3'!K153-'d3-п'!K153</f>
        <v>0</v>
      </c>
      <c r="L153" s="228">
        <f>'d3'!L153-'d3-п'!L153</f>
        <v>0</v>
      </c>
      <c r="M153" s="228">
        <f>'d3'!M153-'d3-п'!M153</f>
        <v>0</v>
      </c>
      <c r="N153" s="228">
        <f>'d3'!N153-'d3-п'!N153</f>
        <v>0</v>
      </c>
      <c r="O153" s="228">
        <f>'d3'!O153-'d3-п'!O153</f>
        <v>0</v>
      </c>
      <c r="P153" s="228">
        <f>'d3'!P153-'d3-п'!P153</f>
        <v>6805000</v>
      </c>
      <c r="Q153" s="334"/>
      <c r="R153" s="335"/>
    </row>
    <row r="154" spans="1:18" ht="136.5" thickTop="1" thickBot="1" x14ac:dyDescent="0.25">
      <c r="A154" s="451" t="s">
        <v>206</v>
      </c>
      <c r="B154" s="451"/>
      <c r="C154" s="451"/>
      <c r="D154" s="452" t="s">
        <v>432</v>
      </c>
      <c r="E154" s="453">
        <f>E155</f>
        <v>-27853</v>
      </c>
      <c r="F154" s="454">
        <f t="shared" ref="F154:G154" si="57">F155</f>
        <v>-27853</v>
      </c>
      <c r="G154" s="454">
        <f t="shared" si="57"/>
        <v>0</v>
      </c>
      <c r="H154" s="454">
        <f>H155</f>
        <v>0</v>
      </c>
      <c r="I154" s="453">
        <f t="shared" ref="I154" si="58">I155</f>
        <v>0</v>
      </c>
      <c r="J154" s="453">
        <f>J155</f>
        <v>-95936</v>
      </c>
      <c r="K154" s="454">
        <f>K155</f>
        <v>-95936</v>
      </c>
      <c r="L154" s="454">
        <f>L155</f>
        <v>0</v>
      </c>
      <c r="M154" s="454">
        <f t="shared" ref="M154" si="59">M155</f>
        <v>0</v>
      </c>
      <c r="N154" s="453">
        <f>N155</f>
        <v>0</v>
      </c>
      <c r="O154" s="453">
        <f>O155</f>
        <v>-95936</v>
      </c>
      <c r="P154" s="454">
        <f t="shared" ref="P154" si="60">P155</f>
        <v>-123789</v>
      </c>
    </row>
    <row r="155" spans="1:18" ht="136.5" thickTop="1" thickBot="1" x14ac:dyDescent="0.25">
      <c r="A155" s="455" t="s">
        <v>207</v>
      </c>
      <c r="B155" s="455"/>
      <c r="C155" s="455"/>
      <c r="D155" s="456" t="s">
        <v>433</v>
      </c>
      <c r="E155" s="457">
        <f>SUM(E156:E159)</f>
        <v>-27853</v>
      </c>
      <c r="F155" s="457">
        <f>SUM(F156:F159)</f>
        <v>-27853</v>
      </c>
      <c r="G155" s="457">
        <f>SUM(G156:G159)</f>
        <v>0</v>
      </c>
      <c r="H155" s="457">
        <f>SUM(H156:H159)</f>
        <v>0</v>
      </c>
      <c r="I155" s="457">
        <f>SUM(I156:I159)</f>
        <v>0</v>
      </c>
      <c r="J155" s="457">
        <f t="shared" ref="J155:J156" si="61">L155+O155</f>
        <v>-95936</v>
      </c>
      <c r="K155" s="457">
        <f>SUM(K156:K159)</f>
        <v>-95936</v>
      </c>
      <c r="L155" s="457">
        <f>SUM(L156:L159)</f>
        <v>0</v>
      </c>
      <c r="M155" s="457">
        <f>SUM(M156:M159)</f>
        <v>0</v>
      </c>
      <c r="N155" s="457">
        <f>SUM(N156:N159)</f>
        <v>0</v>
      </c>
      <c r="O155" s="457">
        <f>SUM(O156:O159)</f>
        <v>-95936</v>
      </c>
      <c r="P155" s="458">
        <f t="shared" ref="P155:P156" si="62">E155+J155</f>
        <v>-123789</v>
      </c>
      <c r="Q155" s="334" t="b">
        <f>P155=P156+P157+P158+P159</f>
        <v>1</v>
      </c>
      <c r="R155" s="335" t="b">
        <f>K155='d5'!J234</f>
        <v>0</v>
      </c>
    </row>
    <row r="156" spans="1:18" ht="138.75" hidden="1" thickTop="1" thickBot="1" x14ac:dyDescent="0.25">
      <c r="A156" s="406" t="s">
        <v>427</v>
      </c>
      <c r="B156" s="406" t="s">
        <v>428</v>
      </c>
      <c r="C156" s="406" t="s">
        <v>210</v>
      </c>
      <c r="D156" s="406" t="s">
        <v>313</v>
      </c>
      <c r="E156" s="407">
        <f>F156</f>
        <v>0</v>
      </c>
      <c r="F156" s="410"/>
      <c r="G156" s="410"/>
      <c r="H156" s="410"/>
      <c r="I156" s="410"/>
      <c r="J156" s="407">
        <f t="shared" si="61"/>
        <v>0</v>
      </c>
      <c r="K156" s="410">
        <f>(3000000)-3000000</f>
        <v>0</v>
      </c>
      <c r="L156" s="410"/>
      <c r="M156" s="410"/>
      <c r="N156" s="410"/>
      <c r="O156" s="409">
        <f>K156</f>
        <v>0</v>
      </c>
      <c r="P156" s="407">
        <f t="shared" si="62"/>
        <v>0</v>
      </c>
      <c r="R156" s="335" t="b">
        <f>K156='d5'!J235</f>
        <v>1</v>
      </c>
    </row>
    <row r="157" spans="1:18" ht="93" thickTop="1" thickBot="1" x14ac:dyDescent="0.25">
      <c r="A157" s="431" t="s">
        <v>311</v>
      </c>
      <c r="B157" s="431" t="s">
        <v>312</v>
      </c>
      <c r="C157" s="431" t="s">
        <v>310</v>
      </c>
      <c r="D157" s="431" t="s">
        <v>309</v>
      </c>
      <c r="E157" s="228">
        <f>'d3'!E157-'d3-п'!E157</f>
        <v>16555</v>
      </c>
      <c r="F157" s="228">
        <f>'d3'!F157-'d3-п'!F157</f>
        <v>16555</v>
      </c>
      <c r="G157" s="228">
        <f>'d3'!G157-'d3-п'!G157</f>
        <v>0</v>
      </c>
      <c r="H157" s="228">
        <f>'d3'!H157-'d3-п'!H157</f>
        <v>0</v>
      </c>
      <c r="I157" s="228">
        <f>'d3'!I157-'d3-п'!I157</f>
        <v>0</v>
      </c>
      <c r="J157" s="228">
        <f>'d3'!J157-'d3-п'!J157</f>
        <v>0</v>
      </c>
      <c r="K157" s="228">
        <f>'d3'!K157-'d3-п'!K157</f>
        <v>0</v>
      </c>
      <c r="L157" s="228">
        <f>'d3'!L157-'d3-п'!L157</f>
        <v>0</v>
      </c>
      <c r="M157" s="228">
        <f>'d3'!M157-'d3-п'!M157</f>
        <v>0</v>
      </c>
      <c r="N157" s="228">
        <f>'d3'!N157-'d3-п'!N157</f>
        <v>0</v>
      </c>
      <c r="O157" s="228">
        <f>'d3'!O157-'d3-п'!O157</f>
        <v>0</v>
      </c>
      <c r="P157" s="228">
        <f>'d3'!P157-'d3-п'!P157</f>
        <v>16555</v>
      </c>
      <c r="R157" s="335"/>
    </row>
    <row r="158" spans="1:18" ht="138.75" thickTop="1" thickBot="1" x14ac:dyDescent="0.25">
      <c r="A158" s="431" t="s">
        <v>303</v>
      </c>
      <c r="B158" s="431" t="s">
        <v>305</v>
      </c>
      <c r="C158" s="431" t="s">
        <v>263</v>
      </c>
      <c r="D158" s="431" t="s">
        <v>304</v>
      </c>
      <c r="E158" s="228">
        <f>'d3'!E158-'d3-п'!E158</f>
        <v>0</v>
      </c>
      <c r="F158" s="228">
        <f>'d3'!F158-'d3-п'!F158</f>
        <v>0</v>
      </c>
      <c r="G158" s="228">
        <f>'d3'!G158-'d3-п'!G158</f>
        <v>0</v>
      </c>
      <c r="H158" s="228">
        <f>'d3'!H158-'d3-п'!H158</f>
        <v>0</v>
      </c>
      <c r="I158" s="228">
        <f>'d3'!I158-'d3-п'!I158</f>
        <v>0</v>
      </c>
      <c r="J158" s="228">
        <f>'d3'!J158-'d3-п'!J158</f>
        <v>0</v>
      </c>
      <c r="K158" s="228">
        <f>'d3'!K158-'d3-п'!K158</f>
        <v>0</v>
      </c>
      <c r="L158" s="228">
        <f>'d3'!L158-'d3-п'!L158</f>
        <v>0</v>
      </c>
      <c r="M158" s="228">
        <f>'d3'!M158-'d3-п'!M158</f>
        <v>0</v>
      </c>
      <c r="N158" s="228">
        <f>'d3'!N158-'d3-п'!N158</f>
        <v>0</v>
      </c>
      <c r="O158" s="228">
        <f>'d3'!O158-'d3-п'!O158</f>
        <v>0</v>
      </c>
      <c r="P158" s="228">
        <f>'d3'!P158-'d3-п'!P158</f>
        <v>0</v>
      </c>
      <c r="R158" s="335"/>
    </row>
    <row r="159" spans="1:18" ht="93" thickTop="1" thickBot="1" x14ac:dyDescent="0.25">
      <c r="A159" s="431" t="s">
        <v>307</v>
      </c>
      <c r="B159" s="431" t="s">
        <v>308</v>
      </c>
      <c r="C159" s="431" t="s">
        <v>210</v>
      </c>
      <c r="D159" s="431" t="s">
        <v>306</v>
      </c>
      <c r="E159" s="228">
        <f>'d3'!E159-'d3-п'!E159</f>
        <v>-44408</v>
      </c>
      <c r="F159" s="228">
        <f>'d3'!F159-'d3-п'!F159</f>
        <v>-44408</v>
      </c>
      <c r="G159" s="228">
        <f>'d3'!G159-'d3-п'!G159</f>
        <v>0</v>
      </c>
      <c r="H159" s="228">
        <f>'d3'!H159-'d3-п'!H159</f>
        <v>0</v>
      </c>
      <c r="I159" s="228">
        <f>'d3'!I159-'d3-п'!I159</f>
        <v>0</v>
      </c>
      <c r="J159" s="228">
        <f>'d3'!J159-'d3-п'!J159</f>
        <v>-95936</v>
      </c>
      <c r="K159" s="228">
        <f>'d3'!K159-'d3-п'!K159</f>
        <v>-95936</v>
      </c>
      <c r="L159" s="228">
        <f>'d3'!L159-'d3-п'!L159</f>
        <v>0</v>
      </c>
      <c r="M159" s="228">
        <f>'d3'!M159-'d3-п'!M159</f>
        <v>0</v>
      </c>
      <c r="N159" s="228">
        <f>'d3'!N159-'d3-п'!N159</f>
        <v>0</v>
      </c>
      <c r="O159" s="228">
        <f>'d3'!O159-'d3-п'!O159</f>
        <v>-95936</v>
      </c>
      <c r="P159" s="228">
        <f>'d3'!P159-'d3-п'!P159</f>
        <v>-140344</v>
      </c>
      <c r="R159" s="335" t="b">
        <f>K159='d5'!J236</f>
        <v>0</v>
      </c>
    </row>
    <row r="160" spans="1:18" ht="136.5" thickTop="1" thickBot="1" x14ac:dyDescent="0.25">
      <c r="A160" s="451" t="s">
        <v>204</v>
      </c>
      <c r="B160" s="451"/>
      <c r="C160" s="451"/>
      <c r="D160" s="452" t="s">
        <v>32</v>
      </c>
      <c r="E160" s="453">
        <f>E161</f>
        <v>38800</v>
      </c>
      <c r="F160" s="454">
        <f t="shared" ref="F160:G160" si="63">F161</f>
        <v>38800</v>
      </c>
      <c r="G160" s="454">
        <f t="shared" si="63"/>
        <v>0</v>
      </c>
      <c r="H160" s="454">
        <f>H161</f>
        <v>0</v>
      </c>
      <c r="I160" s="453">
        <f t="shared" ref="I160" si="64">I161</f>
        <v>0</v>
      </c>
      <c r="J160" s="453">
        <f>J161</f>
        <v>0</v>
      </c>
      <c r="K160" s="454">
        <f>K161</f>
        <v>0</v>
      </c>
      <c r="L160" s="454">
        <f>L161</f>
        <v>0</v>
      </c>
      <c r="M160" s="454">
        <f t="shared" ref="M160" si="65">M161</f>
        <v>0</v>
      </c>
      <c r="N160" s="453">
        <f>N161</f>
        <v>0</v>
      </c>
      <c r="O160" s="453">
        <f>O161</f>
        <v>0</v>
      </c>
      <c r="P160" s="454">
        <f t="shared" ref="P160" si="66">P161</f>
        <v>38800</v>
      </c>
    </row>
    <row r="161" spans="1:18" ht="181.5" thickTop="1" thickBot="1" x14ac:dyDescent="0.25">
      <c r="A161" s="455" t="s">
        <v>205</v>
      </c>
      <c r="B161" s="455"/>
      <c r="C161" s="455"/>
      <c r="D161" s="456" t="s">
        <v>49</v>
      </c>
      <c r="E161" s="457">
        <f>SUM(E162:E167)</f>
        <v>38800</v>
      </c>
      <c r="F161" s="457">
        <f>SUM(F162:F167)</f>
        <v>38800</v>
      </c>
      <c r="G161" s="457">
        <f>SUM(G162:G167)</f>
        <v>0</v>
      </c>
      <c r="H161" s="457">
        <f>SUM(H162:H167)</f>
        <v>0</v>
      </c>
      <c r="I161" s="457">
        <f>SUM(I162:I167)</f>
        <v>0</v>
      </c>
      <c r="J161" s="457">
        <f t="shared" ref="J161" si="67">L161+O161</f>
        <v>0</v>
      </c>
      <c r="K161" s="457">
        <f>SUM(K162:K167)</f>
        <v>0</v>
      </c>
      <c r="L161" s="457">
        <f>SUM(L162:L167)</f>
        <v>0</v>
      </c>
      <c r="M161" s="457">
        <f>SUM(M162:M167)</f>
        <v>0</v>
      </c>
      <c r="N161" s="457">
        <f>SUM(N162:N167)</f>
        <v>0</v>
      </c>
      <c r="O161" s="457">
        <f>SUM(O162:O167)</f>
        <v>0</v>
      </c>
      <c r="P161" s="458">
        <f t="shared" ref="P161" si="68">E161+J161</f>
        <v>38800</v>
      </c>
      <c r="Q161" s="334" t="b">
        <f>P161=P164+P167+P162+P165+P166+P163</f>
        <v>1</v>
      </c>
      <c r="R161" s="335"/>
    </row>
    <row r="162" spans="1:18" s="222" customFormat="1" ht="230.25" thickTop="1" thickBot="1" x14ac:dyDescent="0.25">
      <c r="A162" s="431" t="s">
        <v>523</v>
      </c>
      <c r="B162" s="431" t="s">
        <v>286</v>
      </c>
      <c r="C162" s="431" t="s">
        <v>284</v>
      </c>
      <c r="D162" s="431" t="s">
        <v>285</v>
      </c>
      <c r="E162" s="228">
        <f>'d3'!E163-'d3-п'!E162</f>
        <v>0</v>
      </c>
      <c r="F162" s="228">
        <f>'d3'!F163-'d3-п'!F162</f>
        <v>0</v>
      </c>
      <c r="G162" s="228">
        <f>'d3'!G163-'d3-п'!G162</f>
        <v>0</v>
      </c>
      <c r="H162" s="228">
        <f>'d3'!H163-'d3-п'!H162</f>
        <v>0</v>
      </c>
      <c r="I162" s="228">
        <f>'d3'!I163-'d3-п'!I162</f>
        <v>0</v>
      </c>
      <c r="J162" s="228">
        <f>'d3'!J163-'d3-п'!J162</f>
        <v>0</v>
      </c>
      <c r="K162" s="228">
        <f>'d3'!K163-'d3-п'!K162</f>
        <v>0</v>
      </c>
      <c r="L162" s="228">
        <f>'d3'!L163-'d3-п'!L162</f>
        <v>0</v>
      </c>
      <c r="M162" s="228">
        <f>'d3'!M163-'d3-п'!M162</f>
        <v>0</v>
      </c>
      <c r="N162" s="228">
        <f>'d3'!N163-'d3-п'!N162</f>
        <v>0</v>
      </c>
      <c r="O162" s="228">
        <f>'d3'!O163-'d3-п'!O162</f>
        <v>0</v>
      </c>
      <c r="P162" s="228">
        <f>'d3'!P163-'d3-п'!P162</f>
        <v>0</v>
      </c>
      <c r="Q162" s="220"/>
      <c r="R162" s="221"/>
    </row>
    <row r="163" spans="1:18" s="222" customFormat="1" ht="93" thickTop="1" thickBot="1" x14ac:dyDescent="0.25">
      <c r="A163" s="431" t="s">
        <v>938</v>
      </c>
      <c r="B163" s="431" t="s">
        <v>308</v>
      </c>
      <c r="C163" s="431" t="s">
        <v>210</v>
      </c>
      <c r="D163" s="431" t="s">
        <v>306</v>
      </c>
      <c r="E163" s="228">
        <f>'d3'!E164-0</f>
        <v>38800</v>
      </c>
      <c r="F163" s="228">
        <f>'d3'!F164-0</f>
        <v>38800</v>
      </c>
      <c r="G163" s="228">
        <f>'d3'!G164-0</f>
        <v>0</v>
      </c>
      <c r="H163" s="228">
        <f>'d3'!H164-0</f>
        <v>0</v>
      </c>
      <c r="I163" s="228">
        <f>'d3'!I164-0</f>
        <v>0</v>
      </c>
      <c r="J163" s="228">
        <f>'d3'!J164-0</f>
        <v>0</v>
      </c>
      <c r="K163" s="228">
        <f>'d3'!K164-0</f>
        <v>0</v>
      </c>
      <c r="L163" s="228">
        <f>'d3'!L164-0</f>
        <v>0</v>
      </c>
      <c r="M163" s="228">
        <f>'d3'!M164-0</f>
        <v>0</v>
      </c>
      <c r="N163" s="228">
        <f>'d3'!N164-0</f>
        <v>0</v>
      </c>
      <c r="O163" s="228">
        <f>'d3'!O164-0</f>
        <v>0</v>
      </c>
      <c r="P163" s="228">
        <f>'d3'!P164-0</f>
        <v>38800</v>
      </c>
      <c r="Q163" s="220"/>
      <c r="R163" s="221"/>
    </row>
    <row r="164" spans="1:18" s="222" customFormat="1" ht="138.75" thickTop="1" thickBot="1" x14ac:dyDescent="0.25">
      <c r="A164" s="431" t="s">
        <v>366</v>
      </c>
      <c r="B164" s="431" t="s">
        <v>367</v>
      </c>
      <c r="C164" s="431" t="s">
        <v>62</v>
      </c>
      <c r="D164" s="431" t="s">
        <v>63</v>
      </c>
      <c r="E164" s="228">
        <f>'d3'!E165-'d3-п'!E164</f>
        <v>0</v>
      </c>
      <c r="F164" s="228">
        <f>'d3'!F165-'d3-п'!F164</f>
        <v>0</v>
      </c>
      <c r="G164" s="228">
        <f>'d3'!G165-'d3-п'!G164</f>
        <v>0</v>
      </c>
      <c r="H164" s="228">
        <f>'d3'!H165-'d3-п'!H164</f>
        <v>0</v>
      </c>
      <c r="I164" s="228">
        <f>'d3'!I165-'d3-п'!I164</f>
        <v>0</v>
      </c>
      <c r="J164" s="228">
        <f>'d3'!J165-'d3-п'!J164</f>
        <v>0</v>
      </c>
      <c r="K164" s="228">
        <f>'d3'!K165-'d3-п'!K164</f>
        <v>0</v>
      </c>
      <c r="L164" s="228">
        <f>'d3'!L165-'d3-п'!L164</f>
        <v>0</v>
      </c>
      <c r="M164" s="228">
        <f>'d3'!M165-'d3-п'!M164</f>
        <v>0</v>
      </c>
      <c r="N164" s="228">
        <f>'d3'!N165-'d3-п'!N164</f>
        <v>0</v>
      </c>
      <c r="O164" s="228">
        <f>'d3'!O165-'d3-п'!O164</f>
        <v>0</v>
      </c>
      <c r="P164" s="228">
        <f>'d3'!P165-'d3-п'!P164</f>
        <v>0</v>
      </c>
    </row>
    <row r="165" spans="1:18" s="222" customFormat="1" ht="48" thickTop="1" thickBot="1" x14ac:dyDescent="0.25">
      <c r="A165" s="431" t="s">
        <v>650</v>
      </c>
      <c r="B165" s="431" t="s">
        <v>651</v>
      </c>
      <c r="C165" s="431" t="s">
        <v>644</v>
      </c>
      <c r="D165" s="431" t="s">
        <v>652</v>
      </c>
      <c r="E165" s="228">
        <f>'d3'!E166-'d3-п'!E165</f>
        <v>0</v>
      </c>
      <c r="F165" s="228">
        <f>'d3'!F166-'d3-п'!F165</f>
        <v>0</v>
      </c>
      <c r="G165" s="228">
        <f>'d3'!G166-'d3-п'!G165</f>
        <v>0</v>
      </c>
      <c r="H165" s="228">
        <f>'d3'!H166-'d3-п'!H165</f>
        <v>0</v>
      </c>
      <c r="I165" s="228">
        <f>'d3'!I166-'d3-п'!I165</f>
        <v>0</v>
      </c>
      <c r="J165" s="228">
        <f>'d3'!J166-'d3-п'!J165</f>
        <v>0</v>
      </c>
      <c r="K165" s="228">
        <f>'d3'!K166-'d3-п'!K165</f>
        <v>0</v>
      </c>
      <c r="L165" s="228">
        <f>'d3'!L166-'d3-п'!L165</f>
        <v>0</v>
      </c>
      <c r="M165" s="228">
        <f>'d3'!M166-'d3-п'!M165</f>
        <v>0</v>
      </c>
      <c r="N165" s="228">
        <f>'d3'!N166-'d3-п'!N165</f>
        <v>0</v>
      </c>
      <c r="O165" s="228">
        <f>'d3'!O166-'d3-п'!O165</f>
        <v>0</v>
      </c>
      <c r="P165" s="228">
        <f>'d3'!P166-'d3-п'!P165</f>
        <v>0</v>
      </c>
    </row>
    <row r="166" spans="1:18" s="222" customFormat="1" ht="93" thickTop="1" thickBot="1" x14ac:dyDescent="0.25">
      <c r="A166" s="431" t="s">
        <v>759</v>
      </c>
      <c r="B166" s="431" t="s">
        <v>757</v>
      </c>
      <c r="C166" s="431" t="s">
        <v>760</v>
      </c>
      <c r="D166" s="431" t="s">
        <v>758</v>
      </c>
      <c r="E166" s="228">
        <f>'d3'!E167-'d3-п'!E166</f>
        <v>0</v>
      </c>
      <c r="F166" s="228">
        <f>'d3'!F167-'d3-п'!F166</f>
        <v>0</v>
      </c>
      <c r="G166" s="228">
        <f>'d3'!G167-'d3-п'!G166</f>
        <v>0</v>
      </c>
      <c r="H166" s="228">
        <f>'d3'!H167-'d3-п'!H166</f>
        <v>0</v>
      </c>
      <c r="I166" s="228">
        <f>'d3'!I167-'d3-п'!I166</f>
        <v>0</v>
      </c>
      <c r="J166" s="228">
        <f>'d3'!J167-'d3-п'!J166</f>
        <v>0</v>
      </c>
      <c r="K166" s="228">
        <f>'d3'!K167-'d3-п'!K166</f>
        <v>0</v>
      </c>
      <c r="L166" s="228">
        <f>'d3'!L167-'d3-п'!L166</f>
        <v>0</v>
      </c>
      <c r="M166" s="228">
        <f>'d3'!M167-'d3-п'!M166</f>
        <v>0</v>
      </c>
      <c r="N166" s="228">
        <f>'d3'!N167-'d3-п'!N166</f>
        <v>0</v>
      </c>
      <c r="O166" s="228">
        <f>'d3'!O167-'d3-п'!O166</f>
        <v>0</v>
      </c>
      <c r="P166" s="228">
        <f>'d3'!P167-'d3-п'!P166</f>
        <v>0</v>
      </c>
    </row>
    <row r="167" spans="1:18" s="222" customFormat="1" ht="93" thickTop="1" thickBot="1" x14ac:dyDescent="0.25">
      <c r="A167" s="431" t="s">
        <v>368</v>
      </c>
      <c r="B167" s="431" t="s">
        <v>369</v>
      </c>
      <c r="C167" s="431" t="s">
        <v>64</v>
      </c>
      <c r="D167" s="431" t="s">
        <v>653</v>
      </c>
      <c r="E167" s="228">
        <f>'d3'!E168-'d3-п'!E167</f>
        <v>0</v>
      </c>
      <c r="F167" s="228">
        <f>'d3'!F168-'d3-п'!F167</f>
        <v>0</v>
      </c>
      <c r="G167" s="228">
        <f>'d3'!G168-'d3-п'!G167</f>
        <v>0</v>
      </c>
      <c r="H167" s="228">
        <f>'d3'!H168-'d3-п'!H167</f>
        <v>0</v>
      </c>
      <c r="I167" s="228">
        <f>'d3'!I168-'d3-п'!I167</f>
        <v>0</v>
      </c>
      <c r="J167" s="228">
        <f>'d3'!J168-'d3-п'!J167</f>
        <v>0</v>
      </c>
      <c r="K167" s="228">
        <f>'d3'!K168-'d3-п'!K167</f>
        <v>0</v>
      </c>
      <c r="L167" s="228">
        <f>'d3'!L168-'d3-п'!L167</f>
        <v>0</v>
      </c>
      <c r="M167" s="228">
        <f>'d3'!M168-'d3-п'!M167</f>
        <v>0</v>
      </c>
      <c r="N167" s="228">
        <f>'d3'!N168-'d3-п'!N167</f>
        <v>0</v>
      </c>
      <c r="O167" s="228">
        <f>'d3'!O168-'d3-п'!O167</f>
        <v>0</v>
      </c>
      <c r="P167" s="228">
        <f>'d3'!P168-'d3-п'!P167</f>
        <v>0</v>
      </c>
    </row>
    <row r="168" spans="1:18" ht="271.5" thickTop="1" thickBot="1" x14ac:dyDescent="0.25">
      <c r="A168" s="451" t="s">
        <v>202</v>
      </c>
      <c r="B168" s="451"/>
      <c r="C168" s="451"/>
      <c r="D168" s="452" t="s">
        <v>930</v>
      </c>
      <c r="E168" s="453">
        <f>E169</f>
        <v>-721000</v>
      </c>
      <c r="F168" s="454">
        <f t="shared" ref="F168:G168" si="69">F169</f>
        <v>-721000</v>
      </c>
      <c r="G168" s="454">
        <f t="shared" si="69"/>
        <v>-661000</v>
      </c>
      <c r="H168" s="454">
        <f>H169</f>
        <v>0</v>
      </c>
      <c r="I168" s="453">
        <f t="shared" ref="I168" si="70">I169</f>
        <v>0</v>
      </c>
      <c r="J168" s="453">
        <f>J169</f>
        <v>0</v>
      </c>
      <c r="K168" s="454">
        <f>K169</f>
        <v>0</v>
      </c>
      <c r="L168" s="454">
        <f>L169</f>
        <v>0</v>
      </c>
      <c r="M168" s="454">
        <f t="shared" ref="M168" si="71">M169</f>
        <v>0</v>
      </c>
      <c r="N168" s="453">
        <f>N169</f>
        <v>0</v>
      </c>
      <c r="O168" s="453">
        <f>O169</f>
        <v>0</v>
      </c>
      <c r="P168" s="454">
        <f t="shared" ref="P168" si="72">P169</f>
        <v>-721000</v>
      </c>
    </row>
    <row r="169" spans="1:18" ht="271.5" thickTop="1" thickBot="1" x14ac:dyDescent="0.25">
      <c r="A169" s="455" t="s">
        <v>203</v>
      </c>
      <c r="B169" s="455"/>
      <c r="C169" s="455"/>
      <c r="D169" s="456" t="s">
        <v>931</v>
      </c>
      <c r="E169" s="457">
        <f>SUM(E170:E172)</f>
        <v>-721000</v>
      </c>
      <c r="F169" s="457">
        <f t="shared" ref="F169:N169" si="73">SUM(F170:F172)</f>
        <v>-721000</v>
      </c>
      <c r="G169" s="457">
        <f t="shared" si="73"/>
        <v>-661000</v>
      </c>
      <c r="H169" s="457">
        <f t="shared" si="73"/>
        <v>0</v>
      </c>
      <c r="I169" s="457">
        <f t="shared" si="73"/>
        <v>0</v>
      </c>
      <c r="J169" s="457">
        <f>L169+O169</f>
        <v>0</v>
      </c>
      <c r="K169" s="457">
        <f t="shared" si="73"/>
        <v>0</v>
      </c>
      <c r="L169" s="457">
        <f t="shared" si="73"/>
        <v>0</v>
      </c>
      <c r="M169" s="457">
        <f t="shared" si="73"/>
        <v>0</v>
      </c>
      <c r="N169" s="457">
        <f t="shared" si="73"/>
        <v>0</v>
      </c>
      <c r="O169" s="457">
        <f>SUM(O170:O172)</f>
        <v>0</v>
      </c>
      <c r="P169" s="458">
        <f>E169+J169</f>
        <v>-721000</v>
      </c>
      <c r="Q169" s="334" t="b">
        <f>P169=P171+P172+P170</f>
        <v>1</v>
      </c>
      <c r="R169" s="334" t="b">
        <f>K169='d5'!J238</f>
        <v>0</v>
      </c>
    </row>
    <row r="170" spans="1:18" ht="230.25" thickTop="1" thickBot="1" x14ac:dyDescent="0.25">
      <c r="A170" s="431" t="s">
        <v>519</v>
      </c>
      <c r="B170" s="431" t="s">
        <v>286</v>
      </c>
      <c r="C170" s="431" t="s">
        <v>284</v>
      </c>
      <c r="D170" s="431" t="s">
        <v>285</v>
      </c>
      <c r="E170" s="228">
        <f>'d3'!E171-'d3-п'!E170</f>
        <v>-721000</v>
      </c>
      <c r="F170" s="228">
        <f>'d3'!F171-'d3-п'!F170</f>
        <v>-721000</v>
      </c>
      <c r="G170" s="228">
        <f>'d3'!G171-'d3-п'!G170</f>
        <v>-661000</v>
      </c>
      <c r="H170" s="228">
        <f>'d3'!H171-'d3-п'!H170</f>
        <v>0</v>
      </c>
      <c r="I170" s="228">
        <f>'d3'!I171-'d3-п'!I170</f>
        <v>0</v>
      </c>
      <c r="J170" s="228">
        <f>'d3'!J171-'d3-п'!J170</f>
        <v>0</v>
      </c>
      <c r="K170" s="228">
        <f>'d3'!K171-'d3-п'!K170</f>
        <v>0</v>
      </c>
      <c r="L170" s="228">
        <f>'d3'!L171-'d3-п'!L170</f>
        <v>0</v>
      </c>
      <c r="M170" s="228">
        <f>'d3'!M171-'d3-п'!M170</f>
        <v>0</v>
      </c>
      <c r="N170" s="228">
        <f>'d3'!N171-'d3-п'!N170</f>
        <v>0</v>
      </c>
      <c r="O170" s="228">
        <f>'d3'!O171-'d3-п'!O170</f>
        <v>0</v>
      </c>
      <c r="P170" s="228">
        <f>'d3'!P171-'d3-п'!P170</f>
        <v>-721000</v>
      </c>
      <c r="Q170" s="334"/>
      <c r="R170" s="334"/>
    </row>
    <row r="171" spans="1:18" ht="93" thickTop="1" thickBot="1" x14ac:dyDescent="0.25">
      <c r="A171" s="431" t="s">
        <v>363</v>
      </c>
      <c r="B171" s="431" t="s">
        <v>364</v>
      </c>
      <c r="C171" s="431" t="s">
        <v>365</v>
      </c>
      <c r="D171" s="431" t="s">
        <v>621</v>
      </c>
      <c r="E171" s="228">
        <f>'d3'!E172-'d3-п'!E171</f>
        <v>0</v>
      </c>
      <c r="F171" s="228">
        <f>'d3'!F172-'d3-п'!F171</f>
        <v>0</v>
      </c>
      <c r="G171" s="228">
        <f>'d3'!G172-'d3-п'!G171</f>
        <v>0</v>
      </c>
      <c r="H171" s="228">
        <f>'d3'!H172-'d3-п'!H171</f>
        <v>0</v>
      </c>
      <c r="I171" s="228">
        <f>'d3'!I172-'d3-п'!I171</f>
        <v>0</v>
      </c>
      <c r="J171" s="228">
        <f>'d3'!J172-'d3-п'!J171</f>
        <v>0</v>
      </c>
      <c r="K171" s="228">
        <f>'d3'!K172-'d3-п'!K171</f>
        <v>0</v>
      </c>
      <c r="L171" s="228">
        <f>'d3'!L172-'d3-п'!L171</f>
        <v>0</v>
      </c>
      <c r="M171" s="228">
        <f>'d3'!M172-'d3-п'!M171</f>
        <v>0</v>
      </c>
      <c r="N171" s="228">
        <f>'d3'!N172-'d3-п'!N171</f>
        <v>0</v>
      </c>
      <c r="O171" s="228">
        <f>'d3'!O172-'d3-п'!O171</f>
        <v>0</v>
      </c>
      <c r="P171" s="228">
        <f>'d3'!P172-'d3-п'!P171</f>
        <v>0</v>
      </c>
    </row>
    <row r="172" spans="1:18" ht="138.75" thickTop="1" thickBot="1" x14ac:dyDescent="0.25">
      <c r="A172" s="431" t="s">
        <v>448</v>
      </c>
      <c r="B172" s="431" t="s">
        <v>449</v>
      </c>
      <c r="C172" s="431" t="s">
        <v>210</v>
      </c>
      <c r="D172" s="431" t="s">
        <v>450</v>
      </c>
      <c r="E172" s="228">
        <f>'d3'!E173-'d3-п'!E172</f>
        <v>0</v>
      </c>
      <c r="F172" s="228">
        <f>'d3'!F173-'d3-п'!F172</f>
        <v>0</v>
      </c>
      <c r="G172" s="228">
        <f>'d3'!G173-'d3-п'!G172</f>
        <v>0</v>
      </c>
      <c r="H172" s="228">
        <f>'d3'!H173-'d3-п'!H172</f>
        <v>0</v>
      </c>
      <c r="I172" s="228">
        <f>'d3'!I173-'d3-п'!I172</f>
        <v>0</v>
      </c>
      <c r="J172" s="228">
        <f>'d3'!J173-'d3-п'!J172</f>
        <v>0</v>
      </c>
      <c r="K172" s="228">
        <f>'d3'!K173-'d3-п'!K172</f>
        <v>0</v>
      </c>
      <c r="L172" s="228">
        <f>'d3'!L173-'d3-п'!L172</f>
        <v>0</v>
      </c>
      <c r="M172" s="228">
        <f>'d3'!M173-'d3-п'!M172</f>
        <v>0</v>
      </c>
      <c r="N172" s="228">
        <f>'d3'!N173-'d3-п'!N172</f>
        <v>0</v>
      </c>
      <c r="O172" s="228">
        <f>'d3'!O173-'d3-п'!O172</f>
        <v>0</v>
      </c>
      <c r="P172" s="228">
        <f>'d3'!P173-'d3-п'!P172</f>
        <v>0</v>
      </c>
    </row>
    <row r="173" spans="1:18" ht="136.5" thickTop="1" thickBot="1" x14ac:dyDescent="0.25">
      <c r="A173" s="451" t="s">
        <v>208</v>
      </c>
      <c r="B173" s="451"/>
      <c r="C173" s="451"/>
      <c r="D173" s="452" t="s">
        <v>33</v>
      </c>
      <c r="E173" s="453">
        <f>E174</f>
        <v>-230000</v>
      </c>
      <c r="F173" s="454">
        <f t="shared" ref="F173:G173" si="74">F174</f>
        <v>-230000</v>
      </c>
      <c r="G173" s="454">
        <f t="shared" si="74"/>
        <v>-200000</v>
      </c>
      <c r="H173" s="454">
        <f>H174</f>
        <v>0</v>
      </c>
      <c r="I173" s="453">
        <f t="shared" ref="I173" si="75">I174</f>
        <v>0</v>
      </c>
      <c r="J173" s="453">
        <f>J174</f>
        <v>0</v>
      </c>
      <c r="K173" s="454">
        <f>K174</f>
        <v>0</v>
      </c>
      <c r="L173" s="454">
        <f>L174</f>
        <v>0</v>
      </c>
      <c r="M173" s="454">
        <f t="shared" ref="M173" si="76">M174</f>
        <v>0</v>
      </c>
      <c r="N173" s="453">
        <f>N174</f>
        <v>0</v>
      </c>
      <c r="O173" s="453">
        <f>O174</f>
        <v>0</v>
      </c>
      <c r="P173" s="454">
        <f t="shared" ref="P173" si="77">P174</f>
        <v>-230000</v>
      </c>
    </row>
    <row r="174" spans="1:18" ht="136.5" thickTop="1" thickBot="1" x14ac:dyDescent="0.25">
      <c r="A174" s="455" t="s">
        <v>209</v>
      </c>
      <c r="B174" s="455"/>
      <c r="C174" s="455"/>
      <c r="D174" s="456" t="s">
        <v>50</v>
      </c>
      <c r="E174" s="457">
        <f>SUM(E175:E178)</f>
        <v>-230000</v>
      </c>
      <c r="F174" s="457">
        <f t="shared" ref="F174:N174" si="78">SUM(F175:F178)</f>
        <v>-230000</v>
      </c>
      <c r="G174" s="457">
        <f t="shared" si="78"/>
        <v>-200000</v>
      </c>
      <c r="H174" s="457">
        <f t="shared" si="78"/>
        <v>0</v>
      </c>
      <c r="I174" s="457">
        <f t="shared" si="78"/>
        <v>0</v>
      </c>
      <c r="J174" s="457">
        <f>L174+O174</f>
        <v>0</v>
      </c>
      <c r="K174" s="457">
        <f>SUM(K175:K178)</f>
        <v>0</v>
      </c>
      <c r="L174" s="457">
        <f t="shared" si="78"/>
        <v>0</v>
      </c>
      <c r="M174" s="457">
        <f t="shared" si="78"/>
        <v>0</v>
      </c>
      <c r="N174" s="457">
        <f t="shared" si="78"/>
        <v>0</v>
      </c>
      <c r="O174" s="457">
        <f>SUM(O175:O178)</f>
        <v>0</v>
      </c>
      <c r="P174" s="458">
        <f>E174+J174</f>
        <v>-230000</v>
      </c>
      <c r="Q174" s="334" t="b">
        <f>P174=P176+P177+P178+P175</f>
        <v>1</v>
      </c>
      <c r="R174" s="335"/>
    </row>
    <row r="175" spans="1:18" ht="230.25" thickTop="1" thickBot="1" x14ac:dyDescent="0.25">
      <c r="A175" s="431" t="s">
        <v>521</v>
      </c>
      <c r="B175" s="431" t="s">
        <v>286</v>
      </c>
      <c r="C175" s="431" t="s">
        <v>284</v>
      </c>
      <c r="D175" s="431" t="s">
        <v>285</v>
      </c>
      <c r="E175" s="228">
        <f>'d3'!E176-'d3-п'!E175</f>
        <v>-230000</v>
      </c>
      <c r="F175" s="228">
        <f>'d3'!F176-'d3-п'!F175</f>
        <v>-230000</v>
      </c>
      <c r="G175" s="228">
        <f>'d3'!G176-'d3-п'!G175</f>
        <v>-200000</v>
      </c>
      <c r="H175" s="228">
        <f>'d3'!H176-'d3-п'!H175</f>
        <v>0</v>
      </c>
      <c r="I175" s="228">
        <f>'d3'!I176-'d3-п'!I175</f>
        <v>0</v>
      </c>
      <c r="J175" s="228">
        <f>'d3'!J176-'d3-п'!J175</f>
        <v>0</v>
      </c>
      <c r="K175" s="228">
        <f>'d3'!K176-'d3-п'!K175</f>
        <v>0</v>
      </c>
      <c r="L175" s="228">
        <f>'d3'!L176-'d3-п'!L175</f>
        <v>0</v>
      </c>
      <c r="M175" s="228">
        <f>'d3'!M176-'d3-п'!M175</f>
        <v>0</v>
      </c>
      <c r="N175" s="228">
        <f>'d3'!N176-'d3-п'!N175</f>
        <v>0</v>
      </c>
      <c r="O175" s="228">
        <f>'d3'!O176-'d3-п'!O175</f>
        <v>0</v>
      </c>
      <c r="P175" s="228">
        <f>'d3'!P176-'d3-п'!P175</f>
        <v>-230000</v>
      </c>
      <c r="Q175" s="334"/>
      <c r="R175" s="335"/>
    </row>
    <row r="176" spans="1:18" ht="48" thickTop="1" thickBot="1" x14ac:dyDescent="0.25">
      <c r="A176" s="229">
        <v>3718600</v>
      </c>
      <c r="B176" s="229">
        <v>8600</v>
      </c>
      <c r="C176" s="431" t="s">
        <v>442</v>
      </c>
      <c r="D176" s="229" t="s">
        <v>603</v>
      </c>
      <c r="E176" s="228">
        <f>'d3'!E177-'d3-п'!E176</f>
        <v>0</v>
      </c>
      <c r="F176" s="228">
        <f>'d3'!F177-'d3-п'!F176</f>
        <v>0</v>
      </c>
      <c r="G176" s="228">
        <f>'d3'!G177-'d3-п'!G176</f>
        <v>0</v>
      </c>
      <c r="H176" s="228">
        <f>'d3'!H177-'d3-п'!H176</f>
        <v>0</v>
      </c>
      <c r="I176" s="228">
        <f>'d3'!I177-'d3-п'!I176</f>
        <v>0</v>
      </c>
      <c r="J176" s="228">
        <f>'d3'!J177-'d3-п'!J176</f>
        <v>0</v>
      </c>
      <c r="K176" s="228">
        <f>'d3'!K177-'d3-п'!K176</f>
        <v>0</v>
      </c>
      <c r="L176" s="228">
        <f>'d3'!L177-'d3-п'!L176</f>
        <v>0</v>
      </c>
      <c r="M176" s="228">
        <f>'d3'!M177-'d3-п'!M176</f>
        <v>0</v>
      </c>
      <c r="N176" s="228">
        <f>'d3'!N177-'d3-п'!N176</f>
        <v>0</v>
      </c>
      <c r="O176" s="228">
        <f>'d3'!O177-'d3-п'!O176</f>
        <v>0</v>
      </c>
      <c r="P176" s="228">
        <f>'d3'!P177-'d3-п'!P176</f>
        <v>0</v>
      </c>
    </row>
    <row r="177" spans="1:18" ht="48" thickTop="1" thickBot="1" x14ac:dyDescent="0.25">
      <c r="A177" s="229">
        <v>3718700</v>
      </c>
      <c r="B177" s="229">
        <v>8700</v>
      </c>
      <c r="C177" s="431" t="s">
        <v>52</v>
      </c>
      <c r="D177" s="230" t="s">
        <v>602</v>
      </c>
      <c r="E177" s="228">
        <f>'d3'!E178-'d3-п'!E177</f>
        <v>0</v>
      </c>
      <c r="F177" s="228">
        <f>'d3'!F178-'d3-п'!F177</f>
        <v>0</v>
      </c>
      <c r="G177" s="228">
        <f>'d3'!G178-'d3-п'!G177</f>
        <v>0</v>
      </c>
      <c r="H177" s="228">
        <f>'d3'!H178-'d3-п'!H177</f>
        <v>0</v>
      </c>
      <c r="I177" s="228">
        <f>'d3'!I178-'d3-п'!I177</f>
        <v>0</v>
      </c>
      <c r="J177" s="228">
        <f>'d3'!J178-'d3-п'!J177</f>
        <v>0</v>
      </c>
      <c r="K177" s="228">
        <f>'d3'!K178-'d3-п'!K177</f>
        <v>0</v>
      </c>
      <c r="L177" s="228">
        <f>'d3'!L178-'d3-п'!L177</f>
        <v>0</v>
      </c>
      <c r="M177" s="228">
        <f>'d3'!M178-'d3-п'!M177</f>
        <v>0</v>
      </c>
      <c r="N177" s="228">
        <f>'d3'!N178-'d3-п'!N177</f>
        <v>0</v>
      </c>
      <c r="O177" s="228">
        <f>'d3'!O178-'d3-п'!O177</f>
        <v>0</v>
      </c>
      <c r="P177" s="228">
        <f>'d3'!P178-'d3-п'!P177</f>
        <v>0</v>
      </c>
    </row>
    <row r="178" spans="1:18" ht="48" thickTop="1" thickBot="1" x14ac:dyDescent="0.25">
      <c r="A178" s="229">
        <v>3719110</v>
      </c>
      <c r="B178" s="229">
        <v>9110</v>
      </c>
      <c r="C178" s="431" t="s">
        <v>53</v>
      </c>
      <c r="D178" s="230" t="s">
        <v>601</v>
      </c>
      <c r="E178" s="228">
        <f>'d3'!E179-'d3-п'!E178</f>
        <v>0</v>
      </c>
      <c r="F178" s="228">
        <f>'d3'!F179-'d3-п'!F178</f>
        <v>0</v>
      </c>
      <c r="G178" s="228">
        <f>'d3'!G179-'d3-п'!G178</f>
        <v>0</v>
      </c>
      <c r="H178" s="228">
        <f>'d3'!H179-'d3-п'!H178</f>
        <v>0</v>
      </c>
      <c r="I178" s="228">
        <f>'d3'!I179-'d3-п'!I178</f>
        <v>0</v>
      </c>
      <c r="J178" s="228">
        <f>'d3'!J179-'d3-п'!J178</f>
        <v>0</v>
      </c>
      <c r="K178" s="228">
        <f>'d3'!K179-'d3-п'!K178</f>
        <v>0</v>
      </c>
      <c r="L178" s="228">
        <f>'d3'!L179-'d3-п'!L178</f>
        <v>0</v>
      </c>
      <c r="M178" s="228">
        <f>'d3'!M179-'d3-п'!M178</f>
        <v>0</v>
      </c>
      <c r="N178" s="228">
        <f>'d3'!N179-'d3-п'!N178</f>
        <v>0</v>
      </c>
      <c r="O178" s="228">
        <f>'d3'!O179-'d3-п'!O178</f>
        <v>0</v>
      </c>
      <c r="P178" s="228">
        <f>'d3'!P179-'d3-п'!P178</f>
        <v>0</v>
      </c>
    </row>
    <row r="179" spans="1:18" ht="159.75" customHeight="1" thickTop="1" thickBot="1" x14ac:dyDescent="0.25">
      <c r="A179" s="175" t="s">
        <v>470</v>
      </c>
      <c r="B179" s="175" t="s">
        <v>470</v>
      </c>
      <c r="C179" s="175" t="s">
        <v>470</v>
      </c>
      <c r="D179" s="176" t="s">
        <v>480</v>
      </c>
      <c r="E179" s="177">
        <f>E17+E30+E101+E43+E57+E92+E116+E136+E146+E174+E155+E161+E169+E150</f>
        <v>-1537470.4200000092</v>
      </c>
      <c r="F179" s="177">
        <f>F17+F30+F101+F43+F56+F92+F116+F136+F146+F174+F155+F161+F169+F150</f>
        <v>-1537470.4200000092</v>
      </c>
      <c r="G179" s="177">
        <f t="shared" ref="G179:O179" si="79">G17+G30+G101+G43+G57+G92+G116+G136+G146+G174+G155+G161+G169+G150</f>
        <v>1787507.2200000007</v>
      </c>
      <c r="H179" s="177">
        <f t="shared" si="79"/>
        <v>-10892160</v>
      </c>
      <c r="I179" s="177">
        <f t="shared" si="79"/>
        <v>0</v>
      </c>
      <c r="J179" s="177">
        <f t="shared" si="79"/>
        <v>10716181.419999998</v>
      </c>
      <c r="K179" s="177">
        <f t="shared" si="79"/>
        <v>10416181.419999998</v>
      </c>
      <c r="L179" s="177">
        <f t="shared" si="79"/>
        <v>289500</v>
      </c>
      <c r="M179" s="177">
        <f t="shared" si="79"/>
        <v>38000</v>
      </c>
      <c r="N179" s="177">
        <f t="shared" si="79"/>
        <v>0</v>
      </c>
      <c r="O179" s="177">
        <f t="shared" si="79"/>
        <v>10426681.419999998</v>
      </c>
      <c r="P179" s="177">
        <f>P17+P30+P101+P43+P56+P92+P116+P136+P146+P174+P155+P161+P169+P150</f>
        <v>9178710.9999999888</v>
      </c>
      <c r="Q179" s="93" t="b">
        <f>K179='d5'!J245</f>
        <v>0</v>
      </c>
      <c r="R179" s="93"/>
    </row>
    <row r="180" spans="1:18" ht="46.5" thickTop="1" x14ac:dyDescent="0.2">
      <c r="A180" s="573" t="s">
        <v>711</v>
      </c>
      <c r="B180" s="574"/>
      <c r="C180" s="574"/>
      <c r="D180" s="574"/>
      <c r="E180" s="574"/>
      <c r="F180" s="574"/>
      <c r="G180" s="574"/>
      <c r="H180" s="574"/>
      <c r="I180" s="574"/>
      <c r="J180" s="574"/>
      <c r="K180" s="574"/>
      <c r="L180" s="574"/>
      <c r="M180" s="574"/>
      <c r="N180" s="574"/>
      <c r="O180" s="574"/>
      <c r="P180" s="574"/>
      <c r="Q180" s="340"/>
    </row>
    <row r="181" spans="1:18" ht="45.75" x14ac:dyDescent="0.2">
      <c r="E181" s="12"/>
      <c r="F181" s="130"/>
    </row>
    <row r="182" spans="1:18" ht="45.75" x14ac:dyDescent="0.2">
      <c r="E182" s="12"/>
      <c r="F182" s="130"/>
    </row>
    <row r="183" spans="1:18" ht="45.75" x14ac:dyDescent="0.2">
      <c r="E183" s="12"/>
      <c r="F183" s="130"/>
    </row>
    <row r="184" spans="1:18" ht="45.75" x14ac:dyDescent="0.2">
      <c r="A184" s="428"/>
      <c r="B184" s="428"/>
      <c r="C184" s="428"/>
      <c r="D184" s="428"/>
      <c r="E184" s="12"/>
      <c r="F184" s="130"/>
      <c r="G184" s="428"/>
      <c r="H184" s="428"/>
      <c r="I184" s="428"/>
      <c r="J184" s="428"/>
      <c r="K184" s="428"/>
      <c r="L184" s="428"/>
      <c r="M184" s="428"/>
      <c r="N184" s="428"/>
      <c r="O184" s="428"/>
      <c r="P184" s="428"/>
    </row>
    <row r="185" spans="1:18" ht="45.75" x14ac:dyDescent="0.2">
      <c r="A185" s="428"/>
      <c r="B185" s="428"/>
      <c r="C185" s="428"/>
      <c r="D185" s="428"/>
      <c r="E185" s="12"/>
      <c r="F185" s="130"/>
      <c r="G185" s="428"/>
      <c r="H185" s="428"/>
      <c r="I185" s="428"/>
      <c r="J185" s="428"/>
      <c r="K185" s="428"/>
      <c r="L185" s="428"/>
      <c r="M185" s="428"/>
      <c r="N185" s="428"/>
      <c r="O185" s="428"/>
      <c r="P185" s="428"/>
    </row>
    <row r="186" spans="1:18" ht="45.75" x14ac:dyDescent="0.2">
      <c r="A186" s="428"/>
      <c r="B186" s="428"/>
      <c r="C186" s="428"/>
      <c r="D186" s="428"/>
      <c r="E186" s="12"/>
      <c r="F186" s="130"/>
      <c r="G186" s="428"/>
      <c r="H186" s="428"/>
      <c r="I186" s="428"/>
      <c r="J186" s="428"/>
      <c r="K186" s="428"/>
      <c r="L186" s="428"/>
      <c r="M186" s="428"/>
      <c r="N186" s="428"/>
      <c r="O186" s="428"/>
      <c r="P186" s="428"/>
    </row>
    <row r="187" spans="1:18" ht="45.75" x14ac:dyDescent="0.2">
      <c r="A187" s="428"/>
      <c r="B187" s="428"/>
      <c r="C187" s="428"/>
      <c r="D187" s="428"/>
      <c r="E187" s="12"/>
      <c r="F187" s="130"/>
      <c r="G187" s="428"/>
      <c r="H187" s="428"/>
      <c r="I187" s="428"/>
      <c r="J187" s="428"/>
      <c r="K187" s="428"/>
      <c r="L187" s="428"/>
      <c r="M187" s="428"/>
      <c r="N187" s="428"/>
      <c r="O187" s="428"/>
      <c r="P187" s="428"/>
    </row>
  </sheetData>
  <mergeCells count="114">
    <mergeCell ref="K88:K89"/>
    <mergeCell ref="L88:L89"/>
    <mergeCell ref="M88:M89"/>
    <mergeCell ref="N88:N89"/>
    <mergeCell ref="O88:O89"/>
    <mergeCell ref="P88:P89"/>
    <mergeCell ref="N131:N132"/>
    <mergeCell ref="O131:O132"/>
    <mergeCell ref="P131:P132"/>
    <mergeCell ref="A180:P180"/>
    <mergeCell ref="H131:H132"/>
    <mergeCell ref="I131:I132"/>
    <mergeCell ref="J131:J132"/>
    <mergeCell ref="K131:K132"/>
    <mergeCell ref="L131:L132"/>
    <mergeCell ref="M131:M132"/>
    <mergeCell ref="A131:A132"/>
    <mergeCell ref="B131:B132"/>
    <mergeCell ref="C131:C132"/>
    <mergeCell ref="E131:E132"/>
    <mergeCell ref="F131:F132"/>
    <mergeCell ref="G131:G132"/>
    <mergeCell ref="P80:P82"/>
    <mergeCell ref="A88:A89"/>
    <mergeCell ref="B88:B89"/>
    <mergeCell ref="C88:C89"/>
    <mergeCell ref="E88:E89"/>
    <mergeCell ref="F88:F89"/>
    <mergeCell ref="G88:G89"/>
    <mergeCell ref="H88:H89"/>
    <mergeCell ref="I88:I89"/>
    <mergeCell ref="J88:J89"/>
    <mergeCell ref="J80:J82"/>
    <mergeCell ref="K80:K82"/>
    <mergeCell ref="L80:L82"/>
    <mergeCell ref="M80:M82"/>
    <mergeCell ref="N80:N82"/>
    <mergeCell ref="O80:O82"/>
    <mergeCell ref="A80:A82"/>
    <mergeCell ref="B80:B82"/>
    <mergeCell ref="H80:H82"/>
    <mergeCell ref="I80:I82"/>
    <mergeCell ref="C80:C82"/>
    <mergeCell ref="E80:E82"/>
    <mergeCell ref="F80:F82"/>
    <mergeCell ref="G80:G82"/>
    <mergeCell ref="I76:I79"/>
    <mergeCell ref="N73:N75"/>
    <mergeCell ref="O73:O75"/>
    <mergeCell ref="P73:P75"/>
    <mergeCell ref="A76:A79"/>
    <mergeCell ref="B76:B79"/>
    <mergeCell ref="C76:C79"/>
    <mergeCell ref="E76:E79"/>
    <mergeCell ref="F76:F79"/>
    <mergeCell ref="G76:G79"/>
    <mergeCell ref="H76:H79"/>
    <mergeCell ref="H73:H75"/>
    <mergeCell ref="I73:I75"/>
    <mergeCell ref="J73:J75"/>
    <mergeCell ref="K73:K75"/>
    <mergeCell ref="L73:L75"/>
    <mergeCell ref="M73:M75"/>
    <mergeCell ref="A73:A75"/>
    <mergeCell ref="B73:B75"/>
    <mergeCell ref="C73:C75"/>
    <mergeCell ref="E73:E75"/>
    <mergeCell ref="F73:F75"/>
    <mergeCell ref="G73:G75"/>
    <mergeCell ref="O76:O79"/>
    <mergeCell ref="P76:P79"/>
    <mergeCell ref="K23:K24"/>
    <mergeCell ref="L23:L24"/>
    <mergeCell ref="M23:M24"/>
    <mergeCell ref="N23:N24"/>
    <mergeCell ref="O23:O24"/>
    <mergeCell ref="P23:P24"/>
    <mergeCell ref="J76:J79"/>
    <mergeCell ref="K76:K79"/>
    <mergeCell ref="L76:L79"/>
    <mergeCell ref="M76:M79"/>
    <mergeCell ref="N76:N79"/>
    <mergeCell ref="A23:A24"/>
    <mergeCell ref="B23:B24"/>
    <mergeCell ref="C23:C24"/>
    <mergeCell ref="E23:E24"/>
    <mergeCell ref="F23:F24"/>
    <mergeCell ref="G23:G24"/>
    <mergeCell ref="H23:H24"/>
    <mergeCell ref="I23:I24"/>
    <mergeCell ref="J23:J24"/>
    <mergeCell ref="A10:B10"/>
    <mergeCell ref="A12:A14"/>
    <mergeCell ref="B12:B14"/>
    <mergeCell ref="C12:C14"/>
    <mergeCell ref="D12:D14"/>
    <mergeCell ref="E12:I12"/>
    <mergeCell ref="N2:Q2"/>
    <mergeCell ref="N3:Q3"/>
    <mergeCell ref="O4:P4"/>
    <mergeCell ref="A6:P6"/>
    <mergeCell ref="A7:P7"/>
    <mergeCell ref="A9:B9"/>
    <mergeCell ref="J12:O12"/>
    <mergeCell ref="P12:P14"/>
    <mergeCell ref="E13:E14"/>
    <mergeCell ref="F13:F14"/>
    <mergeCell ref="G13:H13"/>
    <mergeCell ref="I13:I14"/>
    <mergeCell ref="J13:J14"/>
    <mergeCell ref="K13:K14"/>
    <mergeCell ref="L13:L14"/>
    <mergeCell ref="M13:N13"/>
    <mergeCell ref="O13:O14"/>
  </mergeCells>
  <conditionalFormatting sqref="Q161:R163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Q175:R175 Q174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Q170 Q169:R169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R174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155:R155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151:Q15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151:R15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150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150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156:R159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Q147:R148 Q146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170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146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fitToHeight="0" orientation="landscape" r:id="rId1"/>
  <headerFooter alignWithMargins="0">
    <oddFooter>&amp;C&amp;"Times New Roman Cyr,курсив"Сторінка &amp;P з &amp;N</oddFooter>
  </headerFooter>
  <rowBreaks count="2" manualBreakCount="2">
    <brk id="32" max="15" man="1"/>
    <brk id="54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  <pageSetUpPr fitToPage="1"/>
  </sheetPr>
  <dimension ref="A2:T204"/>
  <sheetViews>
    <sheetView view="pageBreakPreview" zoomScale="25" zoomScaleNormal="25" zoomScaleSheetLayoutView="25" zoomScalePageLayoutView="10" workbookViewId="0">
      <pane ySplit="15" topLeftCell="A20" activePane="bottomLeft" state="frozen"/>
      <selection activeCell="M34" sqref="M34"/>
      <selection pane="bottomLeft" activeCell="F24" sqref="F24"/>
    </sheetView>
  </sheetViews>
  <sheetFormatPr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5" customWidth="1"/>
    <col min="6" max="6" width="62.5703125" style="1" customWidth="1"/>
    <col min="7" max="7" width="55.42578125" style="1" customWidth="1"/>
    <col min="8" max="8" width="48.140625" style="1" customWidth="1"/>
    <col min="9" max="9" width="41.85546875" style="1" customWidth="1"/>
    <col min="10" max="10" width="50.5703125" style="5" customWidth="1"/>
    <col min="11" max="11" width="52.5703125" style="5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56.140625" style="1" bestFit="1" customWidth="1"/>
    <col min="16" max="16" width="86.28515625" style="5" customWidth="1"/>
    <col min="17" max="17" width="52.140625" style="496" customWidth="1"/>
    <col min="18" max="18" width="66.42578125" style="496" bestFit="1" customWidth="1"/>
    <col min="19" max="19" width="9.140625" style="496"/>
    <col min="20" max="20" width="24.7109375" style="496" bestFit="1" customWidth="1"/>
    <col min="21" max="16384" width="9.140625" style="496"/>
  </cols>
  <sheetData>
    <row r="2" spans="1:18" ht="45.75" x14ac:dyDescent="0.2">
      <c r="D2" s="499"/>
      <c r="E2" s="500"/>
      <c r="F2" s="498"/>
      <c r="G2" s="500"/>
      <c r="H2" s="500"/>
      <c r="I2" s="500"/>
      <c r="J2" s="500"/>
      <c r="K2" s="500"/>
      <c r="L2" s="500"/>
      <c r="M2" s="500"/>
      <c r="N2" s="547" t="s">
        <v>702</v>
      </c>
      <c r="O2" s="526"/>
      <c r="P2" s="526"/>
      <c r="Q2" s="526"/>
    </row>
    <row r="3" spans="1:18" ht="45.75" x14ac:dyDescent="0.2">
      <c r="A3" s="499"/>
      <c r="B3" s="499"/>
      <c r="C3" s="499"/>
      <c r="D3" s="499"/>
      <c r="E3" s="500"/>
      <c r="F3" s="498"/>
      <c r="G3" s="500"/>
      <c r="H3" s="500"/>
      <c r="I3" s="500"/>
      <c r="J3" s="500"/>
      <c r="K3" s="500"/>
      <c r="L3" s="500"/>
      <c r="M3" s="500"/>
      <c r="N3" s="547" t="s">
        <v>1007</v>
      </c>
      <c r="O3" s="548"/>
      <c r="P3" s="548"/>
      <c r="Q3" s="548"/>
    </row>
    <row r="4" spans="1:18" ht="40.700000000000003" customHeight="1" x14ac:dyDescent="0.2">
      <c r="A4" s="499"/>
      <c r="B4" s="499"/>
      <c r="C4" s="499"/>
      <c r="D4" s="499"/>
      <c r="E4" s="500"/>
      <c r="F4" s="498"/>
      <c r="G4" s="500"/>
      <c r="H4" s="500"/>
      <c r="I4" s="500"/>
      <c r="J4" s="500"/>
      <c r="K4" s="500"/>
      <c r="L4" s="500"/>
      <c r="M4" s="500"/>
      <c r="N4" s="500"/>
      <c r="O4" s="547"/>
      <c r="P4" s="549"/>
    </row>
    <row r="5" spans="1:18" ht="45.75" hidden="1" x14ac:dyDescent="0.2">
      <c r="A5" s="499"/>
      <c r="B5" s="499"/>
      <c r="C5" s="499"/>
      <c r="D5" s="499"/>
      <c r="E5" s="500"/>
      <c r="F5" s="498"/>
      <c r="G5" s="500"/>
      <c r="H5" s="500"/>
      <c r="I5" s="500"/>
      <c r="J5" s="500"/>
      <c r="K5" s="500"/>
      <c r="L5" s="500"/>
      <c r="M5" s="500"/>
      <c r="N5" s="500"/>
      <c r="O5" s="499"/>
      <c r="P5" s="498"/>
    </row>
    <row r="6" spans="1:18" ht="45" x14ac:dyDescent="0.2">
      <c r="A6" s="550" t="s">
        <v>977</v>
      </c>
      <c r="B6" s="550"/>
      <c r="C6" s="550"/>
      <c r="D6" s="550"/>
      <c r="E6" s="550"/>
      <c r="F6" s="550"/>
      <c r="G6" s="550"/>
      <c r="H6" s="550"/>
      <c r="I6" s="550"/>
      <c r="J6" s="550"/>
      <c r="K6" s="550"/>
      <c r="L6" s="550"/>
      <c r="M6" s="550"/>
      <c r="N6" s="550"/>
      <c r="O6" s="550"/>
      <c r="P6" s="550"/>
    </row>
    <row r="7" spans="1:18" ht="45" x14ac:dyDescent="0.2">
      <c r="A7" s="550" t="s">
        <v>581</v>
      </c>
      <c r="B7" s="550"/>
      <c r="C7" s="550"/>
      <c r="D7" s="550"/>
      <c r="E7" s="550"/>
      <c r="F7" s="550"/>
      <c r="G7" s="550"/>
      <c r="H7" s="550"/>
      <c r="I7" s="550"/>
      <c r="J7" s="550"/>
      <c r="K7" s="550"/>
      <c r="L7" s="550"/>
      <c r="M7" s="550"/>
      <c r="N7" s="550"/>
      <c r="O7" s="550"/>
      <c r="P7" s="550"/>
    </row>
    <row r="8" spans="1:18" ht="45" x14ac:dyDescent="0.2">
      <c r="A8" s="500"/>
      <c r="B8" s="500"/>
      <c r="C8" s="500"/>
      <c r="D8" s="500"/>
      <c r="E8" s="500"/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0"/>
    </row>
    <row r="9" spans="1:18" ht="45.75" x14ac:dyDescent="0.65">
      <c r="A9" s="551">
        <v>22201100000</v>
      </c>
      <c r="B9" s="552"/>
      <c r="C9" s="500"/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500"/>
      <c r="O9" s="500"/>
      <c r="P9" s="500"/>
    </row>
    <row r="10" spans="1:18" ht="45.75" x14ac:dyDescent="0.2">
      <c r="A10" s="542" t="s">
        <v>698</v>
      </c>
      <c r="B10" s="543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  <c r="N10" s="500"/>
      <c r="O10" s="500"/>
      <c r="P10" s="500"/>
    </row>
    <row r="11" spans="1:18" ht="53.45" customHeight="1" thickBot="1" x14ac:dyDescent="0.25">
      <c r="A11" s="500"/>
      <c r="B11" s="500"/>
      <c r="C11" s="500"/>
      <c r="D11" s="500"/>
      <c r="E11" s="500"/>
      <c r="F11" s="498"/>
      <c r="G11" s="500"/>
      <c r="H11" s="500"/>
      <c r="I11" s="500"/>
      <c r="J11" s="500"/>
      <c r="K11" s="500"/>
      <c r="L11" s="500"/>
      <c r="M11" s="500"/>
      <c r="N11" s="500"/>
      <c r="O11" s="500"/>
      <c r="P11" s="6" t="s">
        <v>493</v>
      </c>
    </row>
    <row r="12" spans="1:18" ht="62.45" customHeight="1" thickTop="1" thickBot="1" x14ac:dyDescent="0.25">
      <c r="A12" s="544" t="s">
        <v>699</v>
      </c>
      <c r="B12" s="544" t="s">
        <v>700</v>
      </c>
      <c r="C12" s="544" t="s">
        <v>479</v>
      </c>
      <c r="D12" s="544" t="s">
        <v>701</v>
      </c>
      <c r="E12" s="545" t="s">
        <v>14</v>
      </c>
      <c r="F12" s="545"/>
      <c r="G12" s="545"/>
      <c r="H12" s="545"/>
      <c r="I12" s="545"/>
      <c r="J12" s="545" t="s">
        <v>65</v>
      </c>
      <c r="K12" s="545"/>
      <c r="L12" s="545"/>
      <c r="M12" s="545"/>
      <c r="N12" s="545"/>
      <c r="O12" s="553"/>
      <c r="P12" s="545" t="s">
        <v>13</v>
      </c>
    </row>
    <row r="13" spans="1:18" ht="96" customHeight="1" thickTop="1" thickBot="1" x14ac:dyDescent="0.25">
      <c r="A13" s="545"/>
      <c r="B13" s="546"/>
      <c r="C13" s="546"/>
      <c r="D13" s="545"/>
      <c r="E13" s="544" t="s">
        <v>473</v>
      </c>
      <c r="F13" s="544" t="s">
        <v>66</v>
      </c>
      <c r="G13" s="544" t="s">
        <v>15</v>
      </c>
      <c r="H13" s="544"/>
      <c r="I13" s="544" t="s">
        <v>68</v>
      </c>
      <c r="J13" s="544" t="s">
        <v>473</v>
      </c>
      <c r="K13" s="544" t="s">
        <v>474</v>
      </c>
      <c r="L13" s="544" t="s">
        <v>66</v>
      </c>
      <c r="M13" s="544" t="s">
        <v>15</v>
      </c>
      <c r="N13" s="544"/>
      <c r="O13" s="544" t="s">
        <v>68</v>
      </c>
      <c r="P13" s="545"/>
    </row>
    <row r="14" spans="1:18" ht="276" customHeight="1" thickTop="1" thickBot="1" x14ac:dyDescent="0.25">
      <c r="A14" s="546"/>
      <c r="B14" s="546"/>
      <c r="C14" s="546"/>
      <c r="D14" s="546"/>
      <c r="E14" s="544"/>
      <c r="F14" s="544"/>
      <c r="G14" s="497" t="s">
        <v>67</v>
      </c>
      <c r="H14" s="497" t="s">
        <v>17</v>
      </c>
      <c r="I14" s="544"/>
      <c r="J14" s="544"/>
      <c r="K14" s="544"/>
      <c r="L14" s="544"/>
      <c r="M14" s="497" t="s">
        <v>67</v>
      </c>
      <c r="N14" s="497" t="s">
        <v>17</v>
      </c>
      <c r="O14" s="544"/>
      <c r="P14" s="545"/>
    </row>
    <row r="15" spans="1:18" s="2" customFormat="1" ht="111" customHeight="1" thickTop="1" thickBot="1" x14ac:dyDescent="0.25">
      <c r="A15" s="174" t="s">
        <v>3</v>
      </c>
      <c r="B15" s="174" t="s">
        <v>4</v>
      </c>
      <c r="C15" s="174" t="s">
        <v>16</v>
      </c>
      <c r="D15" s="174" t="s">
        <v>6</v>
      </c>
      <c r="E15" s="174" t="s">
        <v>481</v>
      </c>
      <c r="F15" s="174" t="s">
        <v>482</v>
      </c>
      <c r="G15" s="174" t="s">
        <v>483</v>
      </c>
      <c r="H15" s="174" t="s">
        <v>484</v>
      </c>
      <c r="I15" s="174" t="s">
        <v>485</v>
      </c>
      <c r="J15" s="174" t="s">
        <v>486</v>
      </c>
      <c r="K15" s="174" t="s">
        <v>487</v>
      </c>
      <c r="L15" s="174" t="s">
        <v>488</v>
      </c>
      <c r="M15" s="174" t="s">
        <v>489</v>
      </c>
      <c r="N15" s="174" t="s">
        <v>490</v>
      </c>
      <c r="O15" s="174" t="s">
        <v>491</v>
      </c>
      <c r="P15" s="174" t="s">
        <v>492</v>
      </c>
      <c r="Q15" s="327"/>
      <c r="R15" s="161"/>
    </row>
    <row r="16" spans="1:18" s="2" customFormat="1" ht="136.5" thickTop="1" thickBot="1" x14ac:dyDescent="0.25">
      <c r="A16" s="350" t="s">
        <v>188</v>
      </c>
      <c r="B16" s="350"/>
      <c r="C16" s="350"/>
      <c r="D16" s="351" t="s">
        <v>190</v>
      </c>
      <c r="E16" s="352">
        <f>E17</f>
        <v>98594800</v>
      </c>
      <c r="F16" s="353">
        <f t="shared" ref="F16:N16" si="0">F17</f>
        <v>98594800</v>
      </c>
      <c r="G16" s="353">
        <f t="shared" si="0"/>
        <v>62318100</v>
      </c>
      <c r="H16" s="353">
        <f t="shared" si="0"/>
        <v>2413900</v>
      </c>
      <c r="I16" s="352">
        <f t="shared" si="0"/>
        <v>0</v>
      </c>
      <c r="J16" s="352">
        <f t="shared" si="0"/>
        <v>7794446</v>
      </c>
      <c r="K16" s="353">
        <f t="shared" si="0"/>
        <v>5317946</v>
      </c>
      <c r="L16" s="353">
        <f t="shared" si="0"/>
        <v>2446500</v>
      </c>
      <c r="M16" s="353">
        <f t="shared" si="0"/>
        <v>0</v>
      </c>
      <c r="N16" s="352">
        <f t="shared" si="0"/>
        <v>0</v>
      </c>
      <c r="O16" s="352">
        <f>O17</f>
        <v>5347946</v>
      </c>
      <c r="P16" s="353">
        <f t="shared" ref="P16" si="1">P17</f>
        <v>106389246</v>
      </c>
    </row>
    <row r="17" spans="1:20" s="2" customFormat="1" ht="136.5" thickTop="1" thickBot="1" x14ac:dyDescent="0.25">
      <c r="A17" s="354" t="s">
        <v>189</v>
      </c>
      <c r="B17" s="354"/>
      <c r="C17" s="354"/>
      <c r="D17" s="355" t="s">
        <v>191</v>
      </c>
      <c r="E17" s="356">
        <f>SUM(E18:E27)</f>
        <v>98594800</v>
      </c>
      <c r="F17" s="356">
        <f t="shared" ref="F17:O17" si="2">SUM(F18:F27)</f>
        <v>98594800</v>
      </c>
      <c r="G17" s="356">
        <f t="shared" si="2"/>
        <v>62318100</v>
      </c>
      <c r="H17" s="356">
        <f t="shared" si="2"/>
        <v>2413900</v>
      </c>
      <c r="I17" s="356">
        <f t="shared" si="2"/>
        <v>0</v>
      </c>
      <c r="J17" s="356">
        <f t="shared" ref="J17:J22" si="3">L17+O17</f>
        <v>7794446</v>
      </c>
      <c r="K17" s="356">
        <f t="shared" si="2"/>
        <v>5317946</v>
      </c>
      <c r="L17" s="356">
        <f t="shared" si="2"/>
        <v>2446500</v>
      </c>
      <c r="M17" s="356">
        <f t="shared" si="2"/>
        <v>0</v>
      </c>
      <c r="N17" s="356">
        <f t="shared" si="2"/>
        <v>0</v>
      </c>
      <c r="O17" s="356">
        <f t="shared" si="2"/>
        <v>5347946</v>
      </c>
      <c r="P17" s="357">
        <f>E17+J17</f>
        <v>106389246</v>
      </c>
      <c r="Q17" s="328" t="b">
        <f>P18+P19+P20+P21+P25+P26+P22+P24+P27=P17</f>
        <v>1</v>
      </c>
      <c r="R17" s="328" t="b">
        <f>K17=[1]d5!J12</f>
        <v>1</v>
      </c>
    </row>
    <row r="18" spans="1:20" ht="321.75" thickTop="1" thickBot="1" x14ac:dyDescent="0.25">
      <c r="A18" s="507" t="s">
        <v>282</v>
      </c>
      <c r="B18" s="507" t="s">
        <v>283</v>
      </c>
      <c r="C18" s="507" t="s">
        <v>284</v>
      </c>
      <c r="D18" s="507" t="s">
        <v>281</v>
      </c>
      <c r="E18" s="510">
        <f t="shared" ref="E18:E27" si="4">F18</f>
        <v>85960700</v>
      </c>
      <c r="F18" s="231">
        <f>((89353900)-2000000)-1393200</f>
        <v>85960700</v>
      </c>
      <c r="G18" s="231">
        <f>((64432700)-979400)-1135200</f>
        <v>62318100</v>
      </c>
      <c r="H18" s="231">
        <f>1650000+35500+673300+3400+51700</f>
        <v>2413900</v>
      </c>
      <c r="I18" s="231"/>
      <c r="J18" s="510">
        <f t="shared" si="3"/>
        <v>595300</v>
      </c>
      <c r="K18" s="231">
        <f>(275000+51000+49900+100000+78000+200000)-158600</f>
        <v>595300</v>
      </c>
      <c r="L18" s="254"/>
      <c r="M18" s="255"/>
      <c r="N18" s="255"/>
      <c r="O18" s="511">
        <f>K18</f>
        <v>595300</v>
      </c>
      <c r="P18" s="510">
        <f>+J18+E18</f>
        <v>86556000</v>
      </c>
      <c r="Q18" s="329"/>
      <c r="R18" s="328" t="b">
        <f>K18=[1]d5!J13+[1]d5!J14+[1]d5!J15+[1]d5!J16</f>
        <v>1</v>
      </c>
    </row>
    <row r="19" spans="1:20" ht="93" thickTop="1" thickBot="1" x14ac:dyDescent="0.25">
      <c r="A19" s="507" t="s">
        <v>297</v>
      </c>
      <c r="B19" s="507" t="s">
        <v>53</v>
      </c>
      <c r="C19" s="507" t="s">
        <v>52</v>
      </c>
      <c r="D19" s="507" t="s">
        <v>298</v>
      </c>
      <c r="E19" s="510">
        <f t="shared" si="4"/>
        <v>2553800</v>
      </c>
      <c r="F19" s="512">
        <f>((3172750)-660000)+41050</f>
        <v>2553800</v>
      </c>
      <c r="G19" s="512"/>
      <c r="H19" s="512"/>
      <c r="I19" s="512"/>
      <c r="J19" s="510">
        <f t="shared" si="3"/>
        <v>0</v>
      </c>
      <c r="K19" s="512"/>
      <c r="L19" s="512"/>
      <c r="M19" s="512"/>
      <c r="N19" s="512"/>
      <c r="O19" s="511">
        <f>K19</f>
        <v>0</v>
      </c>
      <c r="P19" s="510">
        <f>E19+J19</f>
        <v>2553800</v>
      </c>
      <c r="Q19" s="329"/>
      <c r="R19" s="328"/>
    </row>
    <row r="20" spans="1:20" ht="93" thickTop="1" thickBot="1" x14ac:dyDescent="0.25">
      <c r="A20" s="507" t="s">
        <v>288</v>
      </c>
      <c r="B20" s="507" t="s">
        <v>289</v>
      </c>
      <c r="C20" s="507" t="s">
        <v>290</v>
      </c>
      <c r="D20" s="507" t="s">
        <v>287</v>
      </c>
      <c r="E20" s="510">
        <f t="shared" si="4"/>
        <v>4094100</v>
      </c>
      <c r="F20" s="512">
        <f>(4082100)+12000</f>
        <v>4094100</v>
      </c>
      <c r="G20" s="512"/>
      <c r="H20" s="512"/>
      <c r="I20" s="512"/>
      <c r="J20" s="510">
        <f t="shared" si="3"/>
        <v>1334646</v>
      </c>
      <c r="K20" s="512">
        <f>(1300000)+51646-17000</f>
        <v>1334646</v>
      </c>
      <c r="L20" s="512"/>
      <c r="M20" s="512"/>
      <c r="N20" s="512"/>
      <c r="O20" s="511">
        <f>K20</f>
        <v>1334646</v>
      </c>
      <c r="P20" s="510">
        <f>+J20+E20</f>
        <v>5428746</v>
      </c>
      <c r="Q20" s="329"/>
      <c r="R20" s="328" t="b">
        <f>K20=[1]d5!J17</f>
        <v>1</v>
      </c>
    </row>
    <row r="21" spans="1:20" ht="138.75" thickTop="1" thickBot="1" x14ac:dyDescent="0.25">
      <c r="A21" s="507" t="s">
        <v>354</v>
      </c>
      <c r="B21" s="507" t="s">
        <v>355</v>
      </c>
      <c r="C21" s="507" t="s">
        <v>210</v>
      </c>
      <c r="D21" s="507" t="s">
        <v>589</v>
      </c>
      <c r="E21" s="510">
        <f t="shared" si="4"/>
        <v>162800</v>
      </c>
      <c r="F21" s="512">
        <v>162800</v>
      </c>
      <c r="G21" s="512"/>
      <c r="H21" s="512"/>
      <c r="I21" s="512"/>
      <c r="J21" s="510">
        <f t="shared" si="3"/>
        <v>0</v>
      </c>
      <c r="K21" s="512"/>
      <c r="L21" s="512"/>
      <c r="M21" s="512"/>
      <c r="N21" s="512"/>
      <c r="O21" s="511">
        <f>K21</f>
        <v>0</v>
      </c>
      <c r="P21" s="510">
        <f>+J21+E21</f>
        <v>162800</v>
      </c>
      <c r="Q21" s="329"/>
      <c r="R21" s="328"/>
    </row>
    <row r="22" spans="1:20" s="94" customFormat="1" ht="361.5" customHeight="1" thickTop="1" thickBot="1" x14ac:dyDescent="0.7">
      <c r="A22" s="650" t="s">
        <v>413</v>
      </c>
      <c r="B22" s="650" t="s">
        <v>412</v>
      </c>
      <c r="C22" s="650" t="s">
        <v>210</v>
      </c>
      <c r="D22" s="234" t="s">
        <v>585</v>
      </c>
      <c r="E22" s="666">
        <f t="shared" si="4"/>
        <v>0</v>
      </c>
      <c r="F22" s="653"/>
      <c r="G22" s="657"/>
      <c r="H22" s="657"/>
      <c r="I22" s="657"/>
      <c r="J22" s="666">
        <f t="shared" si="3"/>
        <v>2476500</v>
      </c>
      <c r="K22" s="657"/>
      <c r="L22" s="657">
        <f>(3476500-30000)-1000000</f>
        <v>2446500</v>
      </c>
      <c r="M22" s="657"/>
      <c r="N22" s="657"/>
      <c r="O22" s="669">
        <f>(K22+30000)</f>
        <v>30000</v>
      </c>
      <c r="P22" s="670">
        <f>E22+J22</f>
        <v>2476500</v>
      </c>
      <c r="Q22" s="330">
        <f>P22</f>
        <v>2476500</v>
      </c>
    </row>
    <row r="23" spans="1:20" s="94" customFormat="1" ht="184.5" thickTop="1" thickBot="1" x14ac:dyDescent="0.25">
      <c r="A23" s="641"/>
      <c r="B23" s="641"/>
      <c r="C23" s="641"/>
      <c r="D23" s="235" t="s">
        <v>586</v>
      </c>
      <c r="E23" s="641"/>
      <c r="F23" s="654"/>
      <c r="G23" s="671"/>
      <c r="H23" s="671"/>
      <c r="I23" s="671"/>
      <c r="J23" s="641"/>
      <c r="K23" s="641"/>
      <c r="L23" s="671"/>
      <c r="M23" s="671"/>
      <c r="N23" s="671"/>
      <c r="O23" s="672"/>
      <c r="P23" s="673"/>
    </row>
    <row r="24" spans="1:20" s="94" customFormat="1" ht="93" thickTop="1" thickBot="1" x14ac:dyDescent="0.25">
      <c r="A24" s="513" t="s">
        <v>734</v>
      </c>
      <c r="B24" s="513" t="s">
        <v>308</v>
      </c>
      <c r="C24" s="513" t="s">
        <v>210</v>
      </c>
      <c r="D24" s="513" t="s">
        <v>306</v>
      </c>
      <c r="E24" s="514">
        <f>F24</f>
        <v>0</v>
      </c>
      <c r="F24" s="515"/>
      <c r="G24" s="516"/>
      <c r="H24" s="516"/>
      <c r="I24" s="516"/>
      <c r="J24" s="514">
        <f>L24+O24</f>
        <v>0</v>
      </c>
      <c r="K24" s="517"/>
      <c r="L24" s="516"/>
      <c r="M24" s="516"/>
      <c r="N24" s="516"/>
      <c r="O24" s="518"/>
      <c r="P24" s="514">
        <f>E24+J24</f>
        <v>0</v>
      </c>
    </row>
    <row r="25" spans="1:20" ht="93" thickTop="1" thickBot="1" x14ac:dyDescent="0.25">
      <c r="A25" s="507" t="s">
        <v>291</v>
      </c>
      <c r="B25" s="507" t="s">
        <v>292</v>
      </c>
      <c r="C25" s="507" t="s">
        <v>293</v>
      </c>
      <c r="D25" s="507" t="s">
        <v>294</v>
      </c>
      <c r="E25" s="510">
        <f>F25</f>
        <v>5313400</v>
      </c>
      <c r="F25" s="512">
        <f>(4653400)+660000</f>
        <v>5313400</v>
      </c>
      <c r="G25" s="512"/>
      <c r="H25" s="512"/>
      <c r="I25" s="512"/>
      <c r="J25" s="510">
        <f>L25+O25</f>
        <v>0</v>
      </c>
      <c r="K25" s="512"/>
      <c r="L25" s="512"/>
      <c r="M25" s="512"/>
      <c r="N25" s="512"/>
      <c r="O25" s="511">
        <f>K25</f>
        <v>0</v>
      </c>
      <c r="P25" s="510">
        <f>E25+J25</f>
        <v>5313400</v>
      </c>
    </row>
    <row r="26" spans="1:20" ht="276" thickTop="1" thickBot="1" x14ac:dyDescent="0.25">
      <c r="A26" s="507" t="s">
        <v>295</v>
      </c>
      <c r="B26" s="507" t="s">
        <v>296</v>
      </c>
      <c r="C26" s="507" t="s">
        <v>53</v>
      </c>
      <c r="D26" s="507" t="s">
        <v>590</v>
      </c>
      <c r="E26" s="510">
        <f t="shared" si="4"/>
        <v>200000</v>
      </c>
      <c r="F26" s="512">
        <f>(200000)</f>
        <v>200000</v>
      </c>
      <c r="G26" s="512"/>
      <c r="H26" s="512"/>
      <c r="I26" s="512"/>
      <c r="J26" s="510">
        <f>L26+O26</f>
        <v>0</v>
      </c>
      <c r="K26" s="512"/>
      <c r="L26" s="512"/>
      <c r="M26" s="512"/>
      <c r="N26" s="512"/>
      <c r="O26" s="511">
        <f>K26</f>
        <v>0</v>
      </c>
      <c r="P26" s="510">
        <f>E26+J26</f>
        <v>200000</v>
      </c>
    </row>
    <row r="27" spans="1:20" ht="184.5" thickTop="1" thickBot="1" x14ac:dyDescent="0.25">
      <c r="A27" s="507" t="s">
        <v>735</v>
      </c>
      <c r="B27" s="507" t="s">
        <v>736</v>
      </c>
      <c r="C27" s="507" t="s">
        <v>53</v>
      </c>
      <c r="D27" s="507" t="s">
        <v>737</v>
      </c>
      <c r="E27" s="510">
        <f t="shared" si="4"/>
        <v>310000</v>
      </c>
      <c r="F27" s="512">
        <f>100000+150000+60000</f>
        <v>310000</v>
      </c>
      <c r="G27" s="512"/>
      <c r="H27" s="512"/>
      <c r="I27" s="512"/>
      <c r="J27" s="510">
        <f>L27+O27</f>
        <v>3388000</v>
      </c>
      <c r="K27" s="512">
        <f>3048000+300000+40000</f>
        <v>3388000</v>
      </c>
      <c r="L27" s="512"/>
      <c r="M27" s="512"/>
      <c r="N27" s="512"/>
      <c r="O27" s="511">
        <f>K27</f>
        <v>3388000</v>
      </c>
      <c r="P27" s="510">
        <f>E27+J27</f>
        <v>3698000</v>
      </c>
      <c r="R27" s="328" t="b">
        <f>K27=[1]d5!J18+[1]d5!J19</f>
        <v>1</v>
      </c>
    </row>
    <row r="28" spans="1:20" ht="136.5" thickTop="1" thickBot="1" x14ac:dyDescent="0.25">
      <c r="A28" s="350" t="s">
        <v>192</v>
      </c>
      <c r="B28" s="350"/>
      <c r="C28" s="350"/>
      <c r="D28" s="351" t="s">
        <v>0</v>
      </c>
      <c r="E28" s="352">
        <f>E29</f>
        <v>1155890487.52</v>
      </c>
      <c r="F28" s="353">
        <f t="shared" ref="F28:G28" si="5">F29</f>
        <v>1155890487.52</v>
      </c>
      <c r="G28" s="353">
        <f t="shared" si="5"/>
        <v>811461021.53999996</v>
      </c>
      <c r="H28" s="353">
        <f>H29</f>
        <v>67556009</v>
      </c>
      <c r="I28" s="352">
        <f t="shared" ref="I28" si="6">I29</f>
        <v>0</v>
      </c>
      <c r="J28" s="352">
        <f>J29</f>
        <v>180038599.69999999</v>
      </c>
      <c r="K28" s="353">
        <f>K29</f>
        <v>44322639.700000003</v>
      </c>
      <c r="L28" s="353">
        <f>L29</f>
        <v>133662020</v>
      </c>
      <c r="M28" s="353">
        <f t="shared" ref="M28" si="7">M29</f>
        <v>38591784</v>
      </c>
      <c r="N28" s="352">
        <f>N29</f>
        <v>8785330</v>
      </c>
      <c r="O28" s="352">
        <f>O29</f>
        <v>46376579.700000003</v>
      </c>
      <c r="P28" s="353">
        <f t="shared" ref="P28" si="8">P29</f>
        <v>1335929087.22</v>
      </c>
    </row>
    <row r="29" spans="1:20" ht="136.5" thickTop="1" thickBot="1" x14ac:dyDescent="0.25">
      <c r="A29" s="354" t="s">
        <v>193</v>
      </c>
      <c r="B29" s="354"/>
      <c r="C29" s="354"/>
      <c r="D29" s="355" t="s">
        <v>1</v>
      </c>
      <c r="E29" s="356">
        <f>SUM(E30:E40)</f>
        <v>1155890487.52</v>
      </c>
      <c r="F29" s="356">
        <f t="shared" ref="F29:I29" si="9">SUM(F30:F40)</f>
        <v>1155890487.52</v>
      </c>
      <c r="G29" s="356">
        <f t="shared" si="9"/>
        <v>811461021.53999996</v>
      </c>
      <c r="H29" s="356">
        <f t="shared" si="9"/>
        <v>67556009</v>
      </c>
      <c r="I29" s="356">
        <f t="shared" si="9"/>
        <v>0</v>
      </c>
      <c r="J29" s="356">
        <f>L29+O29</f>
        <v>180038599.69999999</v>
      </c>
      <c r="K29" s="356">
        <f>SUM(K30:K40)</f>
        <v>44322639.700000003</v>
      </c>
      <c r="L29" s="356">
        <f>SUM(L30:L40)</f>
        <v>133662020</v>
      </c>
      <c r="M29" s="356">
        <f>SUM(M30:M40)</f>
        <v>38591784</v>
      </c>
      <c r="N29" s="356">
        <f>SUM(N30:N40)</f>
        <v>8785330</v>
      </c>
      <c r="O29" s="356">
        <f>SUM(O30:O40)</f>
        <v>46376579.700000003</v>
      </c>
      <c r="P29" s="357">
        <f t="shared" ref="P29:P38" si="10">E29+J29</f>
        <v>1335929087.22</v>
      </c>
      <c r="Q29" s="328" t="b">
        <f>P29=P30+P31+P32+P33+P34+P35+P36+P37+P39+P38+P40</f>
        <v>1</v>
      </c>
      <c r="R29" s="328" t="b">
        <f>K29=[1]d5!J22</f>
        <v>1</v>
      </c>
    </row>
    <row r="30" spans="1:20" ht="99" customHeight="1" thickTop="1" thickBot="1" x14ac:dyDescent="0.6">
      <c r="A30" s="507" t="s">
        <v>244</v>
      </c>
      <c r="B30" s="507" t="s">
        <v>245</v>
      </c>
      <c r="C30" s="507" t="s">
        <v>247</v>
      </c>
      <c r="D30" s="507" t="s">
        <v>248</v>
      </c>
      <c r="E30" s="510">
        <f>F30</f>
        <v>327506166.56999999</v>
      </c>
      <c r="F30" s="512">
        <f>(348947961+1301540+286340+40720)-8420025.93-58264-10000000-4000000-226000-1000000-109985-17419.5+761300</f>
        <v>327506166.56999999</v>
      </c>
      <c r="G30" s="512">
        <f>(233361000+1301540)-7220025.93-47764-109985-17419.5</f>
        <v>227267345.56999999</v>
      </c>
      <c r="H30" s="512">
        <f>(26988721)-4000000-226000-1000000</f>
        <v>21762721</v>
      </c>
      <c r="I30" s="512"/>
      <c r="J30" s="510">
        <f t="shared" ref="J30:J38" si="11">L30+O30</f>
        <v>60841245</v>
      </c>
      <c r="K30" s="512">
        <f>(((2495735)+814300)+2350000+167800-929100)+500000</f>
        <v>5398735</v>
      </c>
      <c r="L30" s="512">
        <v>54872710</v>
      </c>
      <c r="M30" s="512">
        <v>11945140</v>
      </c>
      <c r="N30" s="512">
        <v>675470</v>
      </c>
      <c r="O30" s="511">
        <f>K30+569800</f>
        <v>5968535</v>
      </c>
      <c r="P30" s="510">
        <f t="shared" si="10"/>
        <v>388347411.56999999</v>
      </c>
      <c r="Q30" s="331"/>
      <c r="R30" s="328" t="b">
        <f>K30=[1]d5!J23+[1]d5!J25+[1]d5!J26+[1]d5!J27+[1]d5!J30</f>
        <v>1</v>
      </c>
    </row>
    <row r="31" spans="1:20" ht="230.25" thickTop="1" thickBot="1" x14ac:dyDescent="0.6">
      <c r="A31" s="507" t="s">
        <v>249</v>
      </c>
      <c r="B31" s="507" t="s">
        <v>246</v>
      </c>
      <c r="C31" s="507" t="s">
        <v>250</v>
      </c>
      <c r="D31" s="507" t="s">
        <v>712</v>
      </c>
      <c r="E31" s="510">
        <f t="shared" ref="E31:E36" si="12">F31</f>
        <v>645026666.95000005</v>
      </c>
      <c r="F31" s="512">
        <f>((691014708)-4247665.3-900000-23685400+78670.27+93.98-6447-1400-2291500+1654860-14000000-3000000-106000-1000000+55870+201300+892577-200000)+8708400-8708400+107175+397000+62825</f>
        <v>645026666.95000005</v>
      </c>
      <c r="G31" s="512">
        <f>((467595470+23685400)-4247665.3-23685400+78670.27-6447)+8708400-8708400</f>
        <v>463420027.96999997</v>
      </c>
      <c r="H31" s="512">
        <f>((26854977)+9230100)-3000000-106000-1000000</f>
        <v>31979077</v>
      </c>
      <c r="I31" s="512"/>
      <c r="J31" s="510">
        <f t="shared" si="11"/>
        <v>83655652.819999993</v>
      </c>
      <c r="K31" s="512">
        <f>(((15297873)+1308980)-15880+5913611+588933+174277+145723+1452531+604430+442740+1614679+3636425.32+2380573+217419.5-450000)+548-62825-380775+273600-400000</f>
        <v>32742862.82</v>
      </c>
      <c r="L31" s="512">
        <v>49999650</v>
      </c>
      <c r="M31" s="512">
        <v>17473000</v>
      </c>
      <c r="N31" s="512">
        <v>1060740</v>
      </c>
      <c r="O31" s="511">
        <f>K31+913140</f>
        <v>33656002.82</v>
      </c>
      <c r="P31" s="510">
        <f t="shared" si="10"/>
        <v>728682319.76999998</v>
      </c>
      <c r="Q31" s="331"/>
      <c r="R31" s="328" t="b">
        <f>K31=[1]d5!J31+[1]d5!J32+[1]d5!J33+[1]d5!J34+[1]d5!J35+[1]d5!J36+[1]d5!J37+[1]d5!J38+[1]d5!J40+[1]d5!J41+[1]d5!J43+[1]d5!J44+[1]d5!J45+[1]d5!J46+[1]d5!J47+[1]d5!J48+[1]d5!J49+[1]d5!J51+[1]d5!J53+[1]d5!J52</f>
        <v>1</v>
      </c>
      <c r="T31" s="332"/>
    </row>
    <row r="32" spans="1:20" ht="276" thickTop="1" thickBot="1" x14ac:dyDescent="0.25">
      <c r="A32" s="507" t="s">
        <v>714</v>
      </c>
      <c r="B32" s="507" t="s">
        <v>251</v>
      </c>
      <c r="C32" s="507" t="s">
        <v>253</v>
      </c>
      <c r="D32" s="507" t="s">
        <v>713</v>
      </c>
      <c r="E32" s="510">
        <f t="shared" si="12"/>
        <v>19540399</v>
      </c>
      <c r="F32" s="512">
        <f>((19860814)-8500+5085-400000+80000)+3000</f>
        <v>19540399</v>
      </c>
      <c r="G32" s="512">
        <v>14672200</v>
      </c>
      <c r="H32" s="512">
        <v>865142</v>
      </c>
      <c r="I32" s="512"/>
      <c r="J32" s="510">
        <f t="shared" si="11"/>
        <v>120951</v>
      </c>
      <c r="K32" s="512">
        <f>((32000)+16250+1849+548+19452)-548</f>
        <v>69551</v>
      </c>
      <c r="L32" s="512">
        <v>51400</v>
      </c>
      <c r="M32" s="512"/>
      <c r="N32" s="512">
        <v>30200</v>
      </c>
      <c r="O32" s="511">
        <f>K32</f>
        <v>69551</v>
      </c>
      <c r="P32" s="510">
        <f t="shared" si="10"/>
        <v>19661350</v>
      </c>
      <c r="R32" s="328" t="b">
        <f>K32=[1]d5!J54</f>
        <v>1</v>
      </c>
    </row>
    <row r="33" spans="1:18" ht="184.5" thickTop="1" thickBot="1" x14ac:dyDescent="0.25">
      <c r="A33" s="507" t="s">
        <v>254</v>
      </c>
      <c r="B33" s="507" t="s">
        <v>237</v>
      </c>
      <c r="C33" s="507" t="s">
        <v>226</v>
      </c>
      <c r="D33" s="507" t="s">
        <v>715</v>
      </c>
      <c r="E33" s="510">
        <f t="shared" si="12"/>
        <v>33162848</v>
      </c>
      <c r="F33" s="512">
        <f>((32917848)+195000+50000)</f>
        <v>33162848</v>
      </c>
      <c r="G33" s="512">
        <f>(23883848)</f>
        <v>23883848</v>
      </c>
      <c r="H33" s="512">
        <v>2110447</v>
      </c>
      <c r="I33" s="512"/>
      <c r="J33" s="510">
        <f t="shared" si="11"/>
        <v>12351310</v>
      </c>
      <c r="K33" s="512">
        <f>(2500000)+2000000+619000</f>
        <v>5119000</v>
      </c>
      <c r="L33" s="512">
        <v>7117310</v>
      </c>
      <c r="M33" s="512">
        <v>2370000</v>
      </c>
      <c r="N33" s="512">
        <v>248940</v>
      </c>
      <c r="O33" s="511">
        <f>K33+115000</f>
        <v>5234000</v>
      </c>
      <c r="P33" s="510">
        <f t="shared" si="10"/>
        <v>45514158</v>
      </c>
      <c r="R33" s="328" t="b">
        <f>K33=[1]d5!J55+[1]d5!J56+[1]d5!J57</f>
        <v>1</v>
      </c>
    </row>
    <row r="34" spans="1:18" ht="184.5" thickTop="1" thickBot="1" x14ac:dyDescent="0.25">
      <c r="A34" s="507" t="s">
        <v>255</v>
      </c>
      <c r="B34" s="507" t="s">
        <v>256</v>
      </c>
      <c r="C34" s="507" t="s">
        <v>257</v>
      </c>
      <c r="D34" s="507" t="s">
        <v>717</v>
      </c>
      <c r="E34" s="510">
        <f t="shared" si="12"/>
        <v>98915700</v>
      </c>
      <c r="F34" s="512">
        <f>(99925935)-800000-100000-400000+289765</f>
        <v>98915700</v>
      </c>
      <c r="G34" s="512">
        <v>60000000</v>
      </c>
      <c r="H34" s="512">
        <f>(11250195)-800000-100000-400000</f>
        <v>9950195</v>
      </c>
      <c r="I34" s="512"/>
      <c r="J34" s="510">
        <f>L34+O34</f>
        <v>21477810</v>
      </c>
      <c r="K34" s="512"/>
      <c r="L34" s="512">
        <f>20991810+30000</f>
        <v>21021810</v>
      </c>
      <c r="M34" s="512">
        <v>6715654</v>
      </c>
      <c r="N34" s="512">
        <f>6731270+30000</f>
        <v>6761270</v>
      </c>
      <c r="O34" s="511">
        <f>K34+486000-30000</f>
        <v>456000</v>
      </c>
      <c r="P34" s="510">
        <f t="shared" si="10"/>
        <v>120393510</v>
      </c>
      <c r="R34" s="328"/>
    </row>
    <row r="35" spans="1:18" ht="93" thickTop="1" thickBot="1" x14ac:dyDescent="0.25">
      <c r="A35" s="507" t="s">
        <v>258</v>
      </c>
      <c r="B35" s="507" t="s">
        <v>259</v>
      </c>
      <c r="C35" s="507" t="s">
        <v>260</v>
      </c>
      <c r="D35" s="507" t="s">
        <v>718</v>
      </c>
      <c r="E35" s="510">
        <f t="shared" si="12"/>
        <v>5193490</v>
      </c>
      <c r="F35" s="512">
        <v>5193490</v>
      </c>
      <c r="G35" s="512">
        <v>3586600</v>
      </c>
      <c r="H35" s="512">
        <v>185490</v>
      </c>
      <c r="I35" s="512"/>
      <c r="J35" s="510">
        <f t="shared" si="11"/>
        <v>63500</v>
      </c>
      <c r="K35" s="512"/>
      <c r="L35" s="512">
        <v>63500</v>
      </c>
      <c r="M35" s="512"/>
      <c r="N35" s="512"/>
      <c r="O35" s="511">
        <f t="shared" ref="O35:O38" si="13">K35</f>
        <v>0</v>
      </c>
      <c r="P35" s="510">
        <f t="shared" si="10"/>
        <v>5256990</v>
      </c>
      <c r="R35" s="333"/>
    </row>
    <row r="36" spans="1:18" s="94" customFormat="1" ht="93" thickTop="1" thickBot="1" x14ac:dyDescent="0.25">
      <c r="A36" s="507" t="s">
        <v>389</v>
      </c>
      <c r="B36" s="507" t="s">
        <v>390</v>
      </c>
      <c r="C36" s="507" t="s">
        <v>260</v>
      </c>
      <c r="D36" s="507" t="s">
        <v>719</v>
      </c>
      <c r="E36" s="510">
        <f t="shared" si="12"/>
        <v>20190430</v>
      </c>
      <c r="F36" s="512">
        <f>(20115430)+30000+45000</f>
        <v>20190430</v>
      </c>
      <c r="G36" s="512">
        <v>15415700</v>
      </c>
      <c r="H36" s="512">
        <v>656555</v>
      </c>
      <c r="I36" s="512"/>
      <c r="J36" s="510">
        <f t="shared" si="11"/>
        <v>535640</v>
      </c>
      <c r="K36" s="512"/>
      <c r="L36" s="512">
        <v>535640</v>
      </c>
      <c r="M36" s="512">
        <v>87990</v>
      </c>
      <c r="N36" s="512">
        <v>8710</v>
      </c>
      <c r="O36" s="511">
        <f t="shared" si="13"/>
        <v>0</v>
      </c>
      <c r="P36" s="510">
        <f t="shared" si="10"/>
        <v>20726070</v>
      </c>
      <c r="R36" s="328"/>
    </row>
    <row r="37" spans="1:18" s="94" customFormat="1" ht="93" thickTop="1" thickBot="1" x14ac:dyDescent="0.25">
      <c r="A37" s="507" t="s">
        <v>410</v>
      </c>
      <c r="B37" s="507" t="s">
        <v>411</v>
      </c>
      <c r="C37" s="507" t="s">
        <v>260</v>
      </c>
      <c r="D37" s="507" t="s">
        <v>409</v>
      </c>
      <c r="E37" s="510">
        <f>F37</f>
        <v>156200</v>
      </c>
      <c r="F37" s="512">
        <f>(156200)</f>
        <v>156200</v>
      </c>
      <c r="G37" s="512"/>
      <c r="H37" s="512"/>
      <c r="I37" s="512"/>
      <c r="J37" s="510">
        <f t="shared" si="11"/>
        <v>0</v>
      </c>
      <c r="K37" s="512"/>
      <c r="L37" s="512"/>
      <c r="M37" s="512"/>
      <c r="N37" s="512"/>
      <c r="O37" s="511">
        <f t="shared" si="13"/>
        <v>0</v>
      </c>
      <c r="P37" s="510">
        <f t="shared" si="10"/>
        <v>156200</v>
      </c>
      <c r="R37" s="333"/>
    </row>
    <row r="38" spans="1:18" s="94" customFormat="1" ht="93" thickTop="1" thickBot="1" x14ac:dyDescent="0.25">
      <c r="A38" s="507" t="s">
        <v>544</v>
      </c>
      <c r="B38" s="507" t="s">
        <v>545</v>
      </c>
      <c r="C38" s="507" t="s">
        <v>260</v>
      </c>
      <c r="D38" s="507" t="s">
        <v>546</v>
      </c>
      <c r="E38" s="510">
        <f>F38</f>
        <v>4098587</v>
      </c>
      <c r="F38" s="512">
        <f>(2167787+1649700+1588600)-1307500</f>
        <v>4098587</v>
      </c>
      <c r="G38" s="512">
        <f>(1632700+1352200+1302100)-1071700</f>
        <v>3215300</v>
      </c>
      <c r="H38" s="512">
        <v>46382</v>
      </c>
      <c r="I38" s="512"/>
      <c r="J38" s="510">
        <f t="shared" si="11"/>
        <v>0</v>
      </c>
      <c r="K38" s="512"/>
      <c r="L38" s="512"/>
      <c r="M38" s="512"/>
      <c r="N38" s="512"/>
      <c r="O38" s="511">
        <f t="shared" si="13"/>
        <v>0</v>
      </c>
      <c r="P38" s="510">
        <f t="shared" si="10"/>
        <v>4098587</v>
      </c>
      <c r="R38" s="333"/>
    </row>
    <row r="39" spans="1:18" s="94" customFormat="1" ht="321.75" thickTop="1" thickBot="1" x14ac:dyDescent="0.25">
      <c r="A39" s="507" t="s">
        <v>548</v>
      </c>
      <c r="B39" s="507" t="s">
        <v>549</v>
      </c>
      <c r="C39" s="507" t="s">
        <v>230</v>
      </c>
      <c r="D39" s="507" t="s">
        <v>547</v>
      </c>
      <c r="E39" s="510">
        <f>F39</f>
        <v>2100000</v>
      </c>
      <c r="F39" s="512">
        <v>2100000</v>
      </c>
      <c r="G39" s="512"/>
      <c r="H39" s="512"/>
      <c r="I39" s="512"/>
      <c r="J39" s="510">
        <f>L39+O39</f>
        <v>0</v>
      </c>
      <c r="K39" s="512"/>
      <c r="L39" s="512"/>
      <c r="M39" s="512"/>
      <c r="N39" s="512"/>
      <c r="O39" s="511">
        <f>K39</f>
        <v>0</v>
      </c>
      <c r="P39" s="510">
        <f>E39+J39</f>
        <v>2100000</v>
      </c>
      <c r="R39" s="333"/>
    </row>
    <row r="40" spans="1:18" s="94" customFormat="1" ht="48" thickTop="1" thickBot="1" x14ac:dyDescent="0.25">
      <c r="A40" s="507" t="s">
        <v>766</v>
      </c>
      <c r="B40" s="507" t="s">
        <v>262</v>
      </c>
      <c r="C40" s="507" t="s">
        <v>263</v>
      </c>
      <c r="D40" s="507" t="s">
        <v>51</v>
      </c>
      <c r="E40" s="510">
        <f>F40</f>
        <v>0</v>
      </c>
      <c r="F40" s="512"/>
      <c r="G40" s="512"/>
      <c r="H40" s="512"/>
      <c r="I40" s="512"/>
      <c r="J40" s="510">
        <f>L40+O40</f>
        <v>992490.88</v>
      </c>
      <c r="K40" s="512">
        <v>992490.88</v>
      </c>
      <c r="L40" s="512"/>
      <c r="M40" s="512"/>
      <c r="N40" s="512"/>
      <c r="O40" s="511">
        <f>K40</f>
        <v>992490.88</v>
      </c>
      <c r="P40" s="510">
        <f>E40+J40</f>
        <v>992490.88</v>
      </c>
      <c r="R40" s="328" t="b">
        <f>K40=[1]d5!J61</f>
        <v>1</v>
      </c>
    </row>
    <row r="41" spans="1:18" ht="136.5" thickTop="1" thickBot="1" x14ac:dyDescent="0.25">
      <c r="A41" s="350" t="s">
        <v>194</v>
      </c>
      <c r="B41" s="350"/>
      <c r="C41" s="350"/>
      <c r="D41" s="351" t="s">
        <v>22</v>
      </c>
      <c r="E41" s="352">
        <f>E42</f>
        <v>161779686.13</v>
      </c>
      <c r="F41" s="353">
        <f t="shared" ref="F41:G41" si="14">F42</f>
        <v>161779686.13</v>
      </c>
      <c r="G41" s="353">
        <f t="shared" si="14"/>
        <v>3512364</v>
      </c>
      <c r="H41" s="353">
        <f>H42</f>
        <v>139601</v>
      </c>
      <c r="I41" s="352">
        <f t="shared" ref="I41" si="15">I42</f>
        <v>0</v>
      </c>
      <c r="J41" s="352">
        <f>J42</f>
        <v>29063907.600000001</v>
      </c>
      <c r="K41" s="353">
        <f>K42</f>
        <v>29041907.600000001</v>
      </c>
      <c r="L41" s="353">
        <f>L42</f>
        <v>22000</v>
      </c>
      <c r="M41" s="353">
        <f t="shared" ref="M41" si="16">M42</f>
        <v>0</v>
      </c>
      <c r="N41" s="352">
        <f>N42</f>
        <v>0</v>
      </c>
      <c r="O41" s="352">
        <f>O42</f>
        <v>29041907.600000001</v>
      </c>
      <c r="P41" s="353">
        <f>P42</f>
        <v>190843593.72999999</v>
      </c>
    </row>
    <row r="42" spans="1:18" ht="136.5" thickTop="1" thickBot="1" x14ac:dyDescent="0.25">
      <c r="A42" s="354" t="s">
        <v>195</v>
      </c>
      <c r="B42" s="354"/>
      <c r="C42" s="354"/>
      <c r="D42" s="355" t="s">
        <v>44</v>
      </c>
      <c r="E42" s="356">
        <f>SUM(E43:E54)</f>
        <v>161779686.13</v>
      </c>
      <c r="F42" s="356">
        <f t="shared" ref="F42:H42" si="17">SUM(F43:F54)</f>
        <v>161779686.13</v>
      </c>
      <c r="G42" s="356">
        <f t="shared" si="17"/>
        <v>3512364</v>
      </c>
      <c r="H42" s="356">
        <f t="shared" si="17"/>
        <v>139601</v>
      </c>
      <c r="I42" s="356">
        <f>SUM(I43:I54)</f>
        <v>0</v>
      </c>
      <c r="J42" s="356">
        <f>L42+O42</f>
        <v>29063907.600000001</v>
      </c>
      <c r="K42" s="356">
        <f>SUM(K43:K54)</f>
        <v>29041907.600000001</v>
      </c>
      <c r="L42" s="356">
        <f>SUM(L43:L54)</f>
        <v>22000</v>
      </c>
      <c r="M42" s="356">
        <f>SUM(M43:M54)</f>
        <v>0</v>
      </c>
      <c r="N42" s="356">
        <f>SUM(N43:N54)</f>
        <v>0</v>
      </c>
      <c r="O42" s="356">
        <f>SUM(O43:O54)</f>
        <v>29041907.600000001</v>
      </c>
      <c r="P42" s="357">
        <f t="shared" ref="P42:P54" si="18">E42+J42</f>
        <v>190843593.72999999</v>
      </c>
      <c r="Q42" s="328" t="b">
        <f>P42=P44+P46+P47+P48+P49+P51+P52+P43+P53+P50+P45+P54</f>
        <v>1</v>
      </c>
      <c r="R42" s="328" t="b">
        <f>K42=[1]d5!J62</f>
        <v>1</v>
      </c>
    </row>
    <row r="43" spans="1:18" ht="230.25" thickTop="1" thickBot="1" x14ac:dyDescent="0.25">
      <c r="A43" s="507" t="s">
        <v>514</v>
      </c>
      <c r="B43" s="507" t="s">
        <v>286</v>
      </c>
      <c r="C43" s="507" t="s">
        <v>284</v>
      </c>
      <c r="D43" s="507" t="s">
        <v>285</v>
      </c>
      <c r="E43" s="510">
        <f>F43</f>
        <v>2026703</v>
      </c>
      <c r="F43" s="512">
        <f>(2100703)-74000</f>
        <v>2026703</v>
      </c>
      <c r="G43" s="512">
        <f>(1584000)-60900</f>
        <v>1523100</v>
      </c>
      <c r="H43" s="512">
        <f>(61103)+10000</f>
        <v>71103</v>
      </c>
      <c r="I43" s="512"/>
      <c r="J43" s="510">
        <f t="shared" ref="J43:J54" si="19">L43+O43</f>
        <v>0</v>
      </c>
      <c r="K43" s="510"/>
      <c r="L43" s="510"/>
      <c r="M43" s="510"/>
      <c r="N43" s="510"/>
      <c r="O43" s="511">
        <f>K43</f>
        <v>0</v>
      </c>
      <c r="P43" s="510">
        <f t="shared" si="18"/>
        <v>2026703</v>
      </c>
      <c r="Q43" s="333"/>
      <c r="R43" s="333"/>
    </row>
    <row r="44" spans="1:18" ht="93" thickTop="1" thickBot="1" x14ac:dyDescent="0.25">
      <c r="A44" s="507" t="s">
        <v>264</v>
      </c>
      <c r="B44" s="507" t="s">
        <v>261</v>
      </c>
      <c r="C44" s="507" t="s">
        <v>265</v>
      </c>
      <c r="D44" s="507" t="s">
        <v>23</v>
      </c>
      <c r="E44" s="510">
        <f>F44</f>
        <v>69155363</v>
      </c>
      <c r="F44" s="512">
        <f>(((((68982241+2148400)+3200000)+200000+10000)-2000000+94400-600000+600000+149000))-3628678</f>
        <v>69155363</v>
      </c>
      <c r="G44" s="512"/>
      <c r="H44" s="512"/>
      <c r="I44" s="512"/>
      <c r="J44" s="510">
        <f t="shared" si="19"/>
        <v>10087110</v>
      </c>
      <c r="K44" s="512">
        <f>(12800000)-610000-2102890</f>
        <v>10087110</v>
      </c>
      <c r="L44" s="512"/>
      <c r="M44" s="512"/>
      <c r="N44" s="512"/>
      <c r="O44" s="511">
        <f>K44</f>
        <v>10087110</v>
      </c>
      <c r="P44" s="510">
        <f t="shared" si="18"/>
        <v>79242473</v>
      </c>
      <c r="R44" s="328" t="b">
        <f>K44=[1]d5!J64</f>
        <v>1</v>
      </c>
    </row>
    <row r="45" spans="1:18" ht="93" thickTop="1" thickBot="1" x14ac:dyDescent="0.25">
      <c r="A45" s="507" t="s">
        <v>723</v>
      </c>
      <c r="B45" s="507" t="s">
        <v>726</v>
      </c>
      <c r="C45" s="507" t="s">
        <v>725</v>
      </c>
      <c r="D45" s="507" t="s">
        <v>724</v>
      </c>
      <c r="E45" s="510">
        <f>F45</f>
        <v>7981320</v>
      </c>
      <c r="F45" s="512">
        <f>(2850000+3362320)+1769000</f>
        <v>7981320</v>
      </c>
      <c r="G45" s="512"/>
      <c r="H45" s="512"/>
      <c r="I45" s="512"/>
      <c r="J45" s="510">
        <f t="shared" si="19"/>
        <v>0</v>
      </c>
      <c r="K45" s="512"/>
      <c r="L45" s="512"/>
      <c r="M45" s="512"/>
      <c r="N45" s="512"/>
      <c r="O45" s="511"/>
      <c r="P45" s="510">
        <f t="shared" si="18"/>
        <v>7981320</v>
      </c>
      <c r="R45" s="333"/>
    </row>
    <row r="46" spans="1:18" ht="138.75" thickTop="1" thickBot="1" x14ac:dyDescent="0.25">
      <c r="A46" s="507" t="s">
        <v>266</v>
      </c>
      <c r="B46" s="507" t="s">
        <v>267</v>
      </c>
      <c r="C46" s="507" t="s">
        <v>268</v>
      </c>
      <c r="D46" s="507" t="s">
        <v>269</v>
      </c>
      <c r="E46" s="510">
        <f t="shared" ref="E46:E54" si="20">F46</f>
        <v>21488069.399999999</v>
      </c>
      <c r="F46" s="512">
        <f>(((21374445)+500000)+124500-300000-200000+83024.4)-93900</f>
        <v>21488069.399999999</v>
      </c>
      <c r="G46" s="512"/>
      <c r="H46" s="512"/>
      <c r="I46" s="512"/>
      <c r="J46" s="510">
        <f t="shared" si="19"/>
        <v>0</v>
      </c>
      <c r="K46" s="512"/>
      <c r="L46" s="512"/>
      <c r="M46" s="512"/>
      <c r="N46" s="512"/>
      <c r="O46" s="511">
        <f>K46</f>
        <v>0</v>
      </c>
      <c r="P46" s="510">
        <f t="shared" si="18"/>
        <v>21488069.399999999</v>
      </c>
      <c r="R46" s="333"/>
    </row>
    <row r="47" spans="1:18" ht="138.75" thickTop="1" thickBot="1" x14ac:dyDescent="0.25">
      <c r="A47" s="507" t="s">
        <v>270</v>
      </c>
      <c r="B47" s="507" t="s">
        <v>271</v>
      </c>
      <c r="C47" s="507" t="s">
        <v>272</v>
      </c>
      <c r="D47" s="507" t="s">
        <v>421</v>
      </c>
      <c r="E47" s="510">
        <f t="shared" si="20"/>
        <v>25983998</v>
      </c>
      <c r="F47" s="512">
        <f>((((18403027)+500000)+134200)+1000000+692407+152330+216000+47520+235405+51789+500000+148120+965300)+2937900</f>
        <v>25983998</v>
      </c>
      <c r="G47" s="512"/>
      <c r="H47" s="512"/>
      <c r="I47" s="512"/>
      <c r="J47" s="510">
        <f t="shared" si="19"/>
        <v>0</v>
      </c>
      <c r="K47" s="512"/>
      <c r="L47" s="512"/>
      <c r="M47" s="512"/>
      <c r="N47" s="512"/>
      <c r="O47" s="511">
        <f>K47</f>
        <v>0</v>
      </c>
      <c r="P47" s="510">
        <f t="shared" si="18"/>
        <v>25983998</v>
      </c>
      <c r="R47" s="333"/>
    </row>
    <row r="48" spans="1:18" ht="93" thickTop="1" thickBot="1" x14ac:dyDescent="0.25">
      <c r="A48" s="507" t="s">
        <v>273</v>
      </c>
      <c r="B48" s="507" t="s">
        <v>274</v>
      </c>
      <c r="C48" s="507" t="s">
        <v>275</v>
      </c>
      <c r="D48" s="507" t="s">
        <v>276</v>
      </c>
      <c r="E48" s="510">
        <f t="shared" si="20"/>
        <v>7553822</v>
      </c>
      <c r="F48" s="512">
        <v>7553822</v>
      </c>
      <c r="G48" s="512"/>
      <c r="H48" s="512"/>
      <c r="I48" s="512"/>
      <c r="J48" s="510">
        <f t="shared" si="19"/>
        <v>0</v>
      </c>
      <c r="K48" s="512"/>
      <c r="L48" s="512"/>
      <c r="M48" s="512"/>
      <c r="N48" s="512"/>
      <c r="O48" s="511">
        <f>K48</f>
        <v>0</v>
      </c>
      <c r="P48" s="510">
        <f t="shared" si="18"/>
        <v>7553822</v>
      </c>
      <c r="R48" s="333"/>
    </row>
    <row r="49" spans="1:20" ht="184.5" thickTop="1" thickBot="1" x14ac:dyDescent="0.25">
      <c r="A49" s="507" t="s">
        <v>277</v>
      </c>
      <c r="B49" s="507" t="s">
        <v>278</v>
      </c>
      <c r="C49" s="507" t="s">
        <v>422</v>
      </c>
      <c r="D49" s="507" t="s">
        <v>279</v>
      </c>
      <c r="E49" s="510">
        <f t="shared" si="20"/>
        <v>8797443</v>
      </c>
      <c r="F49" s="512">
        <f>(8923043)-125600</f>
        <v>8797443</v>
      </c>
      <c r="G49" s="512"/>
      <c r="H49" s="512"/>
      <c r="I49" s="512"/>
      <c r="J49" s="510">
        <f t="shared" si="19"/>
        <v>0</v>
      </c>
      <c r="K49" s="512"/>
      <c r="L49" s="512"/>
      <c r="M49" s="512"/>
      <c r="N49" s="512"/>
      <c r="O49" s="511">
        <f t="shared" ref="O49:O54" si="21">K49</f>
        <v>0</v>
      </c>
      <c r="P49" s="510">
        <f t="shared" si="18"/>
        <v>8797443</v>
      </c>
      <c r="R49" s="333"/>
    </row>
    <row r="50" spans="1:20" ht="138.75" thickTop="1" thickBot="1" x14ac:dyDescent="0.25">
      <c r="A50" s="507" t="s">
        <v>676</v>
      </c>
      <c r="B50" s="507" t="s">
        <v>677</v>
      </c>
      <c r="C50" s="507" t="s">
        <v>280</v>
      </c>
      <c r="D50" s="507" t="s">
        <v>678</v>
      </c>
      <c r="E50" s="510">
        <f t="shared" si="20"/>
        <v>8987396.6899999995</v>
      </c>
      <c r="F50" s="512">
        <f>((2180400)+6806900)+96.69</f>
        <v>8987396.6899999995</v>
      </c>
      <c r="G50" s="512"/>
      <c r="H50" s="512"/>
      <c r="I50" s="512"/>
      <c r="J50" s="510">
        <f t="shared" si="19"/>
        <v>0</v>
      </c>
      <c r="K50" s="512"/>
      <c r="L50" s="512"/>
      <c r="M50" s="512"/>
      <c r="N50" s="512"/>
      <c r="O50" s="511">
        <f t="shared" si="21"/>
        <v>0</v>
      </c>
      <c r="P50" s="510">
        <f t="shared" si="18"/>
        <v>8987396.6899999995</v>
      </c>
      <c r="R50" s="333"/>
    </row>
    <row r="51" spans="1:20" s="94" customFormat="1" ht="138.75" thickTop="1" thickBot="1" x14ac:dyDescent="0.25">
      <c r="A51" s="507" t="s">
        <v>393</v>
      </c>
      <c r="B51" s="507" t="s">
        <v>395</v>
      </c>
      <c r="C51" s="507" t="s">
        <v>280</v>
      </c>
      <c r="D51" s="230" t="s">
        <v>391</v>
      </c>
      <c r="E51" s="510">
        <f t="shared" si="20"/>
        <v>5479271.04</v>
      </c>
      <c r="F51" s="512">
        <f>(((4075758)+500000+53235.04-50000-10000))+910278</f>
        <v>5479271.04</v>
      </c>
      <c r="G51" s="512">
        <v>1989264</v>
      </c>
      <c r="H51" s="512">
        <v>68498</v>
      </c>
      <c r="I51" s="512"/>
      <c r="J51" s="510">
        <f t="shared" si="19"/>
        <v>22000</v>
      </c>
      <c r="K51" s="512"/>
      <c r="L51" s="512">
        <v>22000</v>
      </c>
      <c r="M51" s="512"/>
      <c r="N51" s="512"/>
      <c r="O51" s="511">
        <f t="shared" si="21"/>
        <v>0</v>
      </c>
      <c r="P51" s="510">
        <f t="shared" si="18"/>
        <v>5501271.04</v>
      </c>
      <c r="R51" s="333"/>
    </row>
    <row r="52" spans="1:20" s="94" customFormat="1" ht="93" thickTop="1" thickBot="1" x14ac:dyDescent="0.25">
      <c r="A52" s="507" t="s">
        <v>394</v>
      </c>
      <c r="B52" s="507" t="s">
        <v>396</v>
      </c>
      <c r="C52" s="507" t="s">
        <v>280</v>
      </c>
      <c r="D52" s="230" t="s">
        <v>392</v>
      </c>
      <c r="E52" s="510">
        <f t="shared" si="20"/>
        <v>4326300</v>
      </c>
      <c r="F52" s="512">
        <f>(4201600)+1000000+90000-965300</f>
        <v>4326300</v>
      </c>
      <c r="G52" s="512"/>
      <c r="H52" s="512"/>
      <c r="I52" s="512"/>
      <c r="J52" s="510">
        <f t="shared" si="19"/>
        <v>0</v>
      </c>
      <c r="K52" s="512"/>
      <c r="L52" s="512"/>
      <c r="M52" s="512"/>
      <c r="N52" s="512"/>
      <c r="O52" s="511">
        <f t="shared" si="21"/>
        <v>0</v>
      </c>
      <c r="P52" s="510">
        <f t="shared" si="18"/>
        <v>4326300</v>
      </c>
      <c r="R52" s="333"/>
    </row>
    <row r="53" spans="1:20" s="94" customFormat="1" ht="93" thickTop="1" thickBot="1" x14ac:dyDescent="0.25">
      <c r="A53" s="507" t="s">
        <v>563</v>
      </c>
      <c r="B53" s="507" t="s">
        <v>243</v>
      </c>
      <c r="C53" s="507" t="s">
        <v>210</v>
      </c>
      <c r="D53" s="507" t="s">
        <v>42</v>
      </c>
      <c r="E53" s="510">
        <f t="shared" si="20"/>
        <v>0</v>
      </c>
      <c r="F53" s="512"/>
      <c r="G53" s="512"/>
      <c r="H53" s="512"/>
      <c r="I53" s="512"/>
      <c r="J53" s="510">
        <f t="shared" si="19"/>
        <v>18954797.600000001</v>
      </c>
      <c r="K53" s="512">
        <f>((13764600)+1090122)+457500+3257900+139000+175000-124600-21000+10000+15500-109985-26200+300000+109985+28000-111024.4</f>
        <v>18954797.600000001</v>
      </c>
      <c r="L53" s="512"/>
      <c r="M53" s="512"/>
      <c r="N53" s="512"/>
      <c r="O53" s="511">
        <f t="shared" si="21"/>
        <v>18954797.600000001</v>
      </c>
      <c r="P53" s="510">
        <f t="shared" si="18"/>
        <v>18954797.600000001</v>
      </c>
      <c r="R53" s="328" t="b">
        <f>K53=[1]d5!J65+[1]d5!J66+[1]d5!J67+[1]d5!J68+[1]d5!J69+[1]d5!J70+[1]d5!J72+[1]d5!J73</f>
        <v>1</v>
      </c>
    </row>
    <row r="54" spans="1:20" s="94" customFormat="1" ht="93" hidden="1" thickTop="1" thickBot="1" x14ac:dyDescent="0.25">
      <c r="A54" s="513" t="s">
        <v>727</v>
      </c>
      <c r="B54" s="513" t="s">
        <v>443</v>
      </c>
      <c r="C54" s="513" t="s">
        <v>53</v>
      </c>
      <c r="D54" s="513" t="s">
        <v>444</v>
      </c>
      <c r="E54" s="514">
        <f t="shared" si="20"/>
        <v>0</v>
      </c>
      <c r="F54" s="515"/>
      <c r="G54" s="515"/>
      <c r="H54" s="515"/>
      <c r="I54" s="515"/>
      <c r="J54" s="514">
        <f t="shared" si="19"/>
        <v>0</v>
      </c>
      <c r="K54" s="515"/>
      <c r="L54" s="515"/>
      <c r="M54" s="515"/>
      <c r="N54" s="515"/>
      <c r="O54" s="519">
        <f t="shared" si="21"/>
        <v>0</v>
      </c>
      <c r="P54" s="514">
        <f t="shared" si="18"/>
        <v>0</v>
      </c>
      <c r="R54" s="328"/>
    </row>
    <row r="55" spans="1:20" ht="181.5" thickTop="1" thickBot="1" x14ac:dyDescent="0.25">
      <c r="A55" s="350" t="s">
        <v>196</v>
      </c>
      <c r="B55" s="350"/>
      <c r="C55" s="350"/>
      <c r="D55" s="351" t="s">
        <v>45</v>
      </c>
      <c r="E55" s="352">
        <f>E56</f>
        <v>197397592</v>
      </c>
      <c r="F55" s="353">
        <f t="shared" ref="F55:G55" si="22">F56</f>
        <v>197397592</v>
      </c>
      <c r="G55" s="353">
        <f t="shared" si="22"/>
        <v>54164126</v>
      </c>
      <c r="H55" s="353">
        <f>H56</f>
        <v>1829416</v>
      </c>
      <c r="I55" s="352">
        <f t="shared" ref="I55" si="23">I56</f>
        <v>0</v>
      </c>
      <c r="J55" s="352">
        <f>J56</f>
        <v>21717493.940000001</v>
      </c>
      <c r="K55" s="353">
        <f>K56</f>
        <v>21197493.940000001</v>
      </c>
      <c r="L55" s="353">
        <f>L56</f>
        <v>520000</v>
      </c>
      <c r="M55" s="353">
        <f t="shared" ref="M55" si="24">M56</f>
        <v>125000</v>
      </c>
      <c r="N55" s="352">
        <f>N56</f>
        <v>67900</v>
      </c>
      <c r="O55" s="352">
        <f>O56</f>
        <v>21197493.940000001</v>
      </c>
      <c r="P55" s="353">
        <f>P56</f>
        <v>219115085.94</v>
      </c>
    </row>
    <row r="56" spans="1:20" ht="181.5" thickTop="1" thickBot="1" x14ac:dyDescent="0.25">
      <c r="A56" s="354" t="s">
        <v>197</v>
      </c>
      <c r="B56" s="354"/>
      <c r="C56" s="354"/>
      <c r="D56" s="355" t="s">
        <v>46</v>
      </c>
      <c r="E56" s="356">
        <f>SUM(E57:E89)</f>
        <v>197397592</v>
      </c>
      <c r="F56" s="356">
        <f>SUM(F57:F89)</f>
        <v>197397592</v>
      </c>
      <c r="G56" s="356">
        <f>SUM(G57:G89)</f>
        <v>54164126</v>
      </c>
      <c r="H56" s="356">
        <f>SUM(H57:H89)</f>
        <v>1829416</v>
      </c>
      <c r="I56" s="356">
        <f>SUM(I57:I89)</f>
        <v>0</v>
      </c>
      <c r="J56" s="356">
        <f t="shared" ref="J56:J72" si="25">L56+O56</f>
        <v>21717493.940000001</v>
      </c>
      <c r="K56" s="356">
        <f>SUM(K57:K89)</f>
        <v>21197493.940000001</v>
      </c>
      <c r="L56" s="356">
        <f>SUM(L57:L89)</f>
        <v>520000</v>
      </c>
      <c r="M56" s="356">
        <f>SUM(M57:M89)</f>
        <v>125000</v>
      </c>
      <c r="N56" s="356">
        <f>SUM(N57:N89)</f>
        <v>67900</v>
      </c>
      <c r="O56" s="356">
        <f>SUM(O57:O89)</f>
        <v>21197493.940000001</v>
      </c>
      <c r="P56" s="357">
        <f t="shared" ref="P56:P66" si="26">E56+J56</f>
        <v>219115085.94</v>
      </c>
      <c r="Q56" s="334" t="b">
        <f>P56=P58+P59+P60+P61+P62+P65+P66+P67+P69+P70+P82+P83+P84+P71+P86+P57+P87+P63+P64+P68+P85+P89+P72+P75+P79</f>
        <v>1</v>
      </c>
      <c r="R56" s="335" t="b">
        <f>K56=[1]d5!J75</f>
        <v>1</v>
      </c>
      <c r="T56" s="334"/>
    </row>
    <row r="57" spans="1:20" ht="230.25" thickTop="1" thickBot="1" x14ac:dyDescent="0.25">
      <c r="A57" s="507" t="s">
        <v>513</v>
      </c>
      <c r="B57" s="507" t="s">
        <v>286</v>
      </c>
      <c r="C57" s="507" t="s">
        <v>284</v>
      </c>
      <c r="D57" s="507" t="s">
        <v>285</v>
      </c>
      <c r="E57" s="510">
        <f t="shared" ref="E57" si="27">F57</f>
        <v>42219258</v>
      </c>
      <c r="F57" s="512">
        <f>(43737200-796642)-721300</f>
        <v>42219258</v>
      </c>
      <c r="G57" s="512">
        <f>(33000000-396642)-572800</f>
        <v>32030558</v>
      </c>
      <c r="H57" s="512">
        <f>(845700)-55200+3000</f>
        <v>793500</v>
      </c>
      <c r="I57" s="512"/>
      <c r="J57" s="510">
        <f t="shared" si="25"/>
        <v>900000</v>
      </c>
      <c r="K57" s="512">
        <f>(900000)</f>
        <v>900000</v>
      </c>
      <c r="L57" s="512"/>
      <c r="M57" s="512"/>
      <c r="N57" s="512"/>
      <c r="O57" s="511">
        <f>K57</f>
        <v>900000</v>
      </c>
      <c r="P57" s="510">
        <f t="shared" si="26"/>
        <v>43119258</v>
      </c>
      <c r="Q57" s="334"/>
      <c r="R57" s="335" t="b">
        <f>K57=[1]d5!J76+[1]d5!J77</f>
        <v>1</v>
      </c>
      <c r="T57" s="334"/>
    </row>
    <row r="58" spans="1:20" s="94" customFormat="1" ht="138.75" thickTop="1" thickBot="1" x14ac:dyDescent="0.25">
      <c r="A58" s="507" t="s">
        <v>320</v>
      </c>
      <c r="B58" s="507" t="s">
        <v>321</v>
      </c>
      <c r="C58" s="507" t="s">
        <v>251</v>
      </c>
      <c r="D58" s="336" t="s">
        <v>322</v>
      </c>
      <c r="E58" s="510">
        <f>F58</f>
        <v>270000</v>
      </c>
      <c r="F58" s="512">
        <f>(570000)-300000</f>
        <v>270000</v>
      </c>
      <c r="G58" s="512"/>
      <c r="H58" s="512"/>
      <c r="I58" s="512"/>
      <c r="J58" s="510">
        <f t="shared" si="25"/>
        <v>150000</v>
      </c>
      <c r="K58" s="512">
        <f>(100000)+50000</f>
        <v>150000</v>
      </c>
      <c r="L58" s="512"/>
      <c r="M58" s="512"/>
      <c r="N58" s="512"/>
      <c r="O58" s="511">
        <f t="shared" ref="O58:O71" si="28">K58</f>
        <v>150000</v>
      </c>
      <c r="P58" s="510">
        <f t="shared" si="26"/>
        <v>420000</v>
      </c>
      <c r="R58" s="335" t="b">
        <f>K58=[1]d5!J78</f>
        <v>1</v>
      </c>
    </row>
    <row r="59" spans="1:20" s="94" customFormat="1" ht="138.75" thickTop="1" thickBot="1" x14ac:dyDescent="0.25">
      <c r="A59" s="507" t="s">
        <v>323</v>
      </c>
      <c r="B59" s="507" t="s">
        <v>324</v>
      </c>
      <c r="C59" s="507" t="s">
        <v>252</v>
      </c>
      <c r="D59" s="507" t="s">
        <v>7</v>
      </c>
      <c r="E59" s="510">
        <f t="shared" ref="E59:E87" si="29">F59</f>
        <v>1410000</v>
      </c>
      <c r="F59" s="512">
        <v>1410000</v>
      </c>
      <c r="G59" s="512"/>
      <c r="H59" s="512"/>
      <c r="I59" s="512"/>
      <c r="J59" s="510">
        <f t="shared" si="25"/>
        <v>0</v>
      </c>
      <c r="K59" s="512"/>
      <c r="L59" s="512"/>
      <c r="M59" s="512"/>
      <c r="N59" s="512"/>
      <c r="O59" s="511">
        <f t="shared" si="28"/>
        <v>0</v>
      </c>
      <c r="P59" s="510">
        <f t="shared" si="26"/>
        <v>1410000</v>
      </c>
      <c r="R59" s="335"/>
    </row>
    <row r="60" spans="1:20" s="94" customFormat="1" ht="184.5" thickTop="1" thickBot="1" x14ac:dyDescent="0.25">
      <c r="A60" s="507" t="s">
        <v>326</v>
      </c>
      <c r="B60" s="507" t="s">
        <v>327</v>
      </c>
      <c r="C60" s="507" t="s">
        <v>252</v>
      </c>
      <c r="D60" s="507" t="s">
        <v>8</v>
      </c>
      <c r="E60" s="510">
        <f t="shared" si="29"/>
        <v>7900000</v>
      </c>
      <c r="F60" s="512">
        <f>(9000000)-1100000</f>
        <v>7900000</v>
      </c>
      <c r="G60" s="512"/>
      <c r="H60" s="512"/>
      <c r="I60" s="512"/>
      <c r="J60" s="510">
        <f t="shared" si="25"/>
        <v>0</v>
      </c>
      <c r="K60" s="512"/>
      <c r="L60" s="512"/>
      <c r="M60" s="512"/>
      <c r="N60" s="512"/>
      <c r="O60" s="511">
        <f t="shared" si="28"/>
        <v>0</v>
      </c>
      <c r="P60" s="510">
        <f t="shared" si="26"/>
        <v>7900000</v>
      </c>
      <c r="R60" s="335"/>
    </row>
    <row r="61" spans="1:20" s="94" customFormat="1" ht="184.5" thickTop="1" thickBot="1" x14ac:dyDescent="0.25">
      <c r="A61" s="507" t="s">
        <v>328</v>
      </c>
      <c r="B61" s="507" t="s">
        <v>325</v>
      </c>
      <c r="C61" s="507" t="s">
        <v>252</v>
      </c>
      <c r="D61" s="507" t="s">
        <v>9</v>
      </c>
      <c r="E61" s="510">
        <f t="shared" si="29"/>
        <v>600000</v>
      </c>
      <c r="F61" s="512">
        <v>600000</v>
      </c>
      <c r="G61" s="512"/>
      <c r="H61" s="512"/>
      <c r="I61" s="512"/>
      <c r="J61" s="510">
        <f t="shared" si="25"/>
        <v>0</v>
      </c>
      <c r="K61" s="512"/>
      <c r="L61" s="512"/>
      <c r="M61" s="512"/>
      <c r="N61" s="512"/>
      <c r="O61" s="511">
        <f t="shared" si="28"/>
        <v>0</v>
      </c>
      <c r="P61" s="510">
        <f t="shared" si="26"/>
        <v>600000</v>
      </c>
      <c r="R61" s="335"/>
    </row>
    <row r="62" spans="1:20" s="94" customFormat="1" ht="184.5" thickTop="1" thickBot="1" x14ac:dyDescent="0.25">
      <c r="A62" s="507" t="s">
        <v>329</v>
      </c>
      <c r="B62" s="507" t="s">
        <v>330</v>
      </c>
      <c r="C62" s="507" t="s">
        <v>252</v>
      </c>
      <c r="D62" s="507" t="s">
        <v>11</v>
      </c>
      <c r="E62" s="510">
        <f t="shared" si="29"/>
        <v>71400000</v>
      </c>
      <c r="F62" s="512">
        <f>((102000000-18700000)-6500000)-5400000</f>
        <v>71400000</v>
      </c>
      <c r="G62" s="512"/>
      <c r="H62" s="512"/>
      <c r="I62" s="512"/>
      <c r="J62" s="510">
        <f t="shared" si="25"/>
        <v>0</v>
      </c>
      <c r="K62" s="512"/>
      <c r="L62" s="512"/>
      <c r="M62" s="512"/>
      <c r="N62" s="512"/>
      <c r="O62" s="511">
        <f t="shared" si="28"/>
        <v>0</v>
      </c>
      <c r="P62" s="510">
        <f t="shared" si="26"/>
        <v>71400000</v>
      </c>
      <c r="R62" s="335"/>
    </row>
    <row r="63" spans="1:20" s="94" customFormat="1" ht="184.5" thickTop="1" thickBot="1" x14ac:dyDescent="0.25">
      <c r="A63" s="507" t="s">
        <v>679</v>
      </c>
      <c r="B63" s="507" t="s">
        <v>680</v>
      </c>
      <c r="C63" s="507" t="s">
        <v>252</v>
      </c>
      <c r="D63" s="507" t="s">
        <v>681</v>
      </c>
      <c r="E63" s="510">
        <f t="shared" si="29"/>
        <v>194834</v>
      </c>
      <c r="F63" s="512">
        <v>194834</v>
      </c>
      <c r="G63" s="512"/>
      <c r="H63" s="512"/>
      <c r="I63" s="512"/>
      <c r="J63" s="510">
        <f t="shared" si="25"/>
        <v>0</v>
      </c>
      <c r="K63" s="512"/>
      <c r="L63" s="512"/>
      <c r="M63" s="512"/>
      <c r="N63" s="512"/>
      <c r="O63" s="511">
        <f t="shared" si="28"/>
        <v>0</v>
      </c>
      <c r="P63" s="510">
        <f t="shared" si="26"/>
        <v>194834</v>
      </c>
      <c r="R63" s="335"/>
    </row>
    <row r="64" spans="1:20" s="94" customFormat="1" ht="138.75" thickTop="1" thickBot="1" x14ac:dyDescent="0.25">
      <c r="A64" s="507" t="s">
        <v>682</v>
      </c>
      <c r="B64" s="507" t="s">
        <v>683</v>
      </c>
      <c r="C64" s="507" t="s">
        <v>251</v>
      </c>
      <c r="D64" s="507" t="s">
        <v>684</v>
      </c>
      <c r="E64" s="510">
        <f t="shared" si="29"/>
        <v>249955</v>
      </c>
      <c r="F64" s="512">
        <v>249955</v>
      </c>
      <c r="G64" s="512"/>
      <c r="H64" s="512"/>
      <c r="I64" s="512"/>
      <c r="J64" s="510">
        <f t="shared" si="25"/>
        <v>0</v>
      </c>
      <c r="K64" s="512"/>
      <c r="L64" s="512"/>
      <c r="M64" s="512"/>
      <c r="N64" s="512"/>
      <c r="O64" s="511">
        <f>K64</f>
        <v>0</v>
      </c>
      <c r="P64" s="510">
        <f t="shared" si="26"/>
        <v>249955</v>
      </c>
      <c r="R64" s="335"/>
    </row>
    <row r="65" spans="1:18" ht="276" thickTop="1" thickBot="1" x14ac:dyDescent="0.25">
      <c r="A65" s="507" t="s">
        <v>318</v>
      </c>
      <c r="B65" s="507" t="s">
        <v>316</v>
      </c>
      <c r="C65" s="507" t="s">
        <v>246</v>
      </c>
      <c r="D65" s="507" t="s">
        <v>21</v>
      </c>
      <c r="E65" s="510">
        <f t="shared" si="29"/>
        <v>21241028</v>
      </c>
      <c r="F65" s="512">
        <f>(21429053)-188025</f>
        <v>21241028</v>
      </c>
      <c r="G65" s="512">
        <v>14638680</v>
      </c>
      <c r="H65" s="512">
        <v>215955</v>
      </c>
      <c r="I65" s="512"/>
      <c r="J65" s="510">
        <f t="shared" si="25"/>
        <v>190000</v>
      </c>
      <c r="K65" s="512"/>
      <c r="L65" s="512">
        <v>190000</v>
      </c>
      <c r="M65" s="512">
        <v>125000</v>
      </c>
      <c r="N65" s="512">
        <f>1900+1000</f>
        <v>2900</v>
      </c>
      <c r="O65" s="511">
        <f t="shared" si="28"/>
        <v>0</v>
      </c>
      <c r="P65" s="510">
        <f t="shared" si="26"/>
        <v>21431028</v>
      </c>
      <c r="R65" s="335"/>
    </row>
    <row r="66" spans="1:18" ht="138.75" thickTop="1" thickBot="1" x14ac:dyDescent="0.25">
      <c r="A66" s="507" t="s">
        <v>319</v>
      </c>
      <c r="B66" s="507" t="s">
        <v>317</v>
      </c>
      <c r="C66" s="507" t="s">
        <v>245</v>
      </c>
      <c r="D66" s="507" t="s">
        <v>606</v>
      </c>
      <c r="E66" s="510">
        <f t="shared" si="29"/>
        <v>6011260</v>
      </c>
      <c r="F66" s="512">
        <f>((5993260)-20000)+38000</f>
        <v>6011260</v>
      </c>
      <c r="G66" s="512">
        <f>(4221500)+38000</f>
        <v>4259500</v>
      </c>
      <c r="H66" s="512">
        <f>(293030)-50000</f>
        <v>243030</v>
      </c>
      <c r="I66" s="512"/>
      <c r="J66" s="510">
        <f t="shared" si="25"/>
        <v>84800</v>
      </c>
      <c r="K66" s="512">
        <f>(15000)+69800</f>
        <v>84800</v>
      </c>
      <c r="L66" s="512"/>
      <c r="M66" s="512"/>
      <c r="N66" s="512"/>
      <c r="O66" s="511">
        <f t="shared" si="28"/>
        <v>84800</v>
      </c>
      <c r="P66" s="510">
        <f t="shared" si="26"/>
        <v>6096060</v>
      </c>
      <c r="R66" s="335" t="b">
        <f>K66=[1]d5!J80</f>
        <v>1</v>
      </c>
    </row>
    <row r="67" spans="1:18" ht="409.6" thickTop="1" thickBot="1" x14ac:dyDescent="0.25">
      <c r="A67" s="507" t="s">
        <v>314</v>
      </c>
      <c r="B67" s="507" t="s">
        <v>315</v>
      </c>
      <c r="C67" s="507" t="s">
        <v>245</v>
      </c>
      <c r="D67" s="507" t="s">
        <v>604</v>
      </c>
      <c r="E67" s="510">
        <f t="shared" si="29"/>
        <v>2208150</v>
      </c>
      <c r="F67" s="512">
        <f>(2719650)-511500</f>
        <v>2208150</v>
      </c>
      <c r="G67" s="512"/>
      <c r="H67" s="512"/>
      <c r="I67" s="512"/>
      <c r="J67" s="510">
        <f t="shared" si="25"/>
        <v>0</v>
      </c>
      <c r="K67" s="510"/>
      <c r="L67" s="512"/>
      <c r="M67" s="512"/>
      <c r="N67" s="512"/>
      <c r="O67" s="511">
        <f t="shared" si="28"/>
        <v>0</v>
      </c>
      <c r="P67" s="510">
        <f>+J67+E67</f>
        <v>2208150</v>
      </c>
      <c r="R67" s="335"/>
    </row>
    <row r="68" spans="1:18" ht="230.25" thickTop="1" thickBot="1" x14ac:dyDescent="0.25">
      <c r="A68" s="507" t="s">
        <v>685</v>
      </c>
      <c r="B68" s="507" t="s">
        <v>686</v>
      </c>
      <c r="C68" s="507" t="s">
        <v>245</v>
      </c>
      <c r="D68" s="507" t="s">
        <v>687</v>
      </c>
      <c r="E68" s="510">
        <f t="shared" si="29"/>
        <v>164029</v>
      </c>
      <c r="F68" s="512">
        <f>162829+1200</f>
        <v>164029</v>
      </c>
      <c r="G68" s="512"/>
      <c r="H68" s="512"/>
      <c r="I68" s="512"/>
      <c r="J68" s="510">
        <f t="shared" si="25"/>
        <v>0</v>
      </c>
      <c r="K68" s="510"/>
      <c r="L68" s="512"/>
      <c r="M68" s="512"/>
      <c r="N68" s="512"/>
      <c r="O68" s="511">
        <f t="shared" si="28"/>
        <v>0</v>
      </c>
      <c r="P68" s="510">
        <f>+J68+E68</f>
        <v>164029</v>
      </c>
      <c r="R68" s="335"/>
    </row>
    <row r="69" spans="1:18" ht="367.5" thickTop="1" thickBot="1" x14ac:dyDescent="0.25">
      <c r="A69" s="507" t="s">
        <v>424</v>
      </c>
      <c r="B69" s="507" t="s">
        <v>423</v>
      </c>
      <c r="C69" s="507" t="s">
        <v>60</v>
      </c>
      <c r="D69" s="507" t="s">
        <v>605</v>
      </c>
      <c r="E69" s="510">
        <f t="shared" si="29"/>
        <v>2067840</v>
      </c>
      <c r="F69" s="512">
        <v>2067840</v>
      </c>
      <c r="G69" s="512"/>
      <c r="H69" s="512"/>
      <c r="I69" s="512"/>
      <c r="J69" s="510">
        <f t="shared" si="25"/>
        <v>0</v>
      </c>
      <c r="K69" s="510"/>
      <c r="L69" s="512"/>
      <c r="M69" s="512"/>
      <c r="N69" s="512"/>
      <c r="O69" s="511">
        <f t="shared" si="28"/>
        <v>0</v>
      </c>
      <c r="P69" s="510">
        <f>E69+J69</f>
        <v>2067840</v>
      </c>
      <c r="R69" s="335"/>
    </row>
    <row r="70" spans="1:18" ht="230.25" thickTop="1" thickBot="1" x14ac:dyDescent="0.25">
      <c r="A70" s="507" t="s">
        <v>397</v>
      </c>
      <c r="B70" s="507" t="s">
        <v>398</v>
      </c>
      <c r="C70" s="507" t="s">
        <v>251</v>
      </c>
      <c r="D70" s="507" t="s">
        <v>425</v>
      </c>
      <c r="E70" s="510">
        <f t="shared" si="29"/>
        <v>500000</v>
      </c>
      <c r="F70" s="512">
        <v>500000</v>
      </c>
      <c r="G70" s="512"/>
      <c r="H70" s="512"/>
      <c r="I70" s="512"/>
      <c r="J70" s="510">
        <f t="shared" si="25"/>
        <v>0</v>
      </c>
      <c r="K70" s="512"/>
      <c r="L70" s="512"/>
      <c r="M70" s="512"/>
      <c r="N70" s="512"/>
      <c r="O70" s="511">
        <f t="shared" si="28"/>
        <v>0</v>
      </c>
      <c r="P70" s="510">
        <f>E70+J70</f>
        <v>500000</v>
      </c>
      <c r="R70" s="335"/>
    </row>
    <row r="71" spans="1:18" ht="93" thickTop="1" thickBot="1" x14ac:dyDescent="0.25">
      <c r="A71" s="507" t="s">
        <v>537</v>
      </c>
      <c r="B71" s="507" t="s">
        <v>456</v>
      </c>
      <c r="C71" s="507" t="s">
        <v>457</v>
      </c>
      <c r="D71" s="507" t="s">
        <v>455</v>
      </c>
      <c r="E71" s="520">
        <f t="shared" si="29"/>
        <v>350000</v>
      </c>
      <c r="F71" s="512">
        <v>350000</v>
      </c>
      <c r="G71" s="512">
        <v>288000</v>
      </c>
      <c r="H71" s="512"/>
      <c r="I71" s="512"/>
      <c r="J71" s="510">
        <f t="shared" si="25"/>
        <v>0</v>
      </c>
      <c r="K71" s="512"/>
      <c r="L71" s="512"/>
      <c r="M71" s="512"/>
      <c r="N71" s="512"/>
      <c r="O71" s="511">
        <f t="shared" si="28"/>
        <v>0</v>
      </c>
      <c r="P71" s="510">
        <f>E71+J71</f>
        <v>350000</v>
      </c>
      <c r="R71" s="335"/>
    </row>
    <row r="72" spans="1:18" ht="409.6" thickTop="1" x14ac:dyDescent="0.65">
      <c r="A72" s="668" t="s">
        <v>949</v>
      </c>
      <c r="B72" s="668" t="s">
        <v>950</v>
      </c>
      <c r="C72" s="674" t="s">
        <v>60</v>
      </c>
      <c r="D72" s="521" t="s">
        <v>951</v>
      </c>
      <c r="E72" s="667">
        <f t="shared" si="29"/>
        <v>0</v>
      </c>
      <c r="F72" s="674"/>
      <c r="G72" s="668"/>
      <c r="H72" s="668"/>
      <c r="I72" s="668"/>
      <c r="J72" s="667">
        <f t="shared" si="25"/>
        <v>4456154.9400000004</v>
      </c>
      <c r="K72" s="668">
        <v>4456154.9400000004</v>
      </c>
      <c r="L72" s="668"/>
      <c r="M72" s="668"/>
      <c r="N72" s="668"/>
      <c r="O72" s="668">
        <f>K72</f>
        <v>4456154.9400000004</v>
      </c>
      <c r="P72" s="667">
        <f>E72+J72</f>
        <v>4456154.9400000004</v>
      </c>
      <c r="R72" s="335"/>
    </row>
    <row r="73" spans="1:18" ht="409.5" x14ac:dyDescent="0.2">
      <c r="A73" s="665"/>
      <c r="B73" s="665"/>
      <c r="C73" s="675"/>
      <c r="D73" s="327" t="s">
        <v>952</v>
      </c>
      <c r="E73" s="665"/>
      <c r="F73" s="675"/>
      <c r="G73" s="665"/>
      <c r="H73" s="665"/>
      <c r="I73" s="665"/>
      <c r="J73" s="665"/>
      <c r="K73" s="665"/>
      <c r="L73" s="665"/>
      <c r="M73" s="665"/>
      <c r="N73" s="665"/>
      <c r="O73" s="665"/>
      <c r="P73" s="665"/>
      <c r="R73" s="335" t="b">
        <f>P72=[1]d5!J81</f>
        <v>1</v>
      </c>
    </row>
    <row r="74" spans="1:18" ht="373.5" customHeight="1" thickBot="1" x14ac:dyDescent="0.25">
      <c r="A74" s="652"/>
      <c r="B74" s="652"/>
      <c r="C74" s="676"/>
      <c r="D74" s="522" t="s">
        <v>953</v>
      </c>
      <c r="E74" s="652"/>
      <c r="F74" s="676"/>
      <c r="G74" s="652"/>
      <c r="H74" s="652"/>
      <c r="I74" s="652"/>
      <c r="J74" s="652"/>
      <c r="K74" s="652"/>
      <c r="L74" s="652"/>
      <c r="M74" s="652"/>
      <c r="N74" s="652"/>
      <c r="O74" s="652"/>
      <c r="P74" s="652"/>
      <c r="R74" s="335"/>
    </row>
    <row r="75" spans="1:18" ht="409.6" thickTop="1" x14ac:dyDescent="0.2">
      <c r="A75" s="659" t="s">
        <v>954</v>
      </c>
      <c r="B75" s="659" t="s">
        <v>955</v>
      </c>
      <c r="C75" s="659" t="s">
        <v>60</v>
      </c>
      <c r="D75" s="508" t="s">
        <v>956</v>
      </c>
      <c r="E75" s="667">
        <f t="shared" ref="E75" si="30">F75</f>
        <v>0</v>
      </c>
      <c r="F75" s="668"/>
      <c r="G75" s="668"/>
      <c r="H75" s="668"/>
      <c r="I75" s="668"/>
      <c r="J75" s="667">
        <f t="shared" ref="J75" si="31">L75+O75</f>
        <v>1917540</v>
      </c>
      <c r="K75" s="668">
        <v>1917540</v>
      </c>
      <c r="L75" s="668"/>
      <c r="M75" s="668"/>
      <c r="N75" s="668"/>
      <c r="O75" s="668">
        <f t="shared" ref="O75" si="32">K75</f>
        <v>1917540</v>
      </c>
      <c r="P75" s="667">
        <f t="shared" ref="P75" si="33">E75+J75</f>
        <v>1917540</v>
      </c>
      <c r="R75" s="335"/>
    </row>
    <row r="76" spans="1:18" ht="409.5" customHeight="1" x14ac:dyDescent="0.2">
      <c r="A76" s="665"/>
      <c r="B76" s="665"/>
      <c r="C76" s="665"/>
      <c r="D76" s="327" t="s">
        <v>957</v>
      </c>
      <c r="E76" s="665"/>
      <c r="F76" s="665"/>
      <c r="G76" s="665"/>
      <c r="H76" s="665"/>
      <c r="I76" s="665"/>
      <c r="J76" s="665"/>
      <c r="K76" s="665"/>
      <c r="L76" s="665"/>
      <c r="M76" s="665"/>
      <c r="N76" s="665"/>
      <c r="O76" s="665"/>
      <c r="P76" s="665"/>
      <c r="R76" s="335" t="b">
        <f>P75=[1]d5!J84</f>
        <v>1</v>
      </c>
    </row>
    <row r="77" spans="1:18" ht="409.5" x14ac:dyDescent="0.2">
      <c r="A77" s="665"/>
      <c r="B77" s="665"/>
      <c r="C77" s="665"/>
      <c r="D77" s="327" t="s">
        <v>958</v>
      </c>
      <c r="E77" s="665"/>
      <c r="F77" s="665"/>
      <c r="G77" s="665"/>
      <c r="H77" s="665"/>
      <c r="I77" s="665"/>
      <c r="J77" s="665"/>
      <c r="K77" s="665"/>
      <c r="L77" s="665"/>
      <c r="M77" s="665"/>
      <c r="N77" s="665"/>
      <c r="O77" s="665"/>
      <c r="P77" s="665"/>
      <c r="R77" s="335"/>
    </row>
    <row r="78" spans="1:18" ht="275.25" thickBot="1" x14ac:dyDescent="0.25">
      <c r="A78" s="652"/>
      <c r="B78" s="652"/>
      <c r="C78" s="652"/>
      <c r="D78" s="509" t="s">
        <v>959</v>
      </c>
      <c r="E78" s="652"/>
      <c r="F78" s="652"/>
      <c r="G78" s="652"/>
      <c r="H78" s="652"/>
      <c r="I78" s="652"/>
      <c r="J78" s="652"/>
      <c r="K78" s="652"/>
      <c r="L78" s="652"/>
      <c r="M78" s="652"/>
      <c r="N78" s="652"/>
      <c r="O78" s="652"/>
      <c r="P78" s="652"/>
      <c r="R78" s="335"/>
    </row>
    <row r="79" spans="1:18" ht="409.6" thickTop="1" x14ac:dyDescent="0.2">
      <c r="A79" s="659" t="s">
        <v>960</v>
      </c>
      <c r="B79" s="659" t="s">
        <v>961</v>
      </c>
      <c r="C79" s="659" t="s">
        <v>60</v>
      </c>
      <c r="D79" s="508" t="s">
        <v>962</v>
      </c>
      <c r="E79" s="667">
        <f t="shared" ref="E79" si="34">F79</f>
        <v>0</v>
      </c>
      <c r="F79" s="668"/>
      <c r="G79" s="668"/>
      <c r="H79" s="668"/>
      <c r="I79" s="668"/>
      <c r="J79" s="667">
        <f t="shared" ref="J79" si="35">L79+O79</f>
        <v>1344563</v>
      </c>
      <c r="K79" s="668">
        <v>1344563</v>
      </c>
      <c r="L79" s="668"/>
      <c r="M79" s="668"/>
      <c r="N79" s="668"/>
      <c r="O79" s="668">
        <f t="shared" ref="O79" si="36">K79</f>
        <v>1344563</v>
      </c>
      <c r="P79" s="667">
        <f t="shared" ref="P79" si="37">E79+J79</f>
        <v>1344563</v>
      </c>
      <c r="R79" s="335"/>
    </row>
    <row r="80" spans="1:18" ht="409.5" x14ac:dyDescent="0.2">
      <c r="A80" s="665"/>
      <c r="B80" s="665"/>
      <c r="C80" s="665"/>
      <c r="D80" s="327" t="s">
        <v>963</v>
      </c>
      <c r="E80" s="665"/>
      <c r="F80" s="665"/>
      <c r="G80" s="665"/>
      <c r="H80" s="665"/>
      <c r="I80" s="665"/>
      <c r="J80" s="665"/>
      <c r="K80" s="665"/>
      <c r="L80" s="665"/>
      <c r="M80" s="665"/>
      <c r="N80" s="665"/>
      <c r="O80" s="665"/>
      <c r="P80" s="665"/>
      <c r="R80" s="335" t="b">
        <f>K79=[1]d5!J88</f>
        <v>1</v>
      </c>
    </row>
    <row r="81" spans="1:18" ht="46.5" thickBot="1" x14ac:dyDescent="0.25">
      <c r="A81" s="665"/>
      <c r="B81" s="665"/>
      <c r="C81" s="665"/>
      <c r="D81" s="509" t="s">
        <v>964</v>
      </c>
      <c r="E81" s="665"/>
      <c r="F81" s="665"/>
      <c r="G81" s="665"/>
      <c r="H81" s="665"/>
      <c r="I81" s="665"/>
      <c r="J81" s="665"/>
      <c r="K81" s="665"/>
      <c r="L81" s="665"/>
      <c r="M81" s="665"/>
      <c r="N81" s="665"/>
      <c r="O81" s="665"/>
      <c r="P81" s="665"/>
      <c r="R81" s="335"/>
    </row>
    <row r="82" spans="1:18" ht="184.5" thickTop="1" thickBot="1" x14ac:dyDescent="0.25">
      <c r="A82" s="507" t="s">
        <v>399</v>
      </c>
      <c r="B82" s="507" t="s">
        <v>401</v>
      </c>
      <c r="C82" s="507" t="s">
        <v>237</v>
      </c>
      <c r="D82" s="230" t="s">
        <v>403</v>
      </c>
      <c r="E82" s="510">
        <f t="shared" si="29"/>
        <v>6460958</v>
      </c>
      <c r="F82" s="512">
        <f>(6460958)</f>
        <v>6460958</v>
      </c>
      <c r="G82" s="231">
        <f>(2947388)</f>
        <v>2947388</v>
      </c>
      <c r="H82" s="231">
        <v>576931</v>
      </c>
      <c r="I82" s="512"/>
      <c r="J82" s="510">
        <f t="shared" ref="J82:J87" si="38">L82+O82</f>
        <v>3501199</v>
      </c>
      <c r="K82" s="512">
        <f>((983500)+1942699)+500000</f>
        <v>3426199</v>
      </c>
      <c r="L82" s="512">
        <v>75000</v>
      </c>
      <c r="M82" s="512"/>
      <c r="N82" s="512">
        <f>10000+30000+25000</f>
        <v>65000</v>
      </c>
      <c r="O82" s="511">
        <f t="shared" ref="O82:O87" si="39">K82</f>
        <v>3426199</v>
      </c>
      <c r="P82" s="510">
        <f t="shared" ref="P82:P87" si="40">E82+J82</f>
        <v>9962157</v>
      </c>
      <c r="R82" s="335" t="b">
        <f>K82=[1]d5!J91+[1]d5!J93+[1]d5!J94+[1]d5!J95+[1]d5!J92</f>
        <v>1</v>
      </c>
    </row>
    <row r="83" spans="1:18" ht="138.75" thickTop="1" thickBot="1" x14ac:dyDescent="0.25">
      <c r="A83" s="507" t="s">
        <v>400</v>
      </c>
      <c r="B83" s="507" t="s">
        <v>402</v>
      </c>
      <c r="C83" s="507" t="s">
        <v>237</v>
      </c>
      <c r="D83" s="230" t="s">
        <v>404</v>
      </c>
      <c r="E83" s="510">
        <f t="shared" si="29"/>
        <v>34150280</v>
      </c>
      <c r="F83" s="512">
        <f>((31072500)+1993000)+809200+275580</f>
        <v>34150280</v>
      </c>
      <c r="G83" s="512"/>
      <c r="H83" s="512"/>
      <c r="I83" s="512"/>
      <c r="J83" s="510">
        <f t="shared" si="38"/>
        <v>450000</v>
      </c>
      <c r="K83" s="512">
        <v>450000</v>
      </c>
      <c r="L83" s="512"/>
      <c r="M83" s="512"/>
      <c r="N83" s="512"/>
      <c r="O83" s="511">
        <f t="shared" si="39"/>
        <v>450000</v>
      </c>
      <c r="P83" s="510">
        <f t="shared" si="40"/>
        <v>34600280</v>
      </c>
      <c r="R83" s="335" t="b">
        <f>K83=[1]d5!J96+[1]d5!J97</f>
        <v>1</v>
      </c>
    </row>
    <row r="84" spans="1:18" ht="138.75" thickTop="1" thickBot="1" x14ac:dyDescent="0.25">
      <c r="A84" s="507" t="s">
        <v>447</v>
      </c>
      <c r="B84" s="507" t="s">
        <v>445</v>
      </c>
      <c r="C84" s="507" t="s">
        <v>415</v>
      </c>
      <c r="D84" s="230" t="s">
        <v>446</v>
      </c>
      <c r="E84" s="510">
        <f t="shared" si="29"/>
        <v>0</v>
      </c>
      <c r="F84" s="512"/>
      <c r="G84" s="512"/>
      <c r="H84" s="512"/>
      <c r="I84" s="512"/>
      <c r="J84" s="510">
        <f t="shared" si="38"/>
        <v>4104237</v>
      </c>
      <c r="K84" s="512">
        <f>(3000000)+1104237</f>
        <v>4104237</v>
      </c>
      <c r="L84" s="512"/>
      <c r="M84" s="512"/>
      <c r="N84" s="512"/>
      <c r="O84" s="511">
        <f t="shared" si="39"/>
        <v>4104237</v>
      </c>
      <c r="P84" s="510">
        <f t="shared" si="40"/>
        <v>4104237</v>
      </c>
      <c r="R84" s="335" t="b">
        <f>K84=[1]d5!J98</f>
        <v>1</v>
      </c>
    </row>
    <row r="85" spans="1:18" ht="409.6" thickTop="1" thickBot="1" x14ac:dyDescent="0.25">
      <c r="A85" s="507" t="s">
        <v>934</v>
      </c>
      <c r="B85" s="507" t="s">
        <v>935</v>
      </c>
      <c r="C85" s="507" t="s">
        <v>415</v>
      </c>
      <c r="D85" s="230" t="s">
        <v>936</v>
      </c>
      <c r="E85" s="510">
        <f t="shared" si="29"/>
        <v>0</v>
      </c>
      <c r="F85" s="512"/>
      <c r="G85" s="512"/>
      <c r="H85" s="512"/>
      <c r="I85" s="512"/>
      <c r="J85" s="510">
        <f t="shared" si="38"/>
        <v>364000</v>
      </c>
      <c r="K85" s="512">
        <v>364000</v>
      </c>
      <c r="L85" s="512"/>
      <c r="M85" s="512"/>
      <c r="N85" s="512"/>
      <c r="O85" s="511">
        <f t="shared" si="39"/>
        <v>364000</v>
      </c>
      <c r="P85" s="510">
        <f t="shared" si="40"/>
        <v>364000</v>
      </c>
      <c r="R85" s="335" t="b">
        <f>K85=[1]d5!J99</f>
        <v>1</v>
      </c>
    </row>
    <row r="86" spans="1:18" ht="99.75" thickTop="1" thickBot="1" x14ac:dyDescent="0.25">
      <c r="A86" s="507" t="s">
        <v>500</v>
      </c>
      <c r="B86" s="507" t="s">
        <v>501</v>
      </c>
      <c r="C86" s="507" t="s">
        <v>359</v>
      </c>
      <c r="D86" s="507" t="s">
        <v>648</v>
      </c>
      <c r="E86" s="510">
        <f t="shared" si="29"/>
        <v>0</v>
      </c>
      <c r="F86" s="512"/>
      <c r="G86" s="512"/>
      <c r="H86" s="512"/>
      <c r="I86" s="512"/>
      <c r="J86" s="510">
        <f t="shared" si="38"/>
        <v>4000000</v>
      </c>
      <c r="K86" s="512">
        <f>(2000000)+2000000</f>
        <v>4000000</v>
      </c>
      <c r="L86" s="512"/>
      <c r="M86" s="512"/>
      <c r="N86" s="512"/>
      <c r="O86" s="511">
        <f t="shared" si="39"/>
        <v>4000000</v>
      </c>
      <c r="P86" s="510">
        <f t="shared" si="40"/>
        <v>4000000</v>
      </c>
      <c r="R86" s="335" t="b">
        <f>K86=[1]d5!J100</f>
        <v>1</v>
      </c>
    </row>
    <row r="87" spans="1:18" ht="379.5" customHeight="1" thickTop="1" thickBot="1" x14ac:dyDescent="0.7">
      <c r="A87" s="650" t="s">
        <v>527</v>
      </c>
      <c r="B87" s="650" t="s">
        <v>412</v>
      </c>
      <c r="C87" s="650" t="s">
        <v>210</v>
      </c>
      <c r="D87" s="232" t="s">
        <v>585</v>
      </c>
      <c r="E87" s="666">
        <f t="shared" si="29"/>
        <v>0</v>
      </c>
      <c r="F87" s="657"/>
      <c r="G87" s="657"/>
      <c r="H87" s="657"/>
      <c r="I87" s="657"/>
      <c r="J87" s="666">
        <f t="shared" si="38"/>
        <v>255000</v>
      </c>
      <c r="K87" s="657"/>
      <c r="L87" s="657">
        <f>(225000)+30000</f>
        <v>255000</v>
      </c>
      <c r="M87" s="657"/>
      <c r="N87" s="657"/>
      <c r="O87" s="669">
        <f t="shared" si="39"/>
        <v>0</v>
      </c>
      <c r="P87" s="670">
        <f t="shared" si="40"/>
        <v>255000</v>
      </c>
      <c r="Q87" s="337">
        <f>P87</f>
        <v>255000</v>
      </c>
      <c r="R87" s="335"/>
    </row>
    <row r="88" spans="1:18" ht="184.5" thickTop="1" thickBot="1" x14ac:dyDescent="0.25">
      <c r="A88" s="641"/>
      <c r="B88" s="641"/>
      <c r="C88" s="641"/>
      <c r="D88" s="233" t="s">
        <v>586</v>
      </c>
      <c r="E88" s="641"/>
      <c r="F88" s="671"/>
      <c r="G88" s="671"/>
      <c r="H88" s="671"/>
      <c r="I88" s="671"/>
      <c r="J88" s="641"/>
      <c r="K88" s="641"/>
      <c r="L88" s="671"/>
      <c r="M88" s="671"/>
      <c r="N88" s="671"/>
      <c r="O88" s="672"/>
      <c r="P88" s="673"/>
      <c r="R88" s="335"/>
    </row>
    <row r="89" spans="1:18" ht="93" hidden="1" thickTop="1" thickBot="1" x14ac:dyDescent="0.25">
      <c r="A89" s="507" t="s">
        <v>939</v>
      </c>
      <c r="B89" s="507" t="s">
        <v>308</v>
      </c>
      <c r="C89" s="507" t="s">
        <v>210</v>
      </c>
      <c r="D89" s="507" t="s">
        <v>306</v>
      </c>
      <c r="E89" s="510">
        <f t="shared" ref="E89" si="41">F89</f>
        <v>0</v>
      </c>
      <c r="F89" s="512"/>
      <c r="G89" s="512"/>
      <c r="H89" s="512"/>
      <c r="I89" s="512"/>
      <c r="J89" s="510">
        <f t="shared" ref="J89" si="42">L89+O89</f>
        <v>0</v>
      </c>
      <c r="K89" s="512"/>
      <c r="L89" s="512"/>
      <c r="M89" s="512"/>
      <c r="N89" s="512"/>
      <c r="O89" s="511">
        <f t="shared" ref="O89" si="43">K89</f>
        <v>0</v>
      </c>
      <c r="P89" s="510">
        <f t="shared" ref="P89" si="44">E89+J89</f>
        <v>0</v>
      </c>
      <c r="R89" s="335" t="b">
        <f>K89=[1]d5!J101</f>
        <v>1</v>
      </c>
    </row>
    <row r="90" spans="1:18" ht="136.5" thickTop="1" thickBot="1" x14ac:dyDescent="0.25">
      <c r="A90" s="350">
        <v>1000000</v>
      </c>
      <c r="B90" s="350"/>
      <c r="C90" s="350"/>
      <c r="D90" s="351" t="s">
        <v>29</v>
      </c>
      <c r="E90" s="352">
        <f>E91</f>
        <v>92632100</v>
      </c>
      <c r="F90" s="353">
        <f t="shared" ref="F90:G90" si="45">F91</f>
        <v>92632100</v>
      </c>
      <c r="G90" s="353">
        <f t="shared" si="45"/>
        <v>66298565</v>
      </c>
      <c r="H90" s="353">
        <f>H91</f>
        <v>3297058</v>
      </c>
      <c r="I90" s="352">
        <f t="shared" ref="I90" si="46">I91</f>
        <v>0</v>
      </c>
      <c r="J90" s="352">
        <f>J91</f>
        <v>14684559</v>
      </c>
      <c r="K90" s="353">
        <f>K91</f>
        <v>6123889</v>
      </c>
      <c r="L90" s="353">
        <f>L91</f>
        <v>8481190</v>
      </c>
      <c r="M90" s="353">
        <f t="shared" ref="M90" si="47">M91</f>
        <v>6176480</v>
      </c>
      <c r="N90" s="352">
        <f>N91</f>
        <v>232900</v>
      </c>
      <c r="O90" s="352">
        <f>O91</f>
        <v>6203369</v>
      </c>
      <c r="P90" s="353">
        <f t="shared" ref="P90" si="48">P91</f>
        <v>107316659</v>
      </c>
    </row>
    <row r="91" spans="1:18" ht="181.5" thickTop="1" thickBot="1" x14ac:dyDescent="0.25">
      <c r="A91" s="354">
        <v>1010000</v>
      </c>
      <c r="B91" s="354"/>
      <c r="C91" s="354"/>
      <c r="D91" s="355" t="s">
        <v>47</v>
      </c>
      <c r="E91" s="356">
        <f>F91</f>
        <v>92632100</v>
      </c>
      <c r="F91" s="356">
        <f>SUM(F92:F98)</f>
        <v>92632100</v>
      </c>
      <c r="G91" s="356">
        <f>SUM(G92:G98)</f>
        <v>66298565</v>
      </c>
      <c r="H91" s="356">
        <f>SUM(H92:H98)</f>
        <v>3297058</v>
      </c>
      <c r="I91" s="356">
        <f>SUM(I92:I98)</f>
        <v>0</v>
      </c>
      <c r="J91" s="356">
        <f t="shared" ref="J91:J98" si="49">L91+O91</f>
        <v>14684559</v>
      </c>
      <c r="K91" s="356">
        <f>SUM(K92:K98)</f>
        <v>6123889</v>
      </c>
      <c r="L91" s="356">
        <f>SUM(L92:L98)</f>
        <v>8481190</v>
      </c>
      <c r="M91" s="356">
        <f>SUM(M92:M98)</f>
        <v>6176480</v>
      </c>
      <c r="N91" s="356">
        <f>SUM(N92:N98)</f>
        <v>232900</v>
      </c>
      <c r="O91" s="356">
        <f>SUM(O92:O98)</f>
        <v>6203369</v>
      </c>
      <c r="P91" s="357">
        <f t="shared" ref="P91:P98" si="50">E91+J91</f>
        <v>107316659</v>
      </c>
      <c r="Q91" s="334" t="b">
        <f>P91=P92+P93+P94+P95+P96+P97+P98</f>
        <v>1</v>
      </c>
      <c r="R91" s="335" t="b">
        <f>K91=[1]d5!J103</f>
        <v>1</v>
      </c>
    </row>
    <row r="92" spans="1:18" ht="93" thickTop="1" thickBot="1" x14ac:dyDescent="0.25">
      <c r="A92" s="507" t="s">
        <v>20</v>
      </c>
      <c r="B92" s="507" t="s">
        <v>225</v>
      </c>
      <c r="C92" s="507" t="s">
        <v>226</v>
      </c>
      <c r="D92" s="507" t="s">
        <v>716</v>
      </c>
      <c r="E92" s="510">
        <f>F92</f>
        <v>55158617</v>
      </c>
      <c r="F92" s="512">
        <f>(54788397)+204255+44940+99200+21825</f>
        <v>55158617</v>
      </c>
      <c r="G92" s="512">
        <f>(42628325)+204255+99200</f>
        <v>42931780</v>
      </c>
      <c r="H92" s="512">
        <f>1708200+22120+221280+84400+25450</f>
        <v>2061450</v>
      </c>
      <c r="I92" s="512"/>
      <c r="J92" s="510">
        <f t="shared" si="49"/>
        <v>8639570</v>
      </c>
      <c r="K92" s="512">
        <f>80000+700000</f>
        <v>780000</v>
      </c>
      <c r="L92" s="512">
        <v>7828170</v>
      </c>
      <c r="M92" s="512">
        <v>5894480</v>
      </c>
      <c r="N92" s="512">
        <v>170200</v>
      </c>
      <c r="O92" s="511">
        <f>K92+31400</f>
        <v>811400</v>
      </c>
      <c r="P92" s="510">
        <f t="shared" si="50"/>
        <v>63798187</v>
      </c>
      <c r="R92" s="335" t="b">
        <f>K92=[1]d5!J106+[1]d5!J107</f>
        <v>1</v>
      </c>
    </row>
    <row r="93" spans="1:18" ht="48" thickTop="1" thickBot="1" x14ac:dyDescent="0.25">
      <c r="A93" s="507" t="s">
        <v>211</v>
      </c>
      <c r="B93" s="507" t="s">
        <v>212</v>
      </c>
      <c r="C93" s="507" t="s">
        <v>214</v>
      </c>
      <c r="D93" s="507" t="s">
        <v>215</v>
      </c>
      <c r="E93" s="510">
        <f t="shared" ref="E93:E96" si="51">F93</f>
        <v>796400</v>
      </c>
      <c r="F93" s="512">
        <f>(796400)</f>
        <v>796400</v>
      </c>
      <c r="G93" s="512"/>
      <c r="H93" s="512"/>
      <c r="I93" s="512"/>
      <c r="J93" s="510">
        <f t="shared" si="49"/>
        <v>0</v>
      </c>
      <c r="K93" s="512"/>
      <c r="L93" s="512"/>
      <c r="M93" s="512"/>
      <c r="N93" s="512"/>
      <c r="O93" s="511">
        <f t="shared" ref="O93:O98" si="52">K93</f>
        <v>0</v>
      </c>
      <c r="P93" s="510">
        <f t="shared" si="50"/>
        <v>796400</v>
      </c>
      <c r="R93" s="335"/>
    </row>
    <row r="94" spans="1:18" ht="93" thickTop="1" thickBot="1" x14ac:dyDescent="0.25">
      <c r="A94" s="507" t="s">
        <v>216</v>
      </c>
      <c r="B94" s="507" t="s">
        <v>217</v>
      </c>
      <c r="C94" s="507" t="s">
        <v>218</v>
      </c>
      <c r="D94" s="507" t="s">
        <v>219</v>
      </c>
      <c r="E94" s="510">
        <f t="shared" si="51"/>
        <v>8505945</v>
      </c>
      <c r="F94" s="512">
        <f>(8469945)+36000</f>
        <v>8505945</v>
      </c>
      <c r="G94" s="512">
        <v>6369770</v>
      </c>
      <c r="H94" s="512">
        <f>353700+6305+65870+12100+18000</f>
        <v>455975</v>
      </c>
      <c r="I94" s="512"/>
      <c r="J94" s="510">
        <f t="shared" si="49"/>
        <v>204000</v>
      </c>
      <c r="K94" s="512">
        <v>114000</v>
      </c>
      <c r="L94" s="512">
        <v>90000</v>
      </c>
      <c r="M94" s="512">
        <v>12200</v>
      </c>
      <c r="N94" s="512">
        <v>19000</v>
      </c>
      <c r="O94" s="511">
        <f t="shared" si="52"/>
        <v>114000</v>
      </c>
      <c r="P94" s="510">
        <f t="shared" si="50"/>
        <v>8709945</v>
      </c>
      <c r="R94" s="335" t="b">
        <f>K94=[1]d5!J108</f>
        <v>1</v>
      </c>
    </row>
    <row r="95" spans="1:18" ht="93" thickTop="1" thickBot="1" x14ac:dyDescent="0.25">
      <c r="A95" s="507" t="s">
        <v>220</v>
      </c>
      <c r="B95" s="507" t="s">
        <v>221</v>
      </c>
      <c r="C95" s="507" t="s">
        <v>218</v>
      </c>
      <c r="D95" s="507" t="s">
        <v>630</v>
      </c>
      <c r="E95" s="510">
        <f t="shared" si="51"/>
        <v>1633478</v>
      </c>
      <c r="F95" s="512">
        <f>(1483478)+150000</f>
        <v>1633478</v>
      </c>
      <c r="G95" s="512">
        <f>(901100)</f>
        <v>901100</v>
      </c>
      <c r="H95" s="512">
        <f>148500+3168+49110+2500</f>
        <v>203278</v>
      </c>
      <c r="I95" s="512"/>
      <c r="J95" s="510">
        <f t="shared" si="49"/>
        <v>5156000</v>
      </c>
      <c r="K95" s="512">
        <f>(5000000)+80000</f>
        <v>5080000</v>
      </c>
      <c r="L95" s="512">
        <v>76000</v>
      </c>
      <c r="M95" s="512">
        <v>9400</v>
      </c>
      <c r="N95" s="512">
        <v>4000</v>
      </c>
      <c r="O95" s="511">
        <f t="shared" si="52"/>
        <v>5080000</v>
      </c>
      <c r="P95" s="510">
        <f t="shared" si="50"/>
        <v>6789478</v>
      </c>
      <c r="R95" s="335" t="b">
        <f>K95=[1]d5!J109+[1]d5!J110</f>
        <v>1</v>
      </c>
    </row>
    <row r="96" spans="1:18" ht="184.5" thickTop="1" thickBot="1" x14ac:dyDescent="0.25">
      <c r="A96" s="507" t="s">
        <v>222</v>
      </c>
      <c r="B96" s="507" t="s">
        <v>213</v>
      </c>
      <c r="C96" s="507" t="s">
        <v>223</v>
      </c>
      <c r="D96" s="507" t="s">
        <v>224</v>
      </c>
      <c r="E96" s="510">
        <f t="shared" si="51"/>
        <v>6389600</v>
      </c>
      <c r="F96" s="512">
        <v>6389600</v>
      </c>
      <c r="G96" s="512">
        <v>4545315</v>
      </c>
      <c r="H96" s="512">
        <f>406340+8325+83610+35600+8000</f>
        <v>541875</v>
      </c>
      <c r="I96" s="512"/>
      <c r="J96" s="510">
        <f t="shared" si="49"/>
        <v>536989</v>
      </c>
      <c r="K96" s="512">
        <v>149889</v>
      </c>
      <c r="L96" s="512">
        <v>374020</v>
      </c>
      <c r="M96" s="512">
        <v>254600</v>
      </c>
      <c r="N96" s="512">
        <v>39700</v>
      </c>
      <c r="O96" s="511">
        <f>K96+13080</f>
        <v>162969</v>
      </c>
      <c r="P96" s="510">
        <f t="shared" si="50"/>
        <v>6926589</v>
      </c>
      <c r="R96" s="335" t="b">
        <f>K96=[1]d5!J111</f>
        <v>1</v>
      </c>
    </row>
    <row r="97" spans="1:18" ht="138.75" thickTop="1" thickBot="1" x14ac:dyDescent="0.25">
      <c r="A97" s="507" t="s">
        <v>405</v>
      </c>
      <c r="B97" s="507" t="s">
        <v>406</v>
      </c>
      <c r="C97" s="507" t="s">
        <v>227</v>
      </c>
      <c r="D97" s="507" t="s">
        <v>631</v>
      </c>
      <c r="E97" s="510">
        <f>F97</f>
        <v>14990960</v>
      </c>
      <c r="F97" s="512">
        <v>14990960</v>
      </c>
      <c r="G97" s="512">
        <v>11550600</v>
      </c>
      <c r="H97" s="512">
        <f>31230+2900+350</f>
        <v>34480</v>
      </c>
      <c r="I97" s="512"/>
      <c r="J97" s="510">
        <f t="shared" si="49"/>
        <v>148000</v>
      </c>
      <c r="K97" s="512"/>
      <c r="L97" s="512">
        <v>113000</v>
      </c>
      <c r="M97" s="512">
        <v>5800</v>
      </c>
      <c r="N97" s="512"/>
      <c r="O97" s="511">
        <f>K97+35000</f>
        <v>35000</v>
      </c>
      <c r="P97" s="510">
        <f t="shared" si="50"/>
        <v>15138960</v>
      </c>
      <c r="R97" s="335"/>
    </row>
    <row r="98" spans="1:18" ht="93" thickTop="1" thickBot="1" x14ac:dyDescent="0.25">
      <c r="A98" s="507" t="s">
        <v>407</v>
      </c>
      <c r="B98" s="507" t="s">
        <v>408</v>
      </c>
      <c r="C98" s="507" t="s">
        <v>227</v>
      </c>
      <c r="D98" s="507" t="s">
        <v>632</v>
      </c>
      <c r="E98" s="510">
        <f>F98</f>
        <v>5157100</v>
      </c>
      <c r="F98" s="512">
        <f>(8238100)-3081000</f>
        <v>5157100</v>
      </c>
      <c r="G98" s="512"/>
      <c r="H98" s="512"/>
      <c r="I98" s="512"/>
      <c r="J98" s="510">
        <f t="shared" si="49"/>
        <v>0</v>
      </c>
      <c r="K98" s="512"/>
      <c r="L98" s="512"/>
      <c r="M98" s="512"/>
      <c r="N98" s="512"/>
      <c r="O98" s="511">
        <f t="shared" si="52"/>
        <v>0</v>
      </c>
      <c r="P98" s="510">
        <f t="shared" si="50"/>
        <v>5157100</v>
      </c>
      <c r="R98" s="335"/>
    </row>
    <row r="99" spans="1:18" ht="136.5" thickTop="1" thickBot="1" x14ac:dyDescent="0.25">
      <c r="A99" s="350" t="s">
        <v>26</v>
      </c>
      <c r="B99" s="350"/>
      <c r="C99" s="350"/>
      <c r="D99" s="351" t="s">
        <v>27</v>
      </c>
      <c r="E99" s="352">
        <f>E100</f>
        <v>57610876</v>
      </c>
      <c r="F99" s="353">
        <f t="shared" ref="F99:G99" si="53">F100</f>
        <v>57610876</v>
      </c>
      <c r="G99" s="353">
        <f t="shared" si="53"/>
        <v>23096030</v>
      </c>
      <c r="H99" s="353">
        <f>H100</f>
        <v>1510283</v>
      </c>
      <c r="I99" s="352">
        <f t="shared" ref="I99" si="54">I100</f>
        <v>0</v>
      </c>
      <c r="J99" s="352">
        <f>J100</f>
        <v>6838576</v>
      </c>
      <c r="K99" s="353">
        <f>K100</f>
        <v>4742772</v>
      </c>
      <c r="L99" s="353">
        <f>L100</f>
        <v>2088304</v>
      </c>
      <c r="M99" s="353">
        <f t="shared" ref="M99" si="55">M100</f>
        <v>957332</v>
      </c>
      <c r="N99" s="352">
        <f>N100</f>
        <v>336562</v>
      </c>
      <c r="O99" s="352">
        <f>O100</f>
        <v>4750272</v>
      </c>
      <c r="P99" s="353">
        <f t="shared" ref="P99" si="56">P100</f>
        <v>64449452</v>
      </c>
    </row>
    <row r="100" spans="1:18" ht="136.5" thickTop="1" thickBot="1" x14ac:dyDescent="0.25">
      <c r="A100" s="354" t="s">
        <v>25</v>
      </c>
      <c r="B100" s="354"/>
      <c r="C100" s="354"/>
      <c r="D100" s="355" t="s">
        <v>43</v>
      </c>
      <c r="E100" s="356">
        <f>SUM(E101:E113)</f>
        <v>57610876</v>
      </c>
      <c r="F100" s="356">
        <f>SUM(F101:F113)</f>
        <v>57610876</v>
      </c>
      <c r="G100" s="356">
        <f>SUM(G101:G113)</f>
        <v>23096030</v>
      </c>
      <c r="H100" s="356">
        <f>SUM(H101:H113)</f>
        <v>1510283</v>
      </c>
      <c r="I100" s="356">
        <f>SUM(I101:I113)</f>
        <v>0</v>
      </c>
      <c r="J100" s="356">
        <f>L100+O100</f>
        <v>6838576</v>
      </c>
      <c r="K100" s="356">
        <f>SUM(K101:K113)</f>
        <v>4742772</v>
      </c>
      <c r="L100" s="356">
        <f>SUM(L101:L113)</f>
        <v>2088304</v>
      </c>
      <c r="M100" s="356">
        <f>SUM(M101:M113)</f>
        <v>957332</v>
      </c>
      <c r="N100" s="356">
        <f>SUM(N101:N113)</f>
        <v>336562</v>
      </c>
      <c r="O100" s="356">
        <f>SUM(O101:O113)</f>
        <v>4750272</v>
      </c>
      <c r="P100" s="357">
        <f>E100+J100</f>
        <v>64449452</v>
      </c>
      <c r="Q100" s="334" t="b">
        <f>P100=P101+P102+P103+P104+P105+P106+P107+P108+P109+P111+P113+P112+P110</f>
        <v>1</v>
      </c>
      <c r="R100" s="335" t="b">
        <f>K100=[1]d5!J113</f>
        <v>1</v>
      </c>
    </row>
    <row r="101" spans="1:18" ht="138.75" thickTop="1" thickBot="1" x14ac:dyDescent="0.25">
      <c r="A101" s="507" t="s">
        <v>228</v>
      </c>
      <c r="B101" s="507" t="s">
        <v>229</v>
      </c>
      <c r="C101" s="507" t="s">
        <v>230</v>
      </c>
      <c r="D101" s="507" t="s">
        <v>231</v>
      </c>
      <c r="E101" s="253">
        <f t="shared" ref="E101:E110" si="57">F101</f>
        <v>4377637</v>
      </c>
      <c r="F101" s="231">
        <f>(4377637)</f>
        <v>4377637</v>
      </c>
      <c r="G101" s="231">
        <f>(3404700)</f>
        <v>3404700</v>
      </c>
      <c r="H101" s="231">
        <f>40653+2690+26810+2400</f>
        <v>72553</v>
      </c>
      <c r="I101" s="231"/>
      <c r="J101" s="510">
        <f t="shared" ref="J101:J113" si="58">L101+O101</f>
        <v>55000</v>
      </c>
      <c r="K101" s="231">
        <v>55000</v>
      </c>
      <c r="L101" s="254"/>
      <c r="M101" s="254"/>
      <c r="N101" s="254"/>
      <c r="O101" s="511">
        <f t="shared" ref="O101:O113" si="59">K101</f>
        <v>55000</v>
      </c>
      <c r="P101" s="510">
        <f>+J101+E101</f>
        <v>4432637</v>
      </c>
      <c r="Q101" s="335"/>
      <c r="R101" s="335" t="b">
        <f>K101=[1]d5!J115</f>
        <v>1</v>
      </c>
    </row>
    <row r="102" spans="1:18" ht="93" thickTop="1" thickBot="1" x14ac:dyDescent="0.25">
      <c r="A102" s="507" t="s">
        <v>235</v>
      </c>
      <c r="B102" s="507" t="s">
        <v>236</v>
      </c>
      <c r="C102" s="507" t="s">
        <v>230</v>
      </c>
      <c r="D102" s="507" t="s">
        <v>12</v>
      </c>
      <c r="E102" s="253">
        <f t="shared" si="57"/>
        <v>3687024</v>
      </c>
      <c r="F102" s="231">
        <f>(3722024)-35000</f>
        <v>3687024</v>
      </c>
      <c r="G102" s="231">
        <v>2215100</v>
      </c>
      <c r="H102" s="231">
        <f>309408+3330+71000+2300</f>
        <v>386038</v>
      </c>
      <c r="I102" s="231"/>
      <c r="J102" s="510">
        <f t="shared" si="58"/>
        <v>475000</v>
      </c>
      <c r="K102" s="231">
        <v>150000</v>
      </c>
      <c r="L102" s="254">
        <v>325000</v>
      </c>
      <c r="M102" s="254">
        <v>165000</v>
      </c>
      <c r="N102" s="254">
        <v>88400</v>
      </c>
      <c r="O102" s="511">
        <f t="shared" si="59"/>
        <v>150000</v>
      </c>
      <c r="P102" s="510">
        <f t="shared" ref="P102:P113" si="60">E102+J102</f>
        <v>4162024</v>
      </c>
      <c r="R102" s="335" t="b">
        <f>K102=[1]d5!J116</f>
        <v>1</v>
      </c>
    </row>
    <row r="103" spans="1:18" ht="93" thickTop="1" thickBot="1" x14ac:dyDescent="0.25">
      <c r="A103" s="507" t="s">
        <v>429</v>
      </c>
      <c r="B103" s="507" t="s">
        <v>430</v>
      </c>
      <c r="C103" s="507" t="s">
        <v>230</v>
      </c>
      <c r="D103" s="507" t="s">
        <v>431</v>
      </c>
      <c r="E103" s="253">
        <f t="shared" si="57"/>
        <v>5979882</v>
      </c>
      <c r="F103" s="231">
        <f>(1299340+1103463+3968450)+108629-500000</f>
        <v>5979882</v>
      </c>
      <c r="G103" s="231">
        <f>(817400)</f>
        <v>817400</v>
      </c>
      <c r="H103" s="231">
        <f>30000+1550+21860</f>
        <v>53410</v>
      </c>
      <c r="I103" s="231"/>
      <c r="J103" s="510">
        <f t="shared" si="58"/>
        <v>70107</v>
      </c>
      <c r="K103" s="231">
        <f>(60000)+10107</f>
        <v>70107</v>
      </c>
      <c r="L103" s="254"/>
      <c r="M103" s="254"/>
      <c r="N103" s="254"/>
      <c r="O103" s="511">
        <f t="shared" si="59"/>
        <v>70107</v>
      </c>
      <c r="P103" s="510">
        <f t="shared" si="60"/>
        <v>6049989</v>
      </c>
      <c r="R103" s="335" t="b">
        <f>K103=[1]d5!J117+[1]d5!J118</f>
        <v>1</v>
      </c>
    </row>
    <row r="104" spans="1:18" ht="138.75" thickTop="1" thickBot="1" x14ac:dyDescent="0.25">
      <c r="A104" s="507" t="s">
        <v>54</v>
      </c>
      <c r="B104" s="507" t="s">
        <v>232</v>
      </c>
      <c r="C104" s="507" t="s">
        <v>241</v>
      </c>
      <c r="D104" s="507" t="s">
        <v>55</v>
      </c>
      <c r="E104" s="253">
        <f t="shared" si="57"/>
        <v>10000000</v>
      </c>
      <c r="F104" s="231">
        <f>(14000000)-4000000</f>
        <v>10000000</v>
      </c>
      <c r="G104" s="512"/>
      <c r="H104" s="512"/>
      <c r="I104" s="512"/>
      <c r="J104" s="510">
        <f t="shared" si="58"/>
        <v>0</v>
      </c>
      <c r="K104" s="512"/>
      <c r="L104" s="512"/>
      <c r="M104" s="512"/>
      <c r="N104" s="512"/>
      <c r="O104" s="511">
        <f t="shared" si="59"/>
        <v>0</v>
      </c>
      <c r="P104" s="510">
        <f t="shared" si="60"/>
        <v>10000000</v>
      </c>
      <c r="R104" s="335"/>
    </row>
    <row r="105" spans="1:18" ht="138.75" thickTop="1" thickBot="1" x14ac:dyDescent="0.25">
      <c r="A105" s="507" t="s">
        <v>56</v>
      </c>
      <c r="B105" s="507" t="s">
        <v>233</v>
      </c>
      <c r="C105" s="507" t="s">
        <v>241</v>
      </c>
      <c r="D105" s="507" t="s">
        <v>5</v>
      </c>
      <c r="E105" s="253">
        <f t="shared" si="57"/>
        <v>1779668</v>
      </c>
      <c r="F105" s="231">
        <f>(2015668)-236000</f>
        <v>1779668</v>
      </c>
      <c r="G105" s="512"/>
      <c r="H105" s="512"/>
      <c r="I105" s="512"/>
      <c r="J105" s="510">
        <f t="shared" si="58"/>
        <v>0</v>
      </c>
      <c r="K105" s="512"/>
      <c r="L105" s="512"/>
      <c r="M105" s="512"/>
      <c r="N105" s="512"/>
      <c r="O105" s="511">
        <f t="shared" si="59"/>
        <v>0</v>
      </c>
      <c r="P105" s="510">
        <f t="shared" si="60"/>
        <v>1779668</v>
      </c>
      <c r="R105" s="335"/>
    </row>
    <row r="106" spans="1:18" ht="184.5" thickTop="1" thickBot="1" x14ac:dyDescent="0.25">
      <c r="A106" s="507" t="s">
        <v>57</v>
      </c>
      <c r="B106" s="507" t="s">
        <v>234</v>
      </c>
      <c r="C106" s="507" t="s">
        <v>241</v>
      </c>
      <c r="D106" s="507" t="s">
        <v>426</v>
      </c>
      <c r="E106" s="253">
        <f>F106</f>
        <v>56195</v>
      </c>
      <c r="F106" s="231">
        <v>56195</v>
      </c>
      <c r="G106" s="231"/>
      <c r="H106" s="231"/>
      <c r="I106" s="512"/>
      <c r="J106" s="510">
        <f t="shared" si="58"/>
        <v>0</v>
      </c>
      <c r="K106" s="512"/>
      <c r="L106" s="231"/>
      <c r="M106" s="231"/>
      <c r="N106" s="231"/>
      <c r="O106" s="511">
        <f t="shared" si="59"/>
        <v>0</v>
      </c>
      <c r="P106" s="510">
        <f t="shared" si="60"/>
        <v>56195</v>
      </c>
      <c r="R106" s="335"/>
    </row>
    <row r="107" spans="1:18" ht="184.5" thickTop="1" thickBot="1" x14ac:dyDescent="0.25">
      <c r="A107" s="507" t="s">
        <v>34</v>
      </c>
      <c r="B107" s="507" t="s">
        <v>238</v>
      </c>
      <c r="C107" s="507" t="s">
        <v>241</v>
      </c>
      <c r="D107" s="507" t="s">
        <v>58</v>
      </c>
      <c r="E107" s="253">
        <f t="shared" si="57"/>
        <v>22676622</v>
      </c>
      <c r="F107" s="231">
        <f>(22943822)+55800-243100-19900-10000-50000</f>
        <v>22676622</v>
      </c>
      <c r="G107" s="231">
        <f>(15609500)</f>
        <v>15609500</v>
      </c>
      <c r="H107" s="231">
        <f>(464245+81769+327290+155710+4268)-10000-25000</f>
        <v>998282</v>
      </c>
      <c r="I107" s="231"/>
      <c r="J107" s="510">
        <f t="shared" si="58"/>
        <v>5569869</v>
      </c>
      <c r="K107" s="231">
        <f>(3819415)+74450+455200-550000</f>
        <v>3799065</v>
      </c>
      <c r="L107" s="231">
        <v>1763304</v>
      </c>
      <c r="M107" s="231">
        <v>792332</v>
      </c>
      <c r="N107" s="231">
        <v>248162</v>
      </c>
      <c r="O107" s="511">
        <f>K107+7500</f>
        <v>3806565</v>
      </c>
      <c r="P107" s="510">
        <f t="shared" si="60"/>
        <v>28246491</v>
      </c>
      <c r="R107" s="335" t="b">
        <f>K107=[1]d5!J122+[1]d5!J121+[1]d5!J120+[1]d5!J119</f>
        <v>1</v>
      </c>
    </row>
    <row r="108" spans="1:18" ht="184.5" thickTop="1" thickBot="1" x14ac:dyDescent="0.25">
      <c r="A108" s="507" t="s">
        <v>35</v>
      </c>
      <c r="B108" s="507" t="s">
        <v>239</v>
      </c>
      <c r="C108" s="507" t="s">
        <v>241</v>
      </c>
      <c r="D108" s="507" t="s">
        <v>59</v>
      </c>
      <c r="E108" s="253">
        <f t="shared" si="57"/>
        <v>6068200</v>
      </c>
      <c r="F108" s="231">
        <f>(6068200)</f>
        <v>6068200</v>
      </c>
      <c r="G108" s="231"/>
      <c r="H108" s="231"/>
      <c r="I108" s="231"/>
      <c r="J108" s="510">
        <f t="shared" si="58"/>
        <v>468600</v>
      </c>
      <c r="K108" s="231">
        <v>468600</v>
      </c>
      <c r="L108" s="231"/>
      <c r="M108" s="231"/>
      <c r="N108" s="231"/>
      <c r="O108" s="511">
        <f t="shared" si="59"/>
        <v>468600</v>
      </c>
      <c r="P108" s="510">
        <f t="shared" si="60"/>
        <v>6536800</v>
      </c>
      <c r="R108" s="335" t="b">
        <f>K108=[1]d5!J124+[1]d5!J123</f>
        <v>1</v>
      </c>
    </row>
    <row r="109" spans="1:18" ht="276" thickTop="1" thickBot="1" x14ac:dyDescent="0.25">
      <c r="A109" s="338" t="s">
        <v>36</v>
      </c>
      <c r="B109" s="338" t="s">
        <v>240</v>
      </c>
      <c r="C109" s="338" t="s">
        <v>241</v>
      </c>
      <c r="D109" s="507" t="s">
        <v>37</v>
      </c>
      <c r="E109" s="253">
        <f t="shared" si="57"/>
        <v>1443547</v>
      </c>
      <c r="F109" s="231">
        <f>(2027547)-584000</f>
        <v>1443547</v>
      </c>
      <c r="G109" s="512"/>
      <c r="H109" s="512"/>
      <c r="I109" s="512"/>
      <c r="J109" s="510">
        <f t="shared" si="58"/>
        <v>0</v>
      </c>
      <c r="K109" s="512"/>
      <c r="L109" s="512"/>
      <c r="M109" s="512"/>
      <c r="N109" s="512"/>
      <c r="O109" s="511">
        <f t="shared" si="59"/>
        <v>0</v>
      </c>
      <c r="P109" s="510">
        <f t="shared" si="60"/>
        <v>1443547</v>
      </c>
      <c r="R109" s="335"/>
    </row>
    <row r="110" spans="1:18" ht="184.5" hidden="1" thickTop="1" thickBot="1" x14ac:dyDescent="0.25">
      <c r="A110" s="338" t="s">
        <v>730</v>
      </c>
      <c r="B110" s="338" t="s">
        <v>728</v>
      </c>
      <c r="C110" s="338" t="s">
        <v>241</v>
      </c>
      <c r="D110" s="507" t="s">
        <v>729</v>
      </c>
      <c r="E110" s="253">
        <f t="shared" si="57"/>
        <v>0</v>
      </c>
      <c r="F110" s="231"/>
      <c r="G110" s="512"/>
      <c r="H110" s="512"/>
      <c r="I110" s="512"/>
      <c r="J110" s="510">
        <f t="shared" si="58"/>
        <v>0</v>
      </c>
      <c r="K110" s="512"/>
      <c r="L110" s="512"/>
      <c r="M110" s="512"/>
      <c r="N110" s="512"/>
      <c r="O110" s="511">
        <f t="shared" si="59"/>
        <v>0</v>
      </c>
      <c r="P110" s="510">
        <f t="shared" si="60"/>
        <v>0</v>
      </c>
      <c r="R110" s="335"/>
    </row>
    <row r="111" spans="1:18" ht="93" thickTop="1" thickBot="1" x14ac:dyDescent="0.25">
      <c r="A111" s="338" t="s">
        <v>38</v>
      </c>
      <c r="B111" s="338" t="s">
        <v>242</v>
      </c>
      <c r="C111" s="338" t="s">
        <v>241</v>
      </c>
      <c r="D111" s="507" t="s">
        <v>39</v>
      </c>
      <c r="E111" s="253">
        <f>F111</f>
        <v>1522890</v>
      </c>
      <c r="F111" s="231">
        <v>1522890</v>
      </c>
      <c r="G111" s="512">
        <v>1049330</v>
      </c>
      <c r="H111" s="512"/>
      <c r="I111" s="512"/>
      <c r="J111" s="510">
        <f t="shared" si="58"/>
        <v>0</v>
      </c>
      <c r="K111" s="512"/>
      <c r="L111" s="512"/>
      <c r="M111" s="512"/>
      <c r="N111" s="512"/>
      <c r="O111" s="511">
        <f t="shared" si="59"/>
        <v>0</v>
      </c>
      <c r="P111" s="510">
        <f t="shared" si="60"/>
        <v>1522890</v>
      </c>
      <c r="R111" s="335"/>
    </row>
    <row r="112" spans="1:18" ht="276" thickTop="1" thickBot="1" x14ac:dyDescent="0.25">
      <c r="A112" s="338" t="s">
        <v>417</v>
      </c>
      <c r="B112" s="338" t="s">
        <v>416</v>
      </c>
      <c r="C112" s="338" t="s">
        <v>415</v>
      </c>
      <c r="D112" s="507" t="s">
        <v>414</v>
      </c>
      <c r="E112" s="253">
        <f>F112</f>
        <v>19211</v>
      </c>
      <c r="F112" s="231">
        <f>(9036)+10175</f>
        <v>19211</v>
      </c>
      <c r="G112" s="512"/>
      <c r="H112" s="512"/>
      <c r="I112" s="512"/>
      <c r="J112" s="510">
        <f t="shared" si="58"/>
        <v>0</v>
      </c>
      <c r="K112" s="512"/>
      <c r="L112" s="512"/>
      <c r="M112" s="512"/>
      <c r="N112" s="512"/>
      <c r="O112" s="511">
        <f t="shared" si="59"/>
        <v>0</v>
      </c>
      <c r="P112" s="510">
        <f t="shared" si="60"/>
        <v>19211</v>
      </c>
      <c r="R112" s="335"/>
    </row>
    <row r="113" spans="1:18" ht="93" thickTop="1" thickBot="1" x14ac:dyDescent="0.25">
      <c r="A113" s="507" t="s">
        <v>463</v>
      </c>
      <c r="B113" s="507" t="s">
        <v>443</v>
      </c>
      <c r="C113" s="507" t="s">
        <v>53</v>
      </c>
      <c r="D113" s="507" t="s">
        <v>444</v>
      </c>
      <c r="E113" s="253">
        <f>F113</f>
        <v>0</v>
      </c>
      <c r="F113" s="231"/>
      <c r="G113" s="512"/>
      <c r="H113" s="512"/>
      <c r="I113" s="512"/>
      <c r="J113" s="510">
        <f t="shared" si="58"/>
        <v>200000</v>
      </c>
      <c r="K113" s="512">
        <v>200000</v>
      </c>
      <c r="L113" s="512"/>
      <c r="M113" s="512"/>
      <c r="N113" s="512"/>
      <c r="O113" s="511">
        <f t="shared" si="59"/>
        <v>200000</v>
      </c>
      <c r="P113" s="510">
        <f t="shared" si="60"/>
        <v>200000</v>
      </c>
      <c r="R113" s="335" t="b">
        <f>K113=[1]d5!J125</f>
        <v>1</v>
      </c>
    </row>
    <row r="114" spans="1:18" ht="181.5" thickTop="1" thickBot="1" x14ac:dyDescent="0.25">
      <c r="A114" s="350" t="s">
        <v>198</v>
      </c>
      <c r="B114" s="350"/>
      <c r="C114" s="350"/>
      <c r="D114" s="351" t="s">
        <v>28</v>
      </c>
      <c r="E114" s="352">
        <f>E115</f>
        <v>265135095</v>
      </c>
      <c r="F114" s="353">
        <f t="shared" ref="F114:G114" si="61">F115</f>
        <v>265135095</v>
      </c>
      <c r="G114" s="353">
        <f t="shared" si="61"/>
        <v>9437284</v>
      </c>
      <c r="H114" s="353">
        <f>H115</f>
        <v>254669</v>
      </c>
      <c r="I114" s="352">
        <f t="shared" ref="I114" si="62">I115</f>
        <v>0</v>
      </c>
      <c r="J114" s="352">
        <f>J115</f>
        <v>143780147.29000002</v>
      </c>
      <c r="K114" s="353">
        <f>K115</f>
        <v>143554868.59</v>
      </c>
      <c r="L114" s="353">
        <f>L115</f>
        <v>205900</v>
      </c>
      <c r="M114" s="353">
        <f t="shared" ref="M114" si="63">M115</f>
        <v>0</v>
      </c>
      <c r="N114" s="352">
        <f>N115</f>
        <v>0</v>
      </c>
      <c r="O114" s="352">
        <f>O115</f>
        <v>143574247.29000002</v>
      </c>
      <c r="P114" s="353">
        <f>P115</f>
        <v>408915242.29000002</v>
      </c>
    </row>
    <row r="115" spans="1:18" ht="181.5" thickTop="1" thickBot="1" x14ac:dyDescent="0.25">
      <c r="A115" s="354" t="s">
        <v>199</v>
      </c>
      <c r="B115" s="354"/>
      <c r="C115" s="354"/>
      <c r="D115" s="355" t="s">
        <v>48</v>
      </c>
      <c r="E115" s="356">
        <f>SUM(E116:E133)</f>
        <v>265135095</v>
      </c>
      <c r="F115" s="356">
        <f>SUM(F116:F133)</f>
        <v>265135095</v>
      </c>
      <c r="G115" s="356">
        <f>SUM(G116:G133)</f>
        <v>9437284</v>
      </c>
      <c r="H115" s="356">
        <f>SUM(H116:H133)</f>
        <v>254669</v>
      </c>
      <c r="I115" s="356">
        <f>SUM(I116:I133)</f>
        <v>0</v>
      </c>
      <c r="J115" s="356">
        <f t="shared" ref="J115:J130" si="64">L115+O115</f>
        <v>143780147.29000002</v>
      </c>
      <c r="K115" s="356">
        <f>SUM(K116:K133)</f>
        <v>143554868.59</v>
      </c>
      <c r="L115" s="356">
        <f>SUM(L116:L133)</f>
        <v>205900</v>
      </c>
      <c r="M115" s="356">
        <f>SUM(M116:M133)</f>
        <v>0</v>
      </c>
      <c r="N115" s="356">
        <f>SUM(N116:N133)</f>
        <v>0</v>
      </c>
      <c r="O115" s="356">
        <f>SUM(O116:O133)</f>
        <v>143574247.29000002</v>
      </c>
      <c r="P115" s="357">
        <f>E115+J115</f>
        <v>408915242.29000002</v>
      </c>
      <c r="Q115" s="334" t="b">
        <f>P115=P118+P120+P121+P122+P123+P124+P125+P127+P128+P129+P133+P119+P116+P130+P117+P126+P132</f>
        <v>1</v>
      </c>
      <c r="R115" s="335" t="b">
        <f>K115=[1]d5!J126</f>
        <v>1</v>
      </c>
    </row>
    <row r="116" spans="1:18" ht="230.25" thickTop="1" thickBot="1" x14ac:dyDescent="0.25">
      <c r="A116" s="507" t="s">
        <v>522</v>
      </c>
      <c r="B116" s="507" t="s">
        <v>286</v>
      </c>
      <c r="C116" s="507" t="s">
        <v>284</v>
      </c>
      <c r="D116" s="507" t="s">
        <v>285</v>
      </c>
      <c r="E116" s="253">
        <f>F116</f>
        <v>11130780</v>
      </c>
      <c r="F116" s="231">
        <f>(11300780)-170000</f>
        <v>11130780</v>
      </c>
      <c r="G116" s="231">
        <f>(8433900)-140000</f>
        <v>8293900</v>
      </c>
      <c r="H116" s="231">
        <f>(99400+4200+54700+5300)+12000+3520+241</f>
        <v>179361</v>
      </c>
      <c r="I116" s="231"/>
      <c r="J116" s="510">
        <f t="shared" si="64"/>
        <v>17000</v>
      </c>
      <c r="K116" s="231">
        <v>17000</v>
      </c>
      <c r="L116" s="254"/>
      <c r="M116" s="254"/>
      <c r="N116" s="254"/>
      <c r="O116" s="511">
        <f t="shared" ref="O116:O129" si="65">K116</f>
        <v>17000</v>
      </c>
      <c r="P116" s="510">
        <f t="shared" ref="P116:P122" si="66">+J116+E116</f>
        <v>11147780</v>
      </c>
      <c r="Q116" s="334"/>
      <c r="R116" s="335" t="b">
        <f>K116=[1]d5!J128</f>
        <v>1</v>
      </c>
    </row>
    <row r="117" spans="1:18" ht="93" thickTop="1" thickBot="1" x14ac:dyDescent="0.25">
      <c r="A117" s="507" t="s">
        <v>552</v>
      </c>
      <c r="B117" s="507" t="s">
        <v>53</v>
      </c>
      <c r="C117" s="507" t="s">
        <v>52</v>
      </c>
      <c r="D117" s="507" t="s">
        <v>298</v>
      </c>
      <c r="E117" s="253">
        <f>F117</f>
        <v>150000</v>
      </c>
      <c r="F117" s="231">
        <v>150000</v>
      </c>
      <c r="G117" s="231"/>
      <c r="H117" s="231"/>
      <c r="I117" s="231"/>
      <c r="J117" s="510">
        <f t="shared" si="64"/>
        <v>0</v>
      </c>
      <c r="K117" s="231"/>
      <c r="L117" s="254"/>
      <c r="M117" s="254"/>
      <c r="N117" s="254"/>
      <c r="O117" s="511">
        <f t="shared" si="65"/>
        <v>0</v>
      </c>
      <c r="P117" s="510">
        <f t="shared" si="66"/>
        <v>150000</v>
      </c>
      <c r="Q117" s="334"/>
      <c r="R117" s="335"/>
    </row>
    <row r="118" spans="1:18" ht="138.75" thickTop="1" thickBot="1" x14ac:dyDescent="0.25">
      <c r="A118" s="507" t="s">
        <v>331</v>
      </c>
      <c r="B118" s="507" t="s">
        <v>332</v>
      </c>
      <c r="C118" s="507" t="s">
        <v>415</v>
      </c>
      <c r="D118" s="507" t="s">
        <v>333</v>
      </c>
      <c r="E118" s="253">
        <f t="shared" ref="E118:E133" si="67">F118</f>
        <v>2076700</v>
      </c>
      <c r="F118" s="231">
        <f>((3300000)-1323300)+100000</f>
        <v>2076700</v>
      </c>
      <c r="G118" s="231"/>
      <c r="H118" s="231"/>
      <c r="I118" s="231"/>
      <c r="J118" s="510">
        <f t="shared" si="64"/>
        <v>5421200</v>
      </c>
      <c r="K118" s="231">
        <f>(4097900)+1323300</f>
        <v>5421200</v>
      </c>
      <c r="L118" s="254"/>
      <c r="M118" s="254"/>
      <c r="N118" s="254"/>
      <c r="O118" s="511">
        <f t="shared" si="65"/>
        <v>5421200</v>
      </c>
      <c r="P118" s="510">
        <f t="shared" si="66"/>
        <v>7497900</v>
      </c>
    </row>
    <row r="119" spans="1:18" ht="138.75" thickTop="1" thickBot="1" x14ac:dyDescent="0.25">
      <c r="A119" s="507" t="s">
        <v>464</v>
      </c>
      <c r="B119" s="507" t="s">
        <v>465</v>
      </c>
      <c r="C119" s="507" t="s">
        <v>334</v>
      </c>
      <c r="D119" s="507" t="s">
        <v>466</v>
      </c>
      <c r="E119" s="253">
        <f t="shared" si="67"/>
        <v>27000000</v>
      </c>
      <c r="F119" s="231">
        <f>(22000000+3000000)+2000000</f>
        <v>27000000</v>
      </c>
      <c r="G119" s="231"/>
      <c r="H119" s="231"/>
      <c r="I119" s="231"/>
      <c r="J119" s="510">
        <f t="shared" si="64"/>
        <v>0</v>
      </c>
      <c r="K119" s="231"/>
      <c r="L119" s="254"/>
      <c r="M119" s="254"/>
      <c r="N119" s="254"/>
      <c r="O119" s="511">
        <f t="shared" si="65"/>
        <v>0</v>
      </c>
      <c r="P119" s="510">
        <f t="shared" si="66"/>
        <v>27000000</v>
      </c>
    </row>
    <row r="120" spans="1:18" ht="138.75" thickTop="1" thickBot="1" x14ac:dyDescent="0.25">
      <c r="A120" s="507" t="s">
        <v>337</v>
      </c>
      <c r="B120" s="507" t="s">
        <v>338</v>
      </c>
      <c r="C120" s="507" t="s">
        <v>334</v>
      </c>
      <c r="D120" s="507" t="s">
        <v>339</v>
      </c>
      <c r="E120" s="253">
        <f t="shared" si="67"/>
        <v>9595480</v>
      </c>
      <c r="F120" s="231">
        <f>(10645480-2000000)+500000+450000</f>
        <v>9595480</v>
      </c>
      <c r="G120" s="231"/>
      <c r="H120" s="231"/>
      <c r="I120" s="231"/>
      <c r="J120" s="510">
        <f t="shared" si="64"/>
        <v>0</v>
      </c>
      <c r="K120" s="231"/>
      <c r="L120" s="254"/>
      <c r="M120" s="254"/>
      <c r="N120" s="254"/>
      <c r="O120" s="511">
        <f t="shared" si="65"/>
        <v>0</v>
      </c>
      <c r="P120" s="510">
        <f t="shared" si="66"/>
        <v>9595480</v>
      </c>
    </row>
    <row r="121" spans="1:18" ht="138.75" thickTop="1" thickBot="1" x14ac:dyDescent="0.25">
      <c r="A121" s="507" t="s">
        <v>356</v>
      </c>
      <c r="B121" s="507" t="s">
        <v>357</v>
      </c>
      <c r="C121" s="507" t="s">
        <v>334</v>
      </c>
      <c r="D121" s="507" t="s">
        <v>358</v>
      </c>
      <c r="E121" s="253">
        <f t="shared" si="67"/>
        <v>0</v>
      </c>
      <c r="F121" s="231"/>
      <c r="G121" s="231"/>
      <c r="H121" s="231"/>
      <c r="I121" s="231"/>
      <c r="J121" s="510">
        <f t="shared" si="64"/>
        <v>9235016</v>
      </c>
      <c r="K121" s="231">
        <f>(5000000)+4235016</f>
        <v>9235016</v>
      </c>
      <c r="L121" s="254"/>
      <c r="M121" s="254"/>
      <c r="N121" s="254"/>
      <c r="O121" s="511">
        <f t="shared" si="65"/>
        <v>9235016</v>
      </c>
      <c r="P121" s="510">
        <f t="shared" si="66"/>
        <v>9235016</v>
      </c>
    </row>
    <row r="122" spans="1:18" ht="138.75" thickTop="1" thickBot="1" x14ac:dyDescent="0.25">
      <c r="A122" s="507" t="s">
        <v>335</v>
      </c>
      <c r="B122" s="507" t="s">
        <v>336</v>
      </c>
      <c r="C122" s="507" t="s">
        <v>334</v>
      </c>
      <c r="D122" s="507" t="s">
        <v>633</v>
      </c>
      <c r="E122" s="253">
        <f t="shared" si="67"/>
        <v>500000</v>
      </c>
      <c r="F122" s="231">
        <v>500000</v>
      </c>
      <c r="G122" s="231"/>
      <c r="H122" s="231"/>
      <c r="I122" s="231"/>
      <c r="J122" s="510">
        <f t="shared" si="64"/>
        <v>18172317</v>
      </c>
      <c r="K122" s="231">
        <f>((17000000)+972317)+200000</f>
        <v>18172317</v>
      </c>
      <c r="L122" s="254"/>
      <c r="M122" s="254"/>
      <c r="N122" s="254"/>
      <c r="O122" s="511">
        <f t="shared" si="65"/>
        <v>18172317</v>
      </c>
      <c r="P122" s="510">
        <f t="shared" si="66"/>
        <v>18672317</v>
      </c>
    </row>
    <row r="123" spans="1:18" ht="230.25" thickTop="1" thickBot="1" x14ac:dyDescent="0.25">
      <c r="A123" s="507" t="s">
        <v>351</v>
      </c>
      <c r="B123" s="507" t="s">
        <v>352</v>
      </c>
      <c r="C123" s="507" t="s">
        <v>334</v>
      </c>
      <c r="D123" s="507" t="s">
        <v>353</v>
      </c>
      <c r="E123" s="253">
        <f t="shared" si="67"/>
        <v>6600000</v>
      </c>
      <c r="F123" s="231">
        <v>6600000</v>
      </c>
      <c r="G123" s="231"/>
      <c r="H123" s="231"/>
      <c r="I123" s="231"/>
      <c r="J123" s="510">
        <f t="shared" si="64"/>
        <v>0</v>
      </c>
      <c r="K123" s="512"/>
      <c r="L123" s="231"/>
      <c r="M123" s="231"/>
      <c r="N123" s="231"/>
      <c r="O123" s="511">
        <f t="shared" si="65"/>
        <v>0</v>
      </c>
      <c r="P123" s="510">
        <f t="shared" ref="P123:P126" si="68">E123+J123</f>
        <v>6600000</v>
      </c>
    </row>
    <row r="124" spans="1:18" ht="93" thickTop="1" thickBot="1" x14ac:dyDescent="0.25">
      <c r="A124" s="507" t="s">
        <v>340</v>
      </c>
      <c r="B124" s="507" t="s">
        <v>341</v>
      </c>
      <c r="C124" s="507" t="s">
        <v>334</v>
      </c>
      <c r="D124" s="507" t="s">
        <v>342</v>
      </c>
      <c r="E124" s="253">
        <f t="shared" si="67"/>
        <v>156581181</v>
      </c>
      <c r="F124" s="231">
        <f>(156465346)+115835</f>
        <v>156581181</v>
      </c>
      <c r="G124" s="231"/>
      <c r="H124" s="231">
        <v>55000</v>
      </c>
      <c r="I124" s="231"/>
      <c r="J124" s="510">
        <f t="shared" si="64"/>
        <v>12233227</v>
      </c>
      <c r="K124" s="512">
        <f>(13161600)-928373</f>
        <v>12233227</v>
      </c>
      <c r="L124" s="231"/>
      <c r="M124" s="231"/>
      <c r="N124" s="231"/>
      <c r="O124" s="511">
        <f t="shared" si="65"/>
        <v>12233227</v>
      </c>
      <c r="P124" s="510">
        <f t="shared" si="68"/>
        <v>168814408</v>
      </c>
    </row>
    <row r="125" spans="1:18" ht="99.75" thickTop="1" thickBot="1" x14ac:dyDescent="0.25">
      <c r="A125" s="507" t="s">
        <v>360</v>
      </c>
      <c r="B125" s="507" t="s">
        <v>361</v>
      </c>
      <c r="C125" s="507" t="s">
        <v>359</v>
      </c>
      <c r="D125" s="507" t="s">
        <v>649</v>
      </c>
      <c r="E125" s="253">
        <f t="shared" si="67"/>
        <v>0</v>
      </c>
      <c r="F125" s="231"/>
      <c r="G125" s="231"/>
      <c r="H125" s="231"/>
      <c r="I125" s="231"/>
      <c r="J125" s="510">
        <f>L125+O125</f>
        <v>9338415</v>
      </c>
      <c r="K125" s="512">
        <f>(11211415)-1873000</f>
        <v>9338415</v>
      </c>
      <c r="L125" s="231"/>
      <c r="M125" s="231"/>
      <c r="N125" s="231"/>
      <c r="O125" s="511">
        <f>K125</f>
        <v>9338415</v>
      </c>
      <c r="P125" s="510">
        <f t="shared" si="68"/>
        <v>9338415</v>
      </c>
    </row>
    <row r="126" spans="1:18" ht="138.75" thickTop="1" thickBot="1" x14ac:dyDescent="0.25">
      <c r="A126" s="507" t="s">
        <v>558</v>
      </c>
      <c r="B126" s="507" t="s">
        <v>428</v>
      </c>
      <c r="C126" s="507" t="s">
        <v>210</v>
      </c>
      <c r="D126" s="507" t="s">
        <v>313</v>
      </c>
      <c r="E126" s="253">
        <f t="shared" si="67"/>
        <v>0</v>
      </c>
      <c r="F126" s="231"/>
      <c r="G126" s="231"/>
      <c r="H126" s="231"/>
      <c r="I126" s="231"/>
      <c r="J126" s="510">
        <f>L126+O126</f>
        <v>604023.59000000008</v>
      </c>
      <c r="K126" s="512">
        <f>(2000000)-1395976.41</f>
        <v>604023.59000000008</v>
      </c>
      <c r="L126" s="231"/>
      <c r="M126" s="231"/>
      <c r="N126" s="231"/>
      <c r="O126" s="511">
        <f>K126</f>
        <v>604023.59000000008</v>
      </c>
      <c r="P126" s="510">
        <f t="shared" si="68"/>
        <v>604023.59000000008</v>
      </c>
      <c r="R126" s="327"/>
    </row>
    <row r="127" spans="1:18" ht="230.25" thickTop="1" thickBot="1" x14ac:dyDescent="0.25">
      <c r="A127" s="507" t="s">
        <v>346</v>
      </c>
      <c r="B127" s="507" t="s">
        <v>347</v>
      </c>
      <c r="C127" s="507" t="s">
        <v>349</v>
      </c>
      <c r="D127" s="507" t="s">
        <v>348</v>
      </c>
      <c r="E127" s="253">
        <f t="shared" si="67"/>
        <v>49107900</v>
      </c>
      <c r="F127" s="231">
        <f>(70556900)-21449000</f>
        <v>49107900</v>
      </c>
      <c r="G127" s="231"/>
      <c r="H127" s="231"/>
      <c r="I127" s="231"/>
      <c r="J127" s="510">
        <f t="shared" si="64"/>
        <v>49602612.700000003</v>
      </c>
      <c r="K127" s="231">
        <f>(44083234)+5519378.7-19378.7</f>
        <v>49583234</v>
      </c>
      <c r="L127" s="254"/>
      <c r="M127" s="254"/>
      <c r="N127" s="254"/>
      <c r="O127" s="511">
        <f>K127+19378.7</f>
        <v>49602612.700000003</v>
      </c>
      <c r="P127" s="510">
        <f>+J127+E127</f>
        <v>98710512.700000003</v>
      </c>
    </row>
    <row r="128" spans="1:18" ht="48" thickTop="1" thickBot="1" x14ac:dyDescent="0.25">
      <c r="A128" s="507" t="s">
        <v>350</v>
      </c>
      <c r="B128" s="507" t="s">
        <v>262</v>
      </c>
      <c r="C128" s="507" t="s">
        <v>263</v>
      </c>
      <c r="D128" s="507" t="s">
        <v>51</v>
      </c>
      <c r="E128" s="253">
        <f t="shared" si="67"/>
        <v>850000</v>
      </c>
      <c r="F128" s="231">
        <f>(550000)+300000</f>
        <v>850000</v>
      </c>
      <c r="G128" s="231"/>
      <c r="H128" s="231"/>
      <c r="I128" s="231"/>
      <c r="J128" s="510">
        <f t="shared" si="64"/>
        <v>25688000</v>
      </c>
      <c r="K128" s="512">
        <v>25688000</v>
      </c>
      <c r="L128" s="231"/>
      <c r="M128" s="231"/>
      <c r="N128" s="231"/>
      <c r="O128" s="511">
        <f t="shared" si="65"/>
        <v>25688000</v>
      </c>
      <c r="P128" s="510">
        <f>E128+J128</f>
        <v>26538000</v>
      </c>
    </row>
    <row r="129" spans="1:18" ht="93" thickTop="1" thickBot="1" x14ac:dyDescent="0.7">
      <c r="A129" s="507" t="s">
        <v>362</v>
      </c>
      <c r="B129" s="507" t="s">
        <v>243</v>
      </c>
      <c r="C129" s="507" t="s">
        <v>210</v>
      </c>
      <c r="D129" s="507" t="s">
        <v>42</v>
      </c>
      <c r="E129" s="253">
        <f t="shared" si="67"/>
        <v>0</v>
      </c>
      <c r="F129" s="231"/>
      <c r="G129" s="231"/>
      <c r="H129" s="231"/>
      <c r="I129" s="231"/>
      <c r="J129" s="510">
        <f t="shared" si="64"/>
        <v>13214436</v>
      </c>
      <c r="K129" s="512">
        <f>((10349596-48000+300000)+450000)+2162840</f>
        <v>13214436</v>
      </c>
      <c r="L129" s="231"/>
      <c r="M129" s="231"/>
      <c r="N129" s="231"/>
      <c r="O129" s="511">
        <f t="shared" si="65"/>
        <v>13214436</v>
      </c>
      <c r="P129" s="510">
        <f>E129+J129</f>
        <v>13214436</v>
      </c>
      <c r="Q129" s="112"/>
    </row>
    <row r="130" spans="1:18" ht="358.5" customHeight="1" thickTop="1" thickBot="1" x14ac:dyDescent="0.7">
      <c r="A130" s="650" t="s">
        <v>528</v>
      </c>
      <c r="B130" s="650" t="s">
        <v>412</v>
      </c>
      <c r="C130" s="650" t="s">
        <v>210</v>
      </c>
      <c r="D130" s="232" t="s">
        <v>585</v>
      </c>
      <c r="E130" s="666">
        <f t="shared" si="67"/>
        <v>0</v>
      </c>
      <c r="F130" s="657"/>
      <c r="G130" s="657"/>
      <c r="H130" s="657"/>
      <c r="I130" s="657"/>
      <c r="J130" s="666">
        <f t="shared" si="64"/>
        <v>205900</v>
      </c>
      <c r="K130" s="657"/>
      <c r="L130" s="657">
        <f>(500000)-294100</f>
        <v>205900</v>
      </c>
      <c r="M130" s="657"/>
      <c r="N130" s="657"/>
      <c r="O130" s="669">
        <f>K130+0</f>
        <v>0</v>
      </c>
      <c r="P130" s="670">
        <f>E130+J130</f>
        <v>205900</v>
      </c>
      <c r="Q130" s="339">
        <f>P130</f>
        <v>205900</v>
      </c>
    </row>
    <row r="131" spans="1:18" ht="184.5" thickTop="1" thickBot="1" x14ac:dyDescent="0.7">
      <c r="A131" s="650"/>
      <c r="B131" s="650"/>
      <c r="C131" s="650"/>
      <c r="D131" s="233" t="s">
        <v>586</v>
      </c>
      <c r="E131" s="666"/>
      <c r="F131" s="657"/>
      <c r="G131" s="657"/>
      <c r="H131" s="657"/>
      <c r="I131" s="657"/>
      <c r="J131" s="666"/>
      <c r="K131" s="657"/>
      <c r="L131" s="657"/>
      <c r="M131" s="657"/>
      <c r="N131" s="657"/>
      <c r="O131" s="669"/>
      <c r="P131" s="670"/>
      <c r="Q131" s="112"/>
    </row>
    <row r="132" spans="1:18" ht="138.75" thickTop="1" thickBot="1" x14ac:dyDescent="0.7">
      <c r="A132" s="507" t="s">
        <v>752</v>
      </c>
      <c r="B132" s="507" t="s">
        <v>750</v>
      </c>
      <c r="C132" s="507" t="s">
        <v>302</v>
      </c>
      <c r="D132" s="243" t="s">
        <v>751</v>
      </c>
      <c r="E132" s="253">
        <f t="shared" ref="E132" si="69">F132</f>
        <v>100000</v>
      </c>
      <c r="F132" s="231">
        <v>100000</v>
      </c>
      <c r="G132" s="231"/>
      <c r="H132" s="231"/>
      <c r="I132" s="231"/>
      <c r="J132" s="510">
        <f>L132+O132</f>
        <v>0</v>
      </c>
      <c r="K132" s="512"/>
      <c r="L132" s="231"/>
      <c r="M132" s="231"/>
      <c r="N132" s="231"/>
      <c r="O132" s="511">
        <f>K132</f>
        <v>0</v>
      </c>
      <c r="P132" s="510">
        <f>E132+J132</f>
        <v>100000</v>
      </c>
      <c r="Q132" s="112"/>
    </row>
    <row r="133" spans="1:18" ht="93" thickTop="1" thickBot="1" x14ac:dyDescent="0.25">
      <c r="A133" s="507" t="s">
        <v>300</v>
      </c>
      <c r="B133" s="507" t="s">
        <v>301</v>
      </c>
      <c r="C133" s="507" t="s">
        <v>302</v>
      </c>
      <c r="D133" s="507" t="s">
        <v>299</v>
      </c>
      <c r="E133" s="253">
        <f t="shared" si="67"/>
        <v>1443054</v>
      </c>
      <c r="F133" s="231">
        <v>1443054</v>
      </c>
      <c r="G133" s="231">
        <v>1143384</v>
      </c>
      <c r="H133" s="231">
        <f>(489+13607+1212)+5000</f>
        <v>20308</v>
      </c>
      <c r="I133" s="231"/>
      <c r="J133" s="510">
        <f>L133+O133</f>
        <v>48000</v>
      </c>
      <c r="K133" s="512">
        <v>48000</v>
      </c>
      <c r="L133" s="231"/>
      <c r="M133" s="231"/>
      <c r="N133" s="231"/>
      <c r="O133" s="511">
        <f>K133</f>
        <v>48000</v>
      </c>
      <c r="P133" s="510">
        <f>E133+J133</f>
        <v>1491054</v>
      </c>
      <c r="R133" s="335" t="b">
        <f>K133=[1]d5!J193</f>
        <v>1</v>
      </c>
    </row>
    <row r="134" spans="1:18" ht="271.5" thickTop="1" thickBot="1" x14ac:dyDescent="0.25">
      <c r="A134" s="350" t="s">
        <v>30</v>
      </c>
      <c r="B134" s="350"/>
      <c r="C134" s="350"/>
      <c r="D134" s="351" t="s">
        <v>459</v>
      </c>
      <c r="E134" s="352">
        <f>E135</f>
        <v>2751025</v>
      </c>
      <c r="F134" s="353">
        <f t="shared" ref="F134:G134" si="70">F135</f>
        <v>2751025</v>
      </c>
      <c r="G134" s="353">
        <f t="shared" si="70"/>
        <v>1955000</v>
      </c>
      <c r="H134" s="353">
        <f>H135</f>
        <v>64975</v>
      </c>
      <c r="I134" s="352">
        <f t="shared" ref="I134" si="71">I135</f>
        <v>0</v>
      </c>
      <c r="J134" s="352">
        <f>J135</f>
        <v>90440172</v>
      </c>
      <c r="K134" s="353">
        <f>K135</f>
        <v>90440172</v>
      </c>
      <c r="L134" s="353">
        <f>L135</f>
        <v>0</v>
      </c>
      <c r="M134" s="353">
        <f t="shared" ref="M134" si="72">M135</f>
        <v>0</v>
      </c>
      <c r="N134" s="352">
        <f>N135</f>
        <v>0</v>
      </c>
      <c r="O134" s="352">
        <f>O135</f>
        <v>90440172</v>
      </c>
      <c r="P134" s="353">
        <f t="shared" ref="P134" si="73">P135</f>
        <v>93191197</v>
      </c>
    </row>
    <row r="135" spans="1:18" ht="271.5" thickTop="1" thickBot="1" x14ac:dyDescent="0.25">
      <c r="A135" s="354" t="s">
        <v>31</v>
      </c>
      <c r="B135" s="354"/>
      <c r="C135" s="354"/>
      <c r="D135" s="355" t="s">
        <v>458</v>
      </c>
      <c r="E135" s="356">
        <f>SUM(E136:E143)</f>
        <v>2751025</v>
      </c>
      <c r="F135" s="356">
        <f t="shared" ref="F135:O135" si="74">SUM(F136:F143)</f>
        <v>2751025</v>
      </c>
      <c r="G135" s="356">
        <f t="shared" si="74"/>
        <v>1955000</v>
      </c>
      <c r="H135" s="356">
        <f t="shared" si="74"/>
        <v>64975</v>
      </c>
      <c r="I135" s="356">
        <f t="shared" si="74"/>
        <v>0</v>
      </c>
      <c r="J135" s="356">
        <f t="shared" ref="J135:J143" si="75">L135+O135</f>
        <v>90440172</v>
      </c>
      <c r="K135" s="356">
        <f t="shared" si="74"/>
        <v>90440172</v>
      </c>
      <c r="L135" s="356">
        <f t="shared" si="74"/>
        <v>0</v>
      </c>
      <c r="M135" s="356">
        <f t="shared" si="74"/>
        <v>0</v>
      </c>
      <c r="N135" s="356">
        <f t="shared" si="74"/>
        <v>0</v>
      </c>
      <c r="O135" s="356">
        <f t="shared" si="74"/>
        <v>90440172</v>
      </c>
      <c r="P135" s="357">
        <f t="shared" ref="P135:P143" si="76">E135+J135</f>
        <v>93191197</v>
      </c>
      <c r="Q135" s="334" t="b">
        <f>P135=P139+P141+P142+P136+P137+P143+P138+P140</f>
        <v>1</v>
      </c>
      <c r="R135" s="335" t="b">
        <f>K135=[1]d5!J194</f>
        <v>1</v>
      </c>
    </row>
    <row r="136" spans="1:18" ht="230.25" thickTop="1" thickBot="1" x14ac:dyDescent="0.25">
      <c r="A136" s="507" t="s">
        <v>518</v>
      </c>
      <c r="B136" s="507" t="s">
        <v>286</v>
      </c>
      <c r="C136" s="507" t="s">
        <v>284</v>
      </c>
      <c r="D136" s="507" t="s">
        <v>285</v>
      </c>
      <c r="E136" s="510">
        <f>F136</f>
        <v>2593225</v>
      </c>
      <c r="F136" s="512">
        <f>(2709225)-116000</f>
        <v>2593225</v>
      </c>
      <c r="G136" s="512">
        <f>(2059000)-104000</f>
        <v>1955000</v>
      </c>
      <c r="H136" s="512">
        <f>1430+22400+41145</f>
        <v>64975</v>
      </c>
      <c r="I136" s="512"/>
      <c r="J136" s="510">
        <f t="shared" si="75"/>
        <v>0</v>
      </c>
      <c r="K136" s="512"/>
      <c r="L136" s="512"/>
      <c r="M136" s="512"/>
      <c r="N136" s="512"/>
      <c r="O136" s="511">
        <f>K136</f>
        <v>0</v>
      </c>
      <c r="P136" s="510">
        <f t="shared" si="76"/>
        <v>2593225</v>
      </c>
      <c r="Q136" s="334"/>
      <c r="R136" s="335"/>
    </row>
    <row r="137" spans="1:18" ht="93" thickTop="1" thickBot="1" x14ac:dyDescent="0.25">
      <c r="A137" s="507" t="s">
        <v>550</v>
      </c>
      <c r="B137" s="507" t="s">
        <v>53</v>
      </c>
      <c r="C137" s="507" t="s">
        <v>52</v>
      </c>
      <c r="D137" s="507" t="s">
        <v>298</v>
      </c>
      <c r="E137" s="510">
        <f>F137</f>
        <v>157800</v>
      </c>
      <c r="F137" s="512">
        <v>157800</v>
      </c>
      <c r="G137" s="512"/>
      <c r="H137" s="512"/>
      <c r="I137" s="512"/>
      <c r="J137" s="510">
        <f t="shared" si="75"/>
        <v>0</v>
      </c>
      <c r="K137" s="512"/>
      <c r="L137" s="512"/>
      <c r="M137" s="512"/>
      <c r="N137" s="512"/>
      <c r="O137" s="511">
        <f t="shared" ref="O137:O138" si="77">K137</f>
        <v>0</v>
      </c>
      <c r="P137" s="510">
        <f t="shared" si="76"/>
        <v>157800</v>
      </c>
      <c r="Q137" s="334"/>
      <c r="R137" s="335"/>
    </row>
    <row r="138" spans="1:18" ht="321.75" thickTop="1" thickBot="1" x14ac:dyDescent="0.25">
      <c r="A138" s="507" t="s">
        <v>553</v>
      </c>
      <c r="B138" s="507" t="s">
        <v>555</v>
      </c>
      <c r="C138" s="507" t="s">
        <v>241</v>
      </c>
      <c r="D138" s="507" t="s">
        <v>554</v>
      </c>
      <c r="E138" s="510">
        <f t="shared" ref="E138:E141" si="78">F138</f>
        <v>0</v>
      </c>
      <c r="F138" s="512"/>
      <c r="G138" s="512"/>
      <c r="H138" s="512"/>
      <c r="I138" s="512"/>
      <c r="J138" s="510">
        <f t="shared" si="75"/>
        <v>18200000</v>
      </c>
      <c r="K138" s="512">
        <f>(10000000+5000000)+3200000</f>
        <v>18200000</v>
      </c>
      <c r="L138" s="512"/>
      <c r="M138" s="512"/>
      <c r="N138" s="512"/>
      <c r="O138" s="511">
        <f t="shared" si="77"/>
        <v>18200000</v>
      </c>
      <c r="P138" s="510">
        <f t="shared" si="76"/>
        <v>18200000</v>
      </c>
      <c r="Q138" s="334"/>
      <c r="R138" s="335"/>
    </row>
    <row r="139" spans="1:18" ht="99.75" thickTop="1" thickBot="1" x14ac:dyDescent="0.25">
      <c r="A139" s="507" t="s">
        <v>371</v>
      </c>
      <c r="B139" s="507" t="s">
        <v>372</v>
      </c>
      <c r="C139" s="507" t="s">
        <v>359</v>
      </c>
      <c r="D139" s="507" t="s">
        <v>647</v>
      </c>
      <c r="E139" s="510">
        <f t="shared" si="78"/>
        <v>0</v>
      </c>
      <c r="F139" s="512"/>
      <c r="G139" s="512"/>
      <c r="H139" s="512"/>
      <c r="I139" s="512"/>
      <c r="J139" s="510">
        <f t="shared" si="75"/>
        <v>19800000</v>
      </c>
      <c r="K139" s="512">
        <f>((((12200000)+3000000)+2200000)+2400000)</f>
        <v>19800000</v>
      </c>
      <c r="L139" s="512"/>
      <c r="M139" s="512"/>
      <c r="N139" s="512"/>
      <c r="O139" s="511">
        <f>K139</f>
        <v>19800000</v>
      </c>
      <c r="P139" s="510">
        <f t="shared" si="76"/>
        <v>19800000</v>
      </c>
      <c r="Q139" s="327"/>
    </row>
    <row r="140" spans="1:18" ht="99.75" thickTop="1" thickBot="1" x14ac:dyDescent="0.25">
      <c r="A140" s="507" t="s">
        <v>748</v>
      </c>
      <c r="B140" s="507" t="s">
        <v>749</v>
      </c>
      <c r="C140" s="507" t="s">
        <v>359</v>
      </c>
      <c r="D140" s="507" t="s">
        <v>747</v>
      </c>
      <c r="E140" s="510">
        <f t="shared" si="78"/>
        <v>0</v>
      </c>
      <c r="F140" s="512"/>
      <c r="G140" s="512"/>
      <c r="H140" s="512"/>
      <c r="I140" s="512"/>
      <c r="J140" s="510">
        <f t="shared" si="75"/>
        <v>152378</v>
      </c>
      <c r="K140" s="512">
        <f>52378+100000</f>
        <v>152378</v>
      </c>
      <c r="L140" s="512"/>
      <c r="M140" s="512"/>
      <c r="N140" s="512"/>
      <c r="O140" s="511">
        <f>K140</f>
        <v>152378</v>
      </c>
      <c r="P140" s="510">
        <f t="shared" si="76"/>
        <v>152378</v>
      </c>
      <c r="Q140" s="327"/>
    </row>
    <row r="141" spans="1:18" ht="145.5" thickTop="1" thickBot="1" x14ac:dyDescent="0.25">
      <c r="A141" s="507" t="s">
        <v>373</v>
      </c>
      <c r="B141" s="507" t="s">
        <v>374</v>
      </c>
      <c r="C141" s="507" t="s">
        <v>359</v>
      </c>
      <c r="D141" s="507" t="s">
        <v>646</v>
      </c>
      <c r="E141" s="510">
        <f t="shared" si="78"/>
        <v>0</v>
      </c>
      <c r="F141" s="512"/>
      <c r="G141" s="512"/>
      <c r="H141" s="512"/>
      <c r="I141" s="512"/>
      <c r="J141" s="510">
        <f t="shared" si="75"/>
        <v>600000</v>
      </c>
      <c r="K141" s="512">
        <f>(1000000)-400000</f>
        <v>600000</v>
      </c>
      <c r="L141" s="512"/>
      <c r="M141" s="512"/>
      <c r="N141" s="512"/>
      <c r="O141" s="511">
        <f>K141</f>
        <v>600000</v>
      </c>
      <c r="P141" s="510">
        <f t="shared" si="76"/>
        <v>600000</v>
      </c>
      <c r="Q141" s="327"/>
    </row>
    <row r="142" spans="1:18" ht="99.75" thickTop="1" thickBot="1" x14ac:dyDescent="0.3">
      <c r="A142" s="507" t="s">
        <v>376</v>
      </c>
      <c r="B142" s="507" t="s">
        <v>377</v>
      </c>
      <c r="C142" s="507" t="s">
        <v>359</v>
      </c>
      <c r="D142" s="507" t="s">
        <v>645</v>
      </c>
      <c r="E142" s="510">
        <f>F142</f>
        <v>0</v>
      </c>
      <c r="F142" s="512"/>
      <c r="G142" s="512"/>
      <c r="H142" s="512"/>
      <c r="I142" s="512"/>
      <c r="J142" s="510">
        <f t="shared" si="75"/>
        <v>22417622</v>
      </c>
      <c r="K142" s="512">
        <f>(14800000)+1947622+5670000</f>
        <v>22417622</v>
      </c>
      <c r="L142" s="512"/>
      <c r="M142" s="512"/>
      <c r="N142" s="512"/>
      <c r="O142" s="511">
        <f>K142</f>
        <v>22417622</v>
      </c>
      <c r="P142" s="510">
        <f t="shared" si="76"/>
        <v>22417622</v>
      </c>
      <c r="Q142" s="160"/>
    </row>
    <row r="143" spans="1:18" ht="138.75" thickTop="1" thickBot="1" x14ac:dyDescent="0.25">
      <c r="A143" s="507" t="s">
        <v>572</v>
      </c>
      <c r="B143" s="507" t="s">
        <v>428</v>
      </c>
      <c r="C143" s="507" t="s">
        <v>210</v>
      </c>
      <c r="D143" s="507" t="s">
        <v>313</v>
      </c>
      <c r="E143" s="510">
        <f>F143</f>
        <v>0</v>
      </c>
      <c r="F143" s="512"/>
      <c r="G143" s="512"/>
      <c r="H143" s="512"/>
      <c r="I143" s="512"/>
      <c r="J143" s="510">
        <f t="shared" si="75"/>
        <v>29270172</v>
      </c>
      <c r="K143" s="512">
        <f>(((23000000)-3000000)-29828-100000)+9400000</f>
        <v>29270172</v>
      </c>
      <c r="L143" s="512"/>
      <c r="M143" s="512"/>
      <c r="N143" s="512"/>
      <c r="O143" s="511">
        <f>K143</f>
        <v>29270172</v>
      </c>
      <c r="P143" s="510">
        <f t="shared" si="76"/>
        <v>29270172</v>
      </c>
    </row>
    <row r="144" spans="1:18" ht="271.5" thickTop="1" thickBot="1" x14ac:dyDescent="0.25">
      <c r="A144" s="350" t="s">
        <v>200</v>
      </c>
      <c r="B144" s="350"/>
      <c r="C144" s="350"/>
      <c r="D144" s="351" t="s">
        <v>928</v>
      </c>
      <c r="E144" s="352">
        <f>E145</f>
        <v>4299600</v>
      </c>
      <c r="F144" s="353">
        <f t="shared" ref="F144:G144" si="79">F145</f>
        <v>4299600</v>
      </c>
      <c r="G144" s="353">
        <f t="shared" si="79"/>
        <v>3108000</v>
      </c>
      <c r="H144" s="353">
        <f>H145</f>
        <v>107000</v>
      </c>
      <c r="I144" s="352">
        <f t="shared" ref="I144" si="80">I145</f>
        <v>0</v>
      </c>
      <c r="J144" s="352">
        <f>J145</f>
        <v>441220</v>
      </c>
      <c r="K144" s="353">
        <f>K145</f>
        <v>441220</v>
      </c>
      <c r="L144" s="353">
        <f>L145</f>
        <v>0</v>
      </c>
      <c r="M144" s="353">
        <f t="shared" ref="M144" si="81">M145</f>
        <v>0</v>
      </c>
      <c r="N144" s="352">
        <f>N145</f>
        <v>0</v>
      </c>
      <c r="O144" s="352">
        <f>O145</f>
        <v>441220</v>
      </c>
      <c r="P144" s="353">
        <f t="shared" ref="P144" si="82">P145</f>
        <v>4740820</v>
      </c>
    </row>
    <row r="145" spans="1:18" ht="226.5" thickTop="1" thickBot="1" x14ac:dyDescent="0.25">
      <c r="A145" s="354" t="s">
        <v>201</v>
      </c>
      <c r="B145" s="354"/>
      <c r="C145" s="354"/>
      <c r="D145" s="355" t="s">
        <v>929</v>
      </c>
      <c r="E145" s="356">
        <f>SUM(E146:E147)</f>
        <v>4299600</v>
      </c>
      <c r="F145" s="356">
        <f>SUM(F146:F147)</f>
        <v>4299600</v>
      </c>
      <c r="G145" s="356">
        <f>SUM(G146:G147)</f>
        <v>3108000</v>
      </c>
      <c r="H145" s="356">
        <f>SUM(H146:H147)</f>
        <v>107000</v>
      </c>
      <c r="I145" s="356">
        <f>SUM(I146:I147)</f>
        <v>0</v>
      </c>
      <c r="J145" s="356">
        <f>L145+O145</f>
        <v>441220</v>
      </c>
      <c r="K145" s="356">
        <f>SUM(K146:K147)</f>
        <v>441220</v>
      </c>
      <c r="L145" s="356">
        <f>SUM(L146:L147)</f>
        <v>0</v>
      </c>
      <c r="M145" s="356">
        <f>SUM(M146:M147)</f>
        <v>0</v>
      </c>
      <c r="N145" s="356">
        <f>SUM(N146:N147)</f>
        <v>0</v>
      </c>
      <c r="O145" s="356">
        <f>SUM(O146:O147)</f>
        <v>441220</v>
      </c>
      <c r="P145" s="357">
        <f>E145+J145</f>
        <v>4740820</v>
      </c>
      <c r="Q145" s="334" t="b">
        <f>P145=P146+P147</f>
        <v>1</v>
      </c>
      <c r="R145" s="335" t="b">
        <f>K145=[1]d5!J215</f>
        <v>1</v>
      </c>
    </row>
    <row r="146" spans="1:18" ht="230.25" thickTop="1" thickBot="1" x14ac:dyDescent="0.25">
      <c r="A146" s="507" t="s">
        <v>520</v>
      </c>
      <c r="B146" s="507" t="s">
        <v>286</v>
      </c>
      <c r="C146" s="507" t="s">
        <v>284</v>
      </c>
      <c r="D146" s="507" t="s">
        <v>285</v>
      </c>
      <c r="E146" s="510">
        <f>F146</f>
        <v>4299600</v>
      </c>
      <c r="F146" s="512">
        <f>(4515600)-216000</f>
        <v>4299600</v>
      </c>
      <c r="G146" s="512">
        <f>(3285000)-177000</f>
        <v>3108000</v>
      </c>
      <c r="H146" s="512">
        <f>78300+1300+27400</f>
        <v>107000</v>
      </c>
      <c r="I146" s="512"/>
      <c r="J146" s="510">
        <f>L146+O146</f>
        <v>0</v>
      </c>
      <c r="K146" s="512"/>
      <c r="L146" s="512"/>
      <c r="M146" s="512"/>
      <c r="N146" s="512"/>
      <c r="O146" s="511">
        <f>K146</f>
        <v>0</v>
      </c>
      <c r="P146" s="510">
        <f>E146+J146</f>
        <v>4299600</v>
      </c>
      <c r="Q146" s="334"/>
      <c r="R146" s="335"/>
    </row>
    <row r="147" spans="1:18" ht="138.75" thickTop="1" thickBot="1" x14ac:dyDescent="0.25">
      <c r="A147" s="507" t="s">
        <v>754</v>
      </c>
      <c r="B147" s="507" t="s">
        <v>755</v>
      </c>
      <c r="C147" s="507" t="s">
        <v>359</v>
      </c>
      <c r="D147" s="507" t="s">
        <v>756</v>
      </c>
      <c r="E147" s="510">
        <f>F147</f>
        <v>0</v>
      </c>
      <c r="F147" s="512"/>
      <c r="G147" s="512"/>
      <c r="H147" s="512"/>
      <c r="I147" s="512"/>
      <c r="J147" s="510">
        <f>L147+O147</f>
        <v>441220</v>
      </c>
      <c r="K147" s="512">
        <v>441220</v>
      </c>
      <c r="L147" s="512"/>
      <c r="M147" s="512"/>
      <c r="N147" s="512"/>
      <c r="O147" s="511">
        <f>K147</f>
        <v>441220</v>
      </c>
      <c r="P147" s="510">
        <f>E147+J147</f>
        <v>441220</v>
      </c>
      <c r="Q147" s="334"/>
      <c r="R147" s="335"/>
    </row>
    <row r="148" spans="1:18" ht="136.5" thickTop="1" thickBot="1" x14ac:dyDescent="0.25">
      <c r="A148" s="350" t="s">
        <v>591</v>
      </c>
      <c r="B148" s="350"/>
      <c r="C148" s="350"/>
      <c r="D148" s="351" t="s">
        <v>593</v>
      </c>
      <c r="E148" s="352">
        <f>E149</f>
        <v>59717342</v>
      </c>
      <c r="F148" s="353">
        <f t="shared" ref="F148:G148" si="83">F149</f>
        <v>59717342</v>
      </c>
      <c r="G148" s="353">
        <f t="shared" si="83"/>
        <v>1712600</v>
      </c>
      <c r="H148" s="353">
        <f>H149</f>
        <v>112500</v>
      </c>
      <c r="I148" s="352">
        <f t="shared" ref="I148" si="84">I149</f>
        <v>0</v>
      </c>
      <c r="J148" s="352">
        <f>J149</f>
        <v>49000</v>
      </c>
      <c r="K148" s="353">
        <f>K149</f>
        <v>49000</v>
      </c>
      <c r="L148" s="353">
        <f>L149</f>
        <v>0</v>
      </c>
      <c r="M148" s="353">
        <f t="shared" ref="M148" si="85">M149</f>
        <v>0</v>
      </c>
      <c r="N148" s="352">
        <f>N149</f>
        <v>0</v>
      </c>
      <c r="O148" s="352">
        <f>O149</f>
        <v>49000</v>
      </c>
      <c r="P148" s="353">
        <f t="shared" ref="P148" si="86">P149</f>
        <v>59766342</v>
      </c>
    </row>
    <row r="149" spans="1:18" ht="181.5" thickTop="1" thickBot="1" x14ac:dyDescent="0.25">
      <c r="A149" s="354" t="s">
        <v>592</v>
      </c>
      <c r="B149" s="354"/>
      <c r="C149" s="354"/>
      <c r="D149" s="355" t="s">
        <v>594</v>
      </c>
      <c r="E149" s="356">
        <f>SUM(E150:E152)</f>
        <v>59717342</v>
      </c>
      <c r="F149" s="356">
        <f t="shared" ref="F149:O149" si="87">SUM(F150:F152)</f>
        <v>59717342</v>
      </c>
      <c r="G149" s="356">
        <f t="shared" si="87"/>
        <v>1712600</v>
      </c>
      <c r="H149" s="356">
        <f t="shared" si="87"/>
        <v>112500</v>
      </c>
      <c r="I149" s="356">
        <f t="shared" si="87"/>
        <v>0</v>
      </c>
      <c r="J149" s="356">
        <f>L149+O149</f>
        <v>49000</v>
      </c>
      <c r="K149" s="356">
        <f t="shared" si="87"/>
        <v>49000</v>
      </c>
      <c r="L149" s="356">
        <f t="shared" si="87"/>
        <v>0</v>
      </c>
      <c r="M149" s="356">
        <f t="shared" si="87"/>
        <v>0</v>
      </c>
      <c r="N149" s="356">
        <f t="shared" si="87"/>
        <v>0</v>
      </c>
      <c r="O149" s="356">
        <f t="shared" si="87"/>
        <v>49000</v>
      </c>
      <c r="P149" s="357">
        <f>E149+J149</f>
        <v>59766342</v>
      </c>
      <c r="Q149" s="334" t="b">
        <f>P149=P150+P151+P152</f>
        <v>1</v>
      </c>
      <c r="R149" s="335" t="b">
        <f>K149=[1]d5!J218</f>
        <v>1</v>
      </c>
    </row>
    <row r="150" spans="1:18" ht="230.25" thickTop="1" thickBot="1" x14ac:dyDescent="0.25">
      <c r="A150" s="507" t="s">
        <v>595</v>
      </c>
      <c r="B150" s="507" t="s">
        <v>286</v>
      </c>
      <c r="C150" s="507" t="s">
        <v>284</v>
      </c>
      <c r="D150" s="507" t="s">
        <v>285</v>
      </c>
      <c r="E150" s="510">
        <f>F150</f>
        <v>2781900</v>
      </c>
      <c r="F150" s="512">
        <f>(2688500)+93400</f>
        <v>2781900</v>
      </c>
      <c r="G150" s="512">
        <f>(1800000)-87400</f>
        <v>1712600</v>
      </c>
      <c r="H150" s="512">
        <f>50000+2500+56700+3300</f>
        <v>112500</v>
      </c>
      <c r="I150" s="512"/>
      <c r="J150" s="510">
        <f>L150+O150</f>
        <v>49000</v>
      </c>
      <c r="K150" s="512">
        <v>49000</v>
      </c>
      <c r="L150" s="512"/>
      <c r="M150" s="512"/>
      <c r="N150" s="512"/>
      <c r="O150" s="511">
        <f>K150</f>
        <v>49000</v>
      </c>
      <c r="P150" s="510">
        <f>E150+J150</f>
        <v>2830900</v>
      </c>
      <c r="Q150" s="334"/>
      <c r="R150" s="335" t="b">
        <f>K150=[1]d5!J220</f>
        <v>1</v>
      </c>
    </row>
    <row r="151" spans="1:18" ht="93" hidden="1" thickTop="1" thickBot="1" x14ac:dyDescent="0.25">
      <c r="A151" s="507" t="s">
        <v>634</v>
      </c>
      <c r="B151" s="507" t="s">
        <v>510</v>
      </c>
      <c r="C151" s="507" t="s">
        <v>511</v>
      </c>
      <c r="D151" s="507" t="s">
        <v>512</v>
      </c>
      <c r="E151" s="510">
        <f>F151</f>
        <v>0</v>
      </c>
      <c r="F151" s="512">
        <f>(34016813)-19850000-9713396-4453417</f>
        <v>0</v>
      </c>
      <c r="G151" s="512"/>
      <c r="H151" s="512"/>
      <c r="I151" s="512"/>
      <c r="J151" s="510">
        <f>L151+O151</f>
        <v>0</v>
      </c>
      <c r="K151" s="512"/>
      <c r="L151" s="512"/>
      <c r="M151" s="512"/>
      <c r="N151" s="512"/>
      <c r="O151" s="511">
        <f>K151</f>
        <v>0</v>
      </c>
      <c r="P151" s="510">
        <f>E151+J151</f>
        <v>0</v>
      </c>
      <c r="Q151" s="334"/>
      <c r="R151" s="335"/>
    </row>
    <row r="152" spans="1:18" ht="93" thickTop="1" thickBot="1" x14ac:dyDescent="0.25">
      <c r="A152" s="507" t="s">
        <v>635</v>
      </c>
      <c r="B152" s="507" t="s">
        <v>343</v>
      </c>
      <c r="C152" s="507" t="s">
        <v>345</v>
      </c>
      <c r="D152" s="507" t="s">
        <v>344</v>
      </c>
      <c r="E152" s="510">
        <f>F152</f>
        <v>56935442</v>
      </c>
      <c r="F152" s="512">
        <f>((30868629+9713396+4453417)+6500000)+5400000</f>
        <v>56935442</v>
      </c>
      <c r="G152" s="512"/>
      <c r="H152" s="512"/>
      <c r="I152" s="512"/>
      <c r="J152" s="510">
        <f>L152+O152</f>
        <v>0</v>
      </c>
      <c r="K152" s="512"/>
      <c r="L152" s="512"/>
      <c r="M152" s="512"/>
      <c r="N152" s="512"/>
      <c r="O152" s="511">
        <f>K152</f>
        <v>0</v>
      </c>
      <c r="P152" s="510">
        <f>E152+J152</f>
        <v>56935442</v>
      </c>
      <c r="Q152" s="334"/>
      <c r="R152" s="335"/>
    </row>
    <row r="153" spans="1:18" ht="136.5" thickTop="1" thickBot="1" x14ac:dyDescent="0.25">
      <c r="A153" s="350" t="s">
        <v>206</v>
      </c>
      <c r="B153" s="350"/>
      <c r="C153" s="350"/>
      <c r="D153" s="351" t="s">
        <v>432</v>
      </c>
      <c r="E153" s="352">
        <f>E154</f>
        <v>7954765</v>
      </c>
      <c r="F153" s="353">
        <f t="shared" ref="F153:G153" si="88">F154</f>
        <v>7954765</v>
      </c>
      <c r="G153" s="353">
        <f t="shared" si="88"/>
        <v>0</v>
      </c>
      <c r="H153" s="353">
        <f>H154</f>
        <v>0</v>
      </c>
      <c r="I153" s="352">
        <f t="shared" ref="I153" si="89">I154</f>
        <v>0</v>
      </c>
      <c r="J153" s="352">
        <f>J154</f>
        <v>620000</v>
      </c>
      <c r="K153" s="353">
        <f>K154</f>
        <v>620000</v>
      </c>
      <c r="L153" s="353">
        <f>L154</f>
        <v>0</v>
      </c>
      <c r="M153" s="353">
        <f t="shared" ref="M153" si="90">M154</f>
        <v>0</v>
      </c>
      <c r="N153" s="352">
        <f>N154</f>
        <v>0</v>
      </c>
      <c r="O153" s="352">
        <f>O154</f>
        <v>620000</v>
      </c>
      <c r="P153" s="353">
        <f t="shared" ref="P153" si="91">P154</f>
        <v>8574765</v>
      </c>
    </row>
    <row r="154" spans="1:18" ht="136.5" thickTop="1" thickBot="1" x14ac:dyDescent="0.25">
      <c r="A154" s="354" t="s">
        <v>207</v>
      </c>
      <c r="B154" s="354"/>
      <c r="C154" s="354"/>
      <c r="D154" s="355" t="s">
        <v>433</v>
      </c>
      <c r="E154" s="356">
        <f>SUM(E155:E158)</f>
        <v>7954765</v>
      </c>
      <c r="F154" s="356">
        <f>SUM(F155:F158)</f>
        <v>7954765</v>
      </c>
      <c r="G154" s="356">
        <f>SUM(G155:G158)</f>
        <v>0</v>
      </c>
      <c r="H154" s="356">
        <f>SUM(H155:H158)</f>
        <v>0</v>
      </c>
      <c r="I154" s="356">
        <f>SUM(I155:I158)</f>
        <v>0</v>
      </c>
      <c r="J154" s="356">
        <f t="shared" ref="J154:J158" si="92">L154+O154</f>
        <v>620000</v>
      </c>
      <c r="K154" s="356">
        <f>SUM(K155:K158)</f>
        <v>620000</v>
      </c>
      <c r="L154" s="356">
        <f>SUM(L155:L158)</f>
        <v>0</v>
      </c>
      <c r="M154" s="356">
        <f>SUM(M155:M158)</f>
        <v>0</v>
      </c>
      <c r="N154" s="356">
        <f>SUM(N155:N158)</f>
        <v>0</v>
      </c>
      <c r="O154" s="356">
        <f>SUM(O155:O158)</f>
        <v>620000</v>
      </c>
      <c r="P154" s="357">
        <f t="shared" ref="P154:P158" si="93">E154+J154</f>
        <v>8574765</v>
      </c>
      <c r="Q154" s="334" t="b">
        <f>P154=P155+P156+P157+P158</f>
        <v>1</v>
      </c>
      <c r="R154" s="335" t="b">
        <f>K154=[1]d5!J222</f>
        <v>1</v>
      </c>
    </row>
    <row r="155" spans="1:18" ht="138.75" hidden="1" thickTop="1" thickBot="1" x14ac:dyDescent="0.25">
      <c r="A155" s="507" t="s">
        <v>427</v>
      </c>
      <c r="B155" s="507" t="s">
        <v>428</v>
      </c>
      <c r="C155" s="507" t="s">
        <v>210</v>
      </c>
      <c r="D155" s="507" t="s">
        <v>313</v>
      </c>
      <c r="E155" s="510">
        <f>F155</f>
        <v>0</v>
      </c>
      <c r="F155" s="512"/>
      <c r="G155" s="512"/>
      <c r="H155" s="512"/>
      <c r="I155" s="512"/>
      <c r="J155" s="510">
        <f t="shared" si="92"/>
        <v>0</v>
      </c>
      <c r="K155" s="512">
        <f>(3000000)-3000000</f>
        <v>0</v>
      </c>
      <c r="L155" s="512"/>
      <c r="M155" s="512"/>
      <c r="N155" s="512"/>
      <c r="O155" s="511">
        <f>K155</f>
        <v>0</v>
      </c>
      <c r="P155" s="510">
        <f t="shared" si="93"/>
        <v>0</v>
      </c>
      <c r="R155" s="335" t="b">
        <f>K155=[1]d5!J223</f>
        <v>1</v>
      </c>
    </row>
    <row r="156" spans="1:18" ht="93" thickTop="1" thickBot="1" x14ac:dyDescent="0.25">
      <c r="A156" s="507" t="s">
        <v>311</v>
      </c>
      <c r="B156" s="507" t="s">
        <v>312</v>
      </c>
      <c r="C156" s="507" t="s">
        <v>310</v>
      </c>
      <c r="D156" s="507" t="s">
        <v>309</v>
      </c>
      <c r="E156" s="510">
        <f t="shared" ref="E156:E158" si="94">F156</f>
        <v>4819000</v>
      </c>
      <c r="F156" s="512">
        <f>(4319000)+500000</f>
        <v>4819000</v>
      </c>
      <c r="G156" s="512"/>
      <c r="H156" s="512"/>
      <c r="I156" s="512"/>
      <c r="J156" s="510">
        <f t="shared" si="92"/>
        <v>0</v>
      </c>
      <c r="K156" s="512"/>
      <c r="L156" s="512"/>
      <c r="M156" s="512"/>
      <c r="N156" s="512"/>
      <c r="O156" s="511">
        <f>K156</f>
        <v>0</v>
      </c>
      <c r="P156" s="510">
        <f t="shared" si="93"/>
        <v>4819000</v>
      </c>
      <c r="R156" s="335"/>
    </row>
    <row r="157" spans="1:18" ht="138.75" thickTop="1" thickBot="1" x14ac:dyDescent="0.25">
      <c r="A157" s="507" t="s">
        <v>303</v>
      </c>
      <c r="B157" s="507" t="s">
        <v>305</v>
      </c>
      <c r="C157" s="507" t="s">
        <v>263</v>
      </c>
      <c r="D157" s="507" t="s">
        <v>304</v>
      </c>
      <c r="E157" s="510">
        <f t="shared" si="94"/>
        <v>320000</v>
      </c>
      <c r="F157" s="512">
        <f>(420000)-100000</f>
        <v>320000</v>
      </c>
      <c r="G157" s="512"/>
      <c r="H157" s="512"/>
      <c r="I157" s="512"/>
      <c r="J157" s="510">
        <f t="shared" si="92"/>
        <v>0</v>
      </c>
      <c r="K157" s="512"/>
      <c r="L157" s="512"/>
      <c r="M157" s="512"/>
      <c r="N157" s="512"/>
      <c r="O157" s="511">
        <f>K157</f>
        <v>0</v>
      </c>
      <c r="P157" s="510">
        <f t="shared" si="93"/>
        <v>320000</v>
      </c>
      <c r="R157" s="335"/>
    </row>
    <row r="158" spans="1:18" ht="93" thickTop="1" thickBot="1" x14ac:dyDescent="0.25">
      <c r="A158" s="507" t="s">
        <v>307</v>
      </c>
      <c r="B158" s="507" t="s">
        <v>308</v>
      </c>
      <c r="C158" s="507" t="s">
        <v>210</v>
      </c>
      <c r="D158" s="507" t="s">
        <v>306</v>
      </c>
      <c r="E158" s="510">
        <f t="shared" si="94"/>
        <v>2815765</v>
      </c>
      <c r="F158" s="512">
        <f>(((3285765)-50000-220000)-200000)</f>
        <v>2815765</v>
      </c>
      <c r="G158" s="512"/>
      <c r="H158" s="512"/>
      <c r="I158" s="512"/>
      <c r="J158" s="510">
        <f t="shared" si="92"/>
        <v>620000</v>
      </c>
      <c r="K158" s="512">
        <f>(((200000)+220000)+200000)</f>
        <v>620000</v>
      </c>
      <c r="L158" s="512"/>
      <c r="M158" s="512"/>
      <c r="N158" s="512"/>
      <c r="O158" s="511">
        <f>K158</f>
        <v>620000</v>
      </c>
      <c r="P158" s="510">
        <f t="shared" si="93"/>
        <v>3435765</v>
      </c>
      <c r="R158" s="335" t="b">
        <f>K158=[1]d5!J224</f>
        <v>1</v>
      </c>
    </row>
    <row r="159" spans="1:18" ht="136.5" thickTop="1" thickBot="1" x14ac:dyDescent="0.25">
      <c r="A159" s="350" t="s">
        <v>204</v>
      </c>
      <c r="B159" s="350"/>
      <c r="C159" s="350"/>
      <c r="D159" s="351" t="s">
        <v>32</v>
      </c>
      <c r="E159" s="352">
        <f>E160</f>
        <v>4762390</v>
      </c>
      <c r="F159" s="353">
        <f t="shared" ref="F159:G159" si="95">F160</f>
        <v>4762390</v>
      </c>
      <c r="G159" s="353">
        <f t="shared" si="95"/>
        <v>3624300</v>
      </c>
      <c r="H159" s="353">
        <f>H160</f>
        <v>96881</v>
      </c>
      <c r="I159" s="352">
        <f t="shared" ref="I159" si="96">I160</f>
        <v>0</v>
      </c>
      <c r="J159" s="352">
        <f>J160</f>
        <v>965963.28</v>
      </c>
      <c r="K159" s="353">
        <f>K160</f>
        <v>0</v>
      </c>
      <c r="L159" s="353">
        <f>L160</f>
        <v>477857.28000000003</v>
      </c>
      <c r="M159" s="353">
        <f t="shared" ref="M159" si="97">M160</f>
        <v>0</v>
      </c>
      <c r="N159" s="352">
        <f>N160</f>
        <v>0</v>
      </c>
      <c r="O159" s="352">
        <f>O160</f>
        <v>488106</v>
      </c>
      <c r="P159" s="353">
        <f t="shared" ref="P159" si="98">P160</f>
        <v>5728353.2800000003</v>
      </c>
    </row>
    <row r="160" spans="1:18" ht="181.5" thickTop="1" thickBot="1" x14ac:dyDescent="0.25">
      <c r="A160" s="354" t="s">
        <v>205</v>
      </c>
      <c r="B160" s="354"/>
      <c r="C160" s="354"/>
      <c r="D160" s="355" t="s">
        <v>49</v>
      </c>
      <c r="E160" s="356">
        <f>SUM(E161:E166)</f>
        <v>4762390</v>
      </c>
      <c r="F160" s="356">
        <f>SUM(F161:F166)</f>
        <v>4762390</v>
      </c>
      <c r="G160" s="356">
        <f>SUM(G161:G166)</f>
        <v>3624300</v>
      </c>
      <c r="H160" s="356">
        <f>SUM(H161:H166)</f>
        <v>96881</v>
      </c>
      <c r="I160" s="356">
        <f>SUM(I161:I166)</f>
        <v>0</v>
      </c>
      <c r="J160" s="356">
        <f t="shared" ref="J160:J166" si="99">L160+O160</f>
        <v>965963.28</v>
      </c>
      <c r="K160" s="356">
        <f>SUM(K161:K166)</f>
        <v>0</v>
      </c>
      <c r="L160" s="356">
        <f>SUM(L161:L166)</f>
        <v>477857.28000000003</v>
      </c>
      <c r="M160" s="356">
        <f>SUM(M161:M166)</f>
        <v>0</v>
      </c>
      <c r="N160" s="356">
        <f>SUM(N161:N166)</f>
        <v>0</v>
      </c>
      <c r="O160" s="356">
        <f>SUM(O161:O166)</f>
        <v>488106</v>
      </c>
      <c r="P160" s="357">
        <f t="shared" ref="P160:P166" si="100">E160+J160</f>
        <v>5728353.2800000003</v>
      </c>
      <c r="Q160" s="334" t="b">
        <f>P160=P163+P166+P161+P164+P165+P162</f>
        <v>1</v>
      </c>
      <c r="R160" s="335"/>
    </row>
    <row r="161" spans="1:18" s="222" customFormat="1" ht="230.25" thickTop="1" thickBot="1" x14ac:dyDescent="0.25">
      <c r="A161" s="507" t="s">
        <v>523</v>
      </c>
      <c r="B161" s="507" t="s">
        <v>286</v>
      </c>
      <c r="C161" s="507" t="s">
        <v>284</v>
      </c>
      <c r="D161" s="507" t="s">
        <v>285</v>
      </c>
      <c r="E161" s="510">
        <f>F161</f>
        <v>4762390</v>
      </c>
      <c r="F161" s="512">
        <f>(4823390)-61000</f>
        <v>4762390</v>
      </c>
      <c r="G161" s="512">
        <f>(3674300)-50000</f>
        <v>3624300</v>
      </c>
      <c r="H161" s="512">
        <f>75551+1316+17590+2424</f>
        <v>96881</v>
      </c>
      <c r="I161" s="512"/>
      <c r="J161" s="510">
        <f t="shared" si="99"/>
        <v>0</v>
      </c>
      <c r="K161" s="512"/>
      <c r="L161" s="512"/>
      <c r="M161" s="512"/>
      <c r="N161" s="512"/>
      <c r="O161" s="511">
        <f>K161</f>
        <v>0</v>
      </c>
      <c r="P161" s="510">
        <f t="shared" si="100"/>
        <v>4762390</v>
      </c>
      <c r="Q161" s="220"/>
      <c r="R161" s="221"/>
    </row>
    <row r="162" spans="1:18" s="222" customFormat="1" ht="93" hidden="1" thickTop="1" thickBot="1" x14ac:dyDescent="0.25">
      <c r="A162" s="507" t="s">
        <v>938</v>
      </c>
      <c r="B162" s="507" t="s">
        <v>308</v>
      </c>
      <c r="C162" s="507" t="s">
        <v>210</v>
      </c>
      <c r="D162" s="507" t="s">
        <v>306</v>
      </c>
      <c r="E162" s="510">
        <f>F162</f>
        <v>0</v>
      </c>
      <c r="F162" s="512">
        <f>38800-38800</f>
        <v>0</v>
      </c>
      <c r="G162" s="512"/>
      <c r="H162" s="512"/>
      <c r="I162" s="512"/>
      <c r="J162" s="510">
        <f t="shared" si="99"/>
        <v>0</v>
      </c>
      <c r="K162" s="512"/>
      <c r="L162" s="512"/>
      <c r="M162" s="512"/>
      <c r="N162" s="512"/>
      <c r="O162" s="511">
        <f>K162</f>
        <v>0</v>
      </c>
      <c r="P162" s="510">
        <f t="shared" si="100"/>
        <v>0</v>
      </c>
      <c r="Q162" s="220"/>
      <c r="R162" s="221"/>
    </row>
    <row r="163" spans="1:18" s="222" customFormat="1" ht="138.75" thickTop="1" thickBot="1" x14ac:dyDescent="0.25">
      <c r="A163" s="507" t="s">
        <v>366</v>
      </c>
      <c r="B163" s="507" t="s">
        <v>367</v>
      </c>
      <c r="C163" s="507" t="s">
        <v>62</v>
      </c>
      <c r="D163" s="507" t="s">
        <v>63</v>
      </c>
      <c r="E163" s="510">
        <f t="shared" ref="E163:E165" si="101">F163</f>
        <v>0</v>
      </c>
      <c r="F163" s="512"/>
      <c r="G163" s="512"/>
      <c r="H163" s="512"/>
      <c r="I163" s="512"/>
      <c r="J163" s="510">
        <f t="shared" si="99"/>
        <v>738106</v>
      </c>
      <c r="K163" s="512"/>
      <c r="L163" s="512">
        <f>(30000)+290000</f>
        <v>320000</v>
      </c>
      <c r="M163" s="512"/>
      <c r="N163" s="512"/>
      <c r="O163" s="511">
        <f>(K163+370000)+48106</f>
        <v>418106</v>
      </c>
      <c r="P163" s="510">
        <f t="shared" si="100"/>
        <v>738106</v>
      </c>
    </row>
    <row r="164" spans="1:18" s="222" customFormat="1" ht="48" thickTop="1" thickBot="1" x14ac:dyDescent="0.25">
      <c r="A164" s="507" t="s">
        <v>650</v>
      </c>
      <c r="B164" s="507" t="s">
        <v>651</v>
      </c>
      <c r="C164" s="507" t="s">
        <v>644</v>
      </c>
      <c r="D164" s="507" t="s">
        <v>652</v>
      </c>
      <c r="E164" s="510">
        <f t="shared" si="101"/>
        <v>0</v>
      </c>
      <c r="F164" s="512"/>
      <c r="G164" s="512"/>
      <c r="H164" s="512"/>
      <c r="I164" s="512"/>
      <c r="J164" s="510">
        <f t="shared" si="99"/>
        <v>70000</v>
      </c>
      <c r="K164" s="512"/>
      <c r="L164" s="512"/>
      <c r="M164" s="512"/>
      <c r="N164" s="512"/>
      <c r="O164" s="511">
        <f>K164+70000</f>
        <v>70000</v>
      </c>
      <c r="P164" s="510">
        <f t="shared" si="100"/>
        <v>70000</v>
      </c>
    </row>
    <row r="165" spans="1:18" s="222" customFormat="1" ht="93" thickTop="1" thickBot="1" x14ac:dyDescent="0.25">
      <c r="A165" s="507" t="s">
        <v>759</v>
      </c>
      <c r="B165" s="507" t="s">
        <v>757</v>
      </c>
      <c r="C165" s="507" t="s">
        <v>760</v>
      </c>
      <c r="D165" s="507" t="s">
        <v>758</v>
      </c>
      <c r="E165" s="510">
        <f t="shared" si="101"/>
        <v>0</v>
      </c>
      <c r="F165" s="512"/>
      <c r="G165" s="512"/>
      <c r="H165" s="512"/>
      <c r="I165" s="512"/>
      <c r="J165" s="510">
        <f t="shared" si="99"/>
        <v>63670</v>
      </c>
      <c r="K165" s="512"/>
      <c r="L165" s="512">
        <v>63670</v>
      </c>
      <c r="M165" s="512"/>
      <c r="N165" s="512"/>
      <c r="O165" s="511">
        <f>K165</f>
        <v>0</v>
      </c>
      <c r="P165" s="510">
        <f t="shared" si="100"/>
        <v>63670</v>
      </c>
    </row>
    <row r="166" spans="1:18" s="222" customFormat="1" ht="93" thickTop="1" thickBot="1" x14ac:dyDescent="0.25">
      <c r="A166" s="507" t="s">
        <v>368</v>
      </c>
      <c r="B166" s="507" t="s">
        <v>369</v>
      </c>
      <c r="C166" s="507" t="s">
        <v>64</v>
      </c>
      <c r="D166" s="507" t="s">
        <v>653</v>
      </c>
      <c r="E166" s="510">
        <v>0</v>
      </c>
      <c r="F166" s="512"/>
      <c r="G166" s="512"/>
      <c r="H166" s="512"/>
      <c r="I166" s="512"/>
      <c r="J166" s="510">
        <f t="shared" si="99"/>
        <v>94187.28</v>
      </c>
      <c r="K166" s="510"/>
      <c r="L166" s="512">
        <f>(30000)+64187.28</f>
        <v>94187.28</v>
      </c>
      <c r="M166" s="512"/>
      <c r="N166" s="512"/>
      <c r="O166" s="511">
        <f>K166</f>
        <v>0</v>
      </c>
      <c r="P166" s="510">
        <f t="shared" si="100"/>
        <v>94187.28</v>
      </c>
    </row>
    <row r="167" spans="1:18" ht="271.5" thickTop="1" thickBot="1" x14ac:dyDescent="0.25">
      <c r="A167" s="350" t="s">
        <v>202</v>
      </c>
      <c r="B167" s="350"/>
      <c r="C167" s="350"/>
      <c r="D167" s="351" t="s">
        <v>930</v>
      </c>
      <c r="E167" s="352">
        <f>E168</f>
        <v>3973521</v>
      </c>
      <c r="F167" s="353">
        <f t="shared" ref="F167:G167" si="102">F168</f>
        <v>3973521</v>
      </c>
      <c r="G167" s="353">
        <f t="shared" si="102"/>
        <v>2961000</v>
      </c>
      <c r="H167" s="353">
        <f>H168</f>
        <v>60000</v>
      </c>
      <c r="I167" s="352">
        <f t="shared" ref="I167" si="103">I168</f>
        <v>0</v>
      </c>
      <c r="J167" s="352">
        <f>J168</f>
        <v>300000</v>
      </c>
      <c r="K167" s="353">
        <f>K168</f>
        <v>300000</v>
      </c>
      <c r="L167" s="353">
        <f>L168</f>
        <v>0</v>
      </c>
      <c r="M167" s="353">
        <f t="shared" ref="M167" si="104">M168</f>
        <v>0</v>
      </c>
      <c r="N167" s="352">
        <f>N168</f>
        <v>0</v>
      </c>
      <c r="O167" s="352">
        <f>O168</f>
        <v>300000</v>
      </c>
      <c r="P167" s="353">
        <f t="shared" ref="P167" si="105">P168</f>
        <v>4273521</v>
      </c>
    </row>
    <row r="168" spans="1:18" ht="271.5" thickTop="1" thickBot="1" x14ac:dyDescent="0.25">
      <c r="A168" s="354" t="s">
        <v>203</v>
      </c>
      <c r="B168" s="354"/>
      <c r="C168" s="354"/>
      <c r="D168" s="355" t="s">
        <v>931</v>
      </c>
      <c r="E168" s="356">
        <f>SUM(E169:E171)</f>
        <v>3973521</v>
      </c>
      <c r="F168" s="356">
        <f t="shared" ref="F168:N168" si="106">SUM(F169:F171)</f>
        <v>3973521</v>
      </c>
      <c r="G168" s="356">
        <f t="shared" si="106"/>
        <v>2961000</v>
      </c>
      <c r="H168" s="356">
        <f t="shared" si="106"/>
        <v>60000</v>
      </c>
      <c r="I168" s="356">
        <f t="shared" si="106"/>
        <v>0</v>
      </c>
      <c r="J168" s="356">
        <f>L168+O168</f>
        <v>300000</v>
      </c>
      <c r="K168" s="356">
        <f t="shared" si="106"/>
        <v>300000</v>
      </c>
      <c r="L168" s="356">
        <f t="shared" si="106"/>
        <v>0</v>
      </c>
      <c r="M168" s="356">
        <f t="shared" si="106"/>
        <v>0</v>
      </c>
      <c r="N168" s="356">
        <f t="shared" si="106"/>
        <v>0</v>
      </c>
      <c r="O168" s="356">
        <f>SUM(O169:O171)</f>
        <v>300000</v>
      </c>
      <c r="P168" s="357">
        <f>E168+J168</f>
        <v>4273521</v>
      </c>
      <c r="Q168" s="334" t="b">
        <f>P168=P170+P171+P169</f>
        <v>1</v>
      </c>
      <c r="R168" s="334" t="b">
        <f>K168=[1]d5!J225</f>
        <v>1</v>
      </c>
    </row>
    <row r="169" spans="1:18" ht="230.25" thickTop="1" thickBot="1" x14ac:dyDescent="0.25">
      <c r="A169" s="507" t="s">
        <v>519</v>
      </c>
      <c r="B169" s="507" t="s">
        <v>286</v>
      </c>
      <c r="C169" s="507" t="s">
        <v>284</v>
      </c>
      <c r="D169" s="507" t="s">
        <v>285</v>
      </c>
      <c r="E169" s="510">
        <f>F169</f>
        <v>3973521</v>
      </c>
      <c r="F169" s="512">
        <f>(4174521)-201000</f>
        <v>3973521</v>
      </c>
      <c r="G169" s="512">
        <f>3150000-189000</f>
        <v>2961000</v>
      </c>
      <c r="H169" s="512">
        <f>43000+1200+15800</f>
        <v>60000</v>
      </c>
      <c r="I169" s="512"/>
      <c r="J169" s="510">
        <f>L169+O169</f>
        <v>0</v>
      </c>
      <c r="K169" s="512"/>
      <c r="L169" s="512"/>
      <c r="M169" s="512"/>
      <c r="N169" s="512"/>
      <c r="O169" s="511">
        <f>K169</f>
        <v>0</v>
      </c>
      <c r="P169" s="510">
        <f>E169+J169</f>
        <v>3973521</v>
      </c>
      <c r="Q169" s="334"/>
      <c r="R169" s="334"/>
    </row>
    <row r="170" spans="1:18" ht="93" thickTop="1" thickBot="1" x14ac:dyDescent="0.25">
      <c r="A170" s="507" t="s">
        <v>363</v>
      </c>
      <c r="B170" s="507" t="s">
        <v>364</v>
      </c>
      <c r="C170" s="507" t="s">
        <v>365</v>
      </c>
      <c r="D170" s="507" t="s">
        <v>621</v>
      </c>
      <c r="E170" s="510">
        <f>F170</f>
        <v>0</v>
      </c>
      <c r="F170" s="512"/>
      <c r="G170" s="512"/>
      <c r="H170" s="512"/>
      <c r="I170" s="512"/>
      <c r="J170" s="510">
        <f>L170+O170</f>
        <v>250000</v>
      </c>
      <c r="K170" s="512">
        <v>250000</v>
      </c>
      <c r="L170" s="512"/>
      <c r="M170" s="512"/>
      <c r="N170" s="512"/>
      <c r="O170" s="511">
        <f>K170</f>
        <v>250000</v>
      </c>
      <c r="P170" s="510">
        <f>E170+J170</f>
        <v>250000</v>
      </c>
    </row>
    <row r="171" spans="1:18" ht="138.75" thickTop="1" thickBot="1" x14ac:dyDescent="0.25">
      <c r="A171" s="507" t="s">
        <v>448</v>
      </c>
      <c r="B171" s="507" t="s">
        <v>449</v>
      </c>
      <c r="C171" s="507" t="s">
        <v>210</v>
      </c>
      <c r="D171" s="507" t="s">
        <v>450</v>
      </c>
      <c r="E171" s="510">
        <f>F171</f>
        <v>0</v>
      </c>
      <c r="F171" s="512"/>
      <c r="G171" s="512"/>
      <c r="H171" s="512"/>
      <c r="I171" s="512"/>
      <c r="J171" s="510">
        <f>L171+O171</f>
        <v>50000</v>
      </c>
      <c r="K171" s="512">
        <v>50000</v>
      </c>
      <c r="L171" s="512"/>
      <c r="M171" s="512"/>
      <c r="N171" s="512"/>
      <c r="O171" s="511">
        <f>K171</f>
        <v>50000</v>
      </c>
      <c r="P171" s="510">
        <f>E171+J171</f>
        <v>50000</v>
      </c>
    </row>
    <row r="172" spans="1:18" ht="136.5" thickTop="1" thickBot="1" x14ac:dyDescent="0.25">
      <c r="A172" s="350" t="s">
        <v>208</v>
      </c>
      <c r="B172" s="350"/>
      <c r="C172" s="350"/>
      <c r="D172" s="351" t="s">
        <v>33</v>
      </c>
      <c r="E172" s="352">
        <f>E173</f>
        <v>79973974</v>
      </c>
      <c r="F172" s="353">
        <f t="shared" ref="F172:G172" si="107">F173</f>
        <v>79973974</v>
      </c>
      <c r="G172" s="353">
        <f t="shared" si="107"/>
        <v>5688800</v>
      </c>
      <c r="H172" s="353">
        <f>H173</f>
        <v>127300</v>
      </c>
      <c r="I172" s="352">
        <f t="shared" ref="I172" si="108">I173</f>
        <v>0</v>
      </c>
      <c r="J172" s="352">
        <f>J173</f>
        <v>0</v>
      </c>
      <c r="K172" s="353">
        <f>K173</f>
        <v>0</v>
      </c>
      <c r="L172" s="353">
        <f>L173</f>
        <v>0</v>
      </c>
      <c r="M172" s="353">
        <f t="shared" ref="M172" si="109">M173</f>
        <v>0</v>
      </c>
      <c r="N172" s="352">
        <f>N173</f>
        <v>0</v>
      </c>
      <c r="O172" s="352">
        <f>O173</f>
        <v>0</v>
      </c>
      <c r="P172" s="353">
        <f t="shared" ref="P172" si="110">P173</f>
        <v>79973974</v>
      </c>
    </row>
    <row r="173" spans="1:18" ht="136.5" thickTop="1" thickBot="1" x14ac:dyDescent="0.25">
      <c r="A173" s="354" t="s">
        <v>209</v>
      </c>
      <c r="B173" s="354"/>
      <c r="C173" s="354"/>
      <c r="D173" s="355" t="s">
        <v>50</v>
      </c>
      <c r="E173" s="356">
        <f>SUM(E174:E177)</f>
        <v>79973974</v>
      </c>
      <c r="F173" s="356">
        <f t="shared" ref="F173:N173" si="111">SUM(F174:F177)</f>
        <v>79973974</v>
      </c>
      <c r="G173" s="356">
        <f t="shared" si="111"/>
        <v>5688800</v>
      </c>
      <c r="H173" s="356">
        <f t="shared" si="111"/>
        <v>127300</v>
      </c>
      <c r="I173" s="356">
        <f t="shared" si="111"/>
        <v>0</v>
      </c>
      <c r="J173" s="356">
        <f>L173+O173</f>
        <v>0</v>
      </c>
      <c r="K173" s="356">
        <f>SUM(K174:K177)</f>
        <v>0</v>
      </c>
      <c r="L173" s="356">
        <f t="shared" si="111"/>
        <v>0</v>
      </c>
      <c r="M173" s="356">
        <f t="shared" si="111"/>
        <v>0</v>
      </c>
      <c r="N173" s="356">
        <f t="shared" si="111"/>
        <v>0</v>
      </c>
      <c r="O173" s="356">
        <f>SUM(O174:O177)</f>
        <v>0</v>
      </c>
      <c r="P173" s="357">
        <f>E173+J173</f>
        <v>79973974</v>
      </c>
      <c r="Q173" s="334" t="b">
        <f>P173=P175+P176+P177+P174</f>
        <v>1</v>
      </c>
      <c r="R173" s="335"/>
    </row>
    <row r="174" spans="1:18" ht="230.25" thickTop="1" thickBot="1" x14ac:dyDescent="0.25">
      <c r="A174" s="507" t="s">
        <v>521</v>
      </c>
      <c r="B174" s="507" t="s">
        <v>286</v>
      </c>
      <c r="C174" s="507" t="s">
        <v>284</v>
      </c>
      <c r="D174" s="507" t="s">
        <v>285</v>
      </c>
      <c r="E174" s="510">
        <f>F174</f>
        <v>7138020</v>
      </c>
      <c r="F174" s="512">
        <f>((7922300)-511000)-273280</f>
        <v>7138020</v>
      </c>
      <c r="G174" s="512">
        <f>((6138800)-300000)-150000</f>
        <v>5688800</v>
      </c>
      <c r="H174" s="512">
        <f>(70000+2000+50000+3300)+2000</f>
        <v>127300</v>
      </c>
      <c r="I174" s="512"/>
      <c r="J174" s="510">
        <f>L174+O174</f>
        <v>0</v>
      </c>
      <c r="K174" s="512"/>
      <c r="L174" s="512"/>
      <c r="M174" s="512"/>
      <c r="N174" s="512"/>
      <c r="O174" s="511">
        <f>K174</f>
        <v>0</v>
      </c>
      <c r="P174" s="510">
        <f>E174+J174</f>
        <v>7138020</v>
      </c>
      <c r="Q174" s="334"/>
      <c r="R174" s="335"/>
    </row>
    <row r="175" spans="1:18" ht="48" thickTop="1" thickBot="1" x14ac:dyDescent="0.25">
      <c r="A175" s="336">
        <v>3718600</v>
      </c>
      <c r="B175" s="336">
        <v>8600</v>
      </c>
      <c r="C175" s="507" t="s">
        <v>442</v>
      </c>
      <c r="D175" s="336" t="s">
        <v>603</v>
      </c>
      <c r="E175" s="510">
        <f>F175</f>
        <v>676154</v>
      </c>
      <c r="F175" s="512">
        <f>(1176154)-500000</f>
        <v>676154</v>
      </c>
      <c r="G175" s="512"/>
      <c r="H175" s="512"/>
      <c r="I175" s="512"/>
      <c r="J175" s="510">
        <f>L175+O175</f>
        <v>0</v>
      </c>
      <c r="K175" s="512"/>
      <c r="L175" s="512"/>
      <c r="M175" s="512"/>
      <c r="N175" s="512"/>
      <c r="O175" s="511">
        <f>K175</f>
        <v>0</v>
      </c>
      <c r="P175" s="510">
        <f>E175+J175</f>
        <v>676154</v>
      </c>
    </row>
    <row r="176" spans="1:18" ht="48" thickTop="1" thickBot="1" x14ac:dyDescent="0.25">
      <c r="A176" s="336">
        <v>3718700</v>
      </c>
      <c r="B176" s="336">
        <v>8700</v>
      </c>
      <c r="C176" s="507" t="s">
        <v>52</v>
      </c>
      <c r="D176" s="230" t="s">
        <v>602</v>
      </c>
      <c r="E176" s="510">
        <f>F176</f>
        <v>900000</v>
      </c>
      <c r="F176" s="512">
        <f>(3000000-2000000)-100000</f>
        <v>900000</v>
      </c>
      <c r="G176" s="512"/>
      <c r="H176" s="512"/>
      <c r="I176" s="512"/>
      <c r="J176" s="510">
        <f>L176+O176</f>
        <v>0</v>
      </c>
      <c r="K176" s="512"/>
      <c r="L176" s="512"/>
      <c r="M176" s="512"/>
      <c r="N176" s="512"/>
      <c r="O176" s="511">
        <f>K176</f>
        <v>0</v>
      </c>
      <c r="P176" s="510">
        <f>E176+J176</f>
        <v>900000</v>
      </c>
    </row>
    <row r="177" spans="1:18" ht="48" thickTop="1" thickBot="1" x14ac:dyDescent="0.25">
      <c r="A177" s="336">
        <v>3719110</v>
      </c>
      <c r="B177" s="336">
        <v>9110</v>
      </c>
      <c r="C177" s="507" t="s">
        <v>53</v>
      </c>
      <c r="D177" s="230" t="s">
        <v>601</v>
      </c>
      <c r="E177" s="510">
        <f>F177</f>
        <v>71259800</v>
      </c>
      <c r="F177" s="512">
        <v>71259800</v>
      </c>
      <c r="G177" s="512"/>
      <c r="H177" s="512"/>
      <c r="I177" s="512"/>
      <c r="J177" s="510">
        <f>L177+O177</f>
        <v>0</v>
      </c>
      <c r="K177" s="512"/>
      <c r="L177" s="512"/>
      <c r="M177" s="512"/>
      <c r="N177" s="512"/>
      <c r="O177" s="511">
        <f>K177</f>
        <v>0</v>
      </c>
      <c r="P177" s="510">
        <f>E177+J177</f>
        <v>71259800</v>
      </c>
    </row>
    <row r="178" spans="1:18" ht="159.75" customHeight="1" thickTop="1" thickBot="1" x14ac:dyDescent="0.25">
      <c r="A178" s="175" t="s">
        <v>470</v>
      </c>
      <c r="B178" s="175" t="s">
        <v>470</v>
      </c>
      <c r="C178" s="175" t="s">
        <v>470</v>
      </c>
      <c r="D178" s="176" t="s">
        <v>480</v>
      </c>
      <c r="E178" s="177">
        <f>E17+E29+E100+E42+E56+E91+E115+E135+E145+E173+E154+E160+E168+E149</f>
        <v>2192473253.6500001</v>
      </c>
      <c r="F178" s="177">
        <f>F17+F29+F100+F42+F55+F91+F115+F135+F145+F173+F154+F160+F168+F149</f>
        <v>2192473253.6500001</v>
      </c>
      <c r="G178" s="177">
        <f t="shared" ref="G178:O178" si="112">G17+G29+G100+G42+G56+G91+G115+G135+G145+G173+G154+G160+G168+G149</f>
        <v>1049337190.54</v>
      </c>
      <c r="H178" s="177">
        <f t="shared" si="112"/>
        <v>77569592</v>
      </c>
      <c r="I178" s="177">
        <f t="shared" si="112"/>
        <v>0</v>
      </c>
      <c r="J178" s="177">
        <f t="shared" si="112"/>
        <v>496734084.80999994</v>
      </c>
      <c r="K178" s="177">
        <f t="shared" si="112"/>
        <v>346151908.83000004</v>
      </c>
      <c r="L178" s="177">
        <f t="shared" si="112"/>
        <v>147903771.28</v>
      </c>
      <c r="M178" s="177">
        <f t="shared" si="112"/>
        <v>45850596</v>
      </c>
      <c r="N178" s="177">
        <f t="shared" si="112"/>
        <v>9422692</v>
      </c>
      <c r="O178" s="177">
        <f t="shared" si="112"/>
        <v>348830313.53000003</v>
      </c>
      <c r="P178" s="177">
        <f>P17+P29+P100+P42+P55+P91+P115+P135+P145+P173+P154+P160+P168+P149</f>
        <v>2689207338.4600005</v>
      </c>
      <c r="Q178" s="93" t="b">
        <f>K178=[1]d5!J232</f>
        <v>1</v>
      </c>
      <c r="R178" s="93"/>
    </row>
    <row r="179" spans="1:18" ht="46.5" thickTop="1" x14ac:dyDescent="0.2">
      <c r="A179" s="573" t="s">
        <v>711</v>
      </c>
      <c r="B179" s="574"/>
      <c r="C179" s="574"/>
      <c r="D179" s="574"/>
      <c r="E179" s="574"/>
      <c r="F179" s="574"/>
      <c r="G179" s="574"/>
      <c r="H179" s="574"/>
      <c r="I179" s="574"/>
      <c r="J179" s="574"/>
      <c r="K179" s="574"/>
      <c r="L179" s="574"/>
      <c r="M179" s="574"/>
      <c r="N179" s="574"/>
      <c r="O179" s="574"/>
      <c r="P179" s="574"/>
      <c r="Q179" s="340"/>
    </row>
    <row r="180" spans="1:18" ht="60.75" hidden="1" x14ac:dyDescent="0.2">
      <c r="A180" s="505"/>
      <c r="B180" s="506"/>
      <c r="C180" s="506"/>
      <c r="D180" s="506"/>
      <c r="E180" s="158">
        <f>F180</f>
        <v>2192473253.6500001</v>
      </c>
      <c r="F180" s="158">
        <f>(((2308391728-23685400-6806900)-(86458928.33+169570.42)+1294324.4)-700000)+608000</f>
        <v>2192473253.6500001</v>
      </c>
      <c r="G180" s="158">
        <f>(((1088289772)-1681100-36200331.96-109985+303455-1135200-17419.5)-150000)+38000</f>
        <v>1049337190.54</v>
      </c>
      <c r="H180" s="158">
        <f>(88306031)+5000-24439-10632000-50000-35000</f>
        <v>77569592</v>
      </c>
      <c r="I180" s="158"/>
      <c r="J180" s="158">
        <f>(((418238704+44623210.27-520000+5000000-1294324.4)+700000)+7768237)+22218257.94</f>
        <v>496734084.81</v>
      </c>
      <c r="K180" s="158">
        <f>(((266899770+44623210.27-(-1413866.82+149766.82)-19378.7-465963.28-22000-520000+5000000-1294324.4)+700000)+7768237)+22218257.94</f>
        <v>346151908.83000004</v>
      </c>
      <c r="L180" s="158">
        <f>(149028014-300000)+22000+417857.28+(-1413866.82+149766.82)</f>
        <v>147903771.28</v>
      </c>
      <c r="M180" s="158">
        <f>45850596</f>
        <v>45850596</v>
      </c>
      <c r="N180" s="158">
        <v>9422692</v>
      </c>
      <c r="O180" s="158">
        <f>((((269210690+300000)+44623210.27-520000-465963.28+48106-(-1413866.82+149766.82)-22000+5000000-1294324.4)+700000)+7768237)+22218257.94</f>
        <v>348830313.53000003</v>
      </c>
      <c r="P180" s="158">
        <f>(((2726630432-23685400-6806900)-41835718.06-169570.42-520000+5000000)+7768237)+16464657.94+6361600</f>
        <v>2689207338.46</v>
      </c>
      <c r="Q180" s="93" t="b">
        <f>E180+J180=P180</f>
        <v>1</v>
      </c>
      <c r="R180" s="340"/>
    </row>
    <row r="181" spans="1:18" ht="45.75" x14ac:dyDescent="0.2">
      <c r="A181" s="505"/>
      <c r="B181" s="506"/>
      <c r="C181" s="506"/>
      <c r="D181" s="506"/>
      <c r="E181" s="506"/>
      <c r="F181" s="506"/>
      <c r="G181" s="506"/>
      <c r="H181" s="506"/>
      <c r="I181" s="506"/>
      <c r="J181" s="506"/>
      <c r="K181" s="506"/>
      <c r="L181" s="506"/>
      <c r="M181" s="506"/>
      <c r="N181" s="506"/>
      <c r="O181" s="506"/>
      <c r="P181" s="506"/>
      <c r="Q181" s="340"/>
    </row>
    <row r="182" spans="1:18" ht="45.75" hidden="1" x14ac:dyDescent="0.65">
      <c r="A182" s="499"/>
      <c r="B182" s="499"/>
      <c r="C182" s="499"/>
      <c r="D182" s="541" t="s">
        <v>922</v>
      </c>
      <c r="E182" s="541"/>
      <c r="F182" s="541"/>
      <c r="G182" s="541"/>
      <c r="H182" s="541"/>
      <c r="I182" s="541"/>
      <c r="J182" s="541"/>
      <c r="K182" s="541"/>
      <c r="L182" s="541"/>
      <c r="M182" s="541"/>
      <c r="N182" s="541"/>
      <c r="O182" s="541"/>
      <c r="P182" s="541"/>
      <c r="Q182" s="7"/>
    </row>
    <row r="183" spans="1:18" ht="45.75" x14ac:dyDescent="0.2">
      <c r="E183" s="341"/>
      <c r="F183" s="3"/>
      <c r="J183" s="152"/>
      <c r="K183" s="152"/>
      <c r="O183" s="100"/>
      <c r="P183" s="342"/>
    </row>
    <row r="184" spans="1:18" ht="95.25" customHeight="1" x14ac:dyDescent="0.65">
      <c r="D184" s="541" t="s">
        <v>923</v>
      </c>
      <c r="E184" s="541"/>
      <c r="F184" s="541"/>
      <c r="G184" s="541"/>
      <c r="H184" s="541"/>
      <c r="I184" s="541"/>
      <c r="J184" s="541"/>
      <c r="K184" s="541"/>
      <c r="L184" s="541"/>
      <c r="M184" s="541"/>
      <c r="N184" s="541"/>
      <c r="O184" s="541"/>
      <c r="P184" s="541"/>
      <c r="Q184" s="331"/>
    </row>
    <row r="185" spans="1:18" hidden="1" x14ac:dyDescent="0.2">
      <c r="E185" s="4"/>
      <c r="F185" s="3"/>
      <c r="J185" s="4"/>
      <c r="K185" s="4"/>
    </row>
    <row r="186" spans="1:18" hidden="1" x14ac:dyDescent="0.2">
      <c r="E186" s="4"/>
      <c r="F186" s="3"/>
      <c r="J186" s="4"/>
      <c r="K186" s="4"/>
    </row>
    <row r="187" spans="1:18" ht="60.75" x14ac:dyDescent="0.2">
      <c r="E187" s="93" t="b">
        <f>E180=E178</f>
        <v>1</v>
      </c>
      <c r="F187" s="93" t="b">
        <f>F180=F178</f>
        <v>1</v>
      </c>
      <c r="G187" s="93" t="b">
        <f>G180=G178</f>
        <v>1</v>
      </c>
      <c r="H187" s="93" t="b">
        <f t="shared" ref="H187:O187" si="113">H180=H178</f>
        <v>1</v>
      </c>
      <c r="I187" s="93" t="b">
        <f>I180=I178</f>
        <v>1</v>
      </c>
      <c r="J187" s="93" t="b">
        <f>J180=J178</f>
        <v>1</v>
      </c>
      <c r="K187" s="93" t="b">
        <f>K180=K178</f>
        <v>1</v>
      </c>
      <c r="L187" s="93" t="b">
        <f t="shared" si="113"/>
        <v>1</v>
      </c>
      <c r="M187" s="93" t="b">
        <f t="shared" si="113"/>
        <v>1</v>
      </c>
      <c r="N187" s="93" t="b">
        <f t="shared" si="113"/>
        <v>1</v>
      </c>
      <c r="O187" s="93" t="b">
        <f t="shared" si="113"/>
        <v>1</v>
      </c>
      <c r="P187" s="93" t="b">
        <f>P180=P178</f>
        <v>1</v>
      </c>
    </row>
    <row r="188" spans="1:18" ht="60.75" x14ac:dyDescent="0.2">
      <c r="E188" s="93" t="b">
        <f>E178=F178</f>
        <v>1</v>
      </c>
      <c r="F188" s="343">
        <f>F176/E178*100</f>
        <v>4.1049531550804194E-2</v>
      </c>
      <c r="G188" s="100" t="s">
        <v>388</v>
      </c>
      <c r="I188" s="344"/>
      <c r="J188" s="93" t="b">
        <f>J180=L180+O180</f>
        <v>1</v>
      </c>
      <c r="K188" s="345"/>
      <c r="L188" s="93"/>
      <c r="M188" s="344"/>
      <c r="N188" s="344"/>
      <c r="O188" s="93"/>
      <c r="P188" s="93" t="b">
        <f>E178+J178=P178</f>
        <v>1</v>
      </c>
    </row>
    <row r="189" spans="1:18" x14ac:dyDescent="0.2">
      <c r="E189" s="346"/>
      <c r="F189" s="347"/>
      <c r="G189" s="346"/>
      <c r="H189" s="346"/>
      <c r="I189" s="346"/>
      <c r="J189" s="4"/>
      <c r="K189" s="4"/>
    </row>
    <row r="190" spans="1:18" ht="45.75" x14ac:dyDescent="0.2">
      <c r="A190" s="496"/>
      <c r="B190" s="496"/>
      <c r="C190" s="496"/>
      <c r="D190" s="6"/>
      <c r="E190" s="496"/>
      <c r="F190" s="100">
        <f>F176/P178*100</f>
        <v>3.3467110814720348E-2</v>
      </c>
      <c r="G190" s="100" t="s">
        <v>388</v>
      </c>
      <c r="I190" s="6"/>
      <c r="J190" s="106"/>
      <c r="K190" s="106"/>
      <c r="L190" s="496"/>
      <c r="M190" s="496"/>
      <c r="N190" s="496"/>
      <c r="O190" s="496"/>
      <c r="P190" s="496"/>
    </row>
    <row r="191" spans="1:18" ht="60.75" x14ac:dyDescent="0.2">
      <c r="D191" s="6"/>
      <c r="E191" s="106"/>
      <c r="F191" s="348"/>
      <c r="G191" s="93"/>
      <c r="I191" s="6"/>
      <c r="J191" s="106"/>
      <c r="K191" s="106"/>
      <c r="L191" s="250"/>
      <c r="P191" s="93"/>
      <c r="Q191" s="337"/>
      <c r="R191" s="93"/>
    </row>
    <row r="192" spans="1:18" ht="60.75" x14ac:dyDescent="0.2">
      <c r="A192" s="496"/>
      <c r="B192" s="496"/>
      <c r="C192" s="496"/>
      <c r="D192" s="6"/>
      <c r="E192" s="328"/>
      <c r="F192" s="328"/>
      <c r="G192" s="328"/>
      <c r="H192" s="328"/>
      <c r="I192" s="349"/>
      <c r="J192" s="328"/>
      <c r="K192" s="328"/>
      <c r="L192" s="328"/>
      <c r="M192" s="328"/>
      <c r="N192" s="328"/>
      <c r="O192" s="328"/>
      <c r="P192" s="328"/>
      <c r="Q192" s="337"/>
      <c r="R192" s="93"/>
    </row>
    <row r="193" spans="1:16" ht="60.75" x14ac:dyDescent="0.2">
      <c r="D193" s="6"/>
      <c r="E193" s="106"/>
      <c r="F193" s="130"/>
      <c r="O193" s="93"/>
      <c r="P193" s="93"/>
    </row>
    <row r="194" spans="1:16" ht="60.75" x14ac:dyDescent="0.2">
      <c r="A194" s="496"/>
      <c r="B194" s="496"/>
      <c r="C194" s="496"/>
      <c r="D194" s="6"/>
      <c r="E194" s="106"/>
      <c r="F194" s="100"/>
      <c r="G194" s="250"/>
      <c r="J194" s="4"/>
      <c r="K194" s="4"/>
      <c r="L194" s="496"/>
      <c r="M194" s="496"/>
      <c r="N194" s="496"/>
      <c r="O194" s="496"/>
      <c r="P194" s="93"/>
    </row>
    <row r="195" spans="1:16" ht="62.25" x14ac:dyDescent="0.8">
      <c r="A195" s="496"/>
      <c r="B195" s="496"/>
      <c r="C195" s="496"/>
      <c r="D195" s="496"/>
      <c r="E195" s="11"/>
      <c r="F195" s="100"/>
      <c r="J195" s="4"/>
      <c r="K195" s="4"/>
      <c r="L195" s="496"/>
      <c r="M195" s="496"/>
      <c r="N195" s="496"/>
      <c r="O195" s="496"/>
      <c r="P195" s="111"/>
    </row>
    <row r="196" spans="1:16" ht="45.75" x14ac:dyDescent="0.2">
      <c r="E196" s="252">
        <f>E176/E178</f>
        <v>4.1049531550804193E-4</v>
      </c>
      <c r="F196" s="130"/>
    </row>
    <row r="197" spans="1:16" ht="45.75" x14ac:dyDescent="0.2">
      <c r="A197" s="496"/>
      <c r="B197" s="496"/>
      <c r="C197" s="496"/>
      <c r="D197" s="496"/>
      <c r="E197" s="11"/>
      <c r="F197" s="100"/>
      <c r="L197" s="496"/>
      <c r="M197" s="496"/>
      <c r="N197" s="496"/>
      <c r="O197" s="496"/>
      <c r="P197" s="496"/>
    </row>
    <row r="198" spans="1:16" ht="45.75" x14ac:dyDescent="0.2">
      <c r="E198" s="12"/>
      <c r="F198" s="130"/>
    </row>
    <row r="199" spans="1:16" ht="45.75" x14ac:dyDescent="0.2">
      <c r="E199" s="12"/>
      <c r="F199" s="130"/>
    </row>
    <row r="200" spans="1:16" ht="45.75" x14ac:dyDescent="0.2">
      <c r="E200" s="12"/>
      <c r="F200" s="130"/>
    </row>
    <row r="201" spans="1:16" ht="45.75" x14ac:dyDescent="0.2">
      <c r="A201" s="496"/>
      <c r="B201" s="496"/>
      <c r="C201" s="496"/>
      <c r="D201" s="496"/>
      <c r="E201" s="12"/>
      <c r="F201" s="130"/>
      <c r="G201" s="496"/>
      <c r="H201" s="496"/>
      <c r="I201" s="496"/>
      <c r="J201" s="496"/>
      <c r="K201" s="496"/>
      <c r="L201" s="496"/>
      <c r="M201" s="496"/>
      <c r="N201" s="496"/>
      <c r="O201" s="496"/>
      <c r="P201" s="496"/>
    </row>
    <row r="202" spans="1:16" ht="45.75" x14ac:dyDescent="0.2">
      <c r="A202" s="496"/>
      <c r="B202" s="496"/>
      <c r="C202" s="496"/>
      <c r="D202" s="496"/>
      <c r="E202" s="12"/>
      <c r="F202" s="130"/>
      <c r="G202" s="496"/>
      <c r="H202" s="496"/>
      <c r="I202" s="496"/>
      <c r="J202" s="496"/>
      <c r="K202" s="496"/>
      <c r="L202" s="496"/>
      <c r="M202" s="496"/>
      <c r="N202" s="496"/>
      <c r="O202" s="496"/>
      <c r="P202" s="496"/>
    </row>
    <row r="203" spans="1:16" ht="45.75" x14ac:dyDescent="0.2">
      <c r="A203" s="496"/>
      <c r="B203" s="496"/>
      <c r="C203" s="496"/>
      <c r="D203" s="496"/>
      <c r="E203" s="12"/>
      <c r="F203" s="130"/>
      <c r="G203" s="496"/>
      <c r="H203" s="496"/>
      <c r="I203" s="496"/>
      <c r="J203" s="496"/>
      <c r="K203" s="496"/>
      <c r="L203" s="496"/>
      <c r="M203" s="496"/>
      <c r="N203" s="496"/>
      <c r="O203" s="496"/>
      <c r="P203" s="496"/>
    </row>
    <row r="204" spans="1:16" ht="45.75" x14ac:dyDescent="0.2">
      <c r="A204" s="496"/>
      <c r="B204" s="496"/>
      <c r="C204" s="496"/>
      <c r="D204" s="496"/>
      <c r="E204" s="12"/>
      <c r="F204" s="130"/>
      <c r="G204" s="496"/>
      <c r="H204" s="496"/>
      <c r="I204" s="496"/>
      <c r="J204" s="496"/>
      <c r="K204" s="496"/>
      <c r="L204" s="496"/>
      <c r="M204" s="496"/>
      <c r="N204" s="496"/>
      <c r="O204" s="496"/>
      <c r="P204" s="496"/>
    </row>
  </sheetData>
  <mergeCells count="116">
    <mergeCell ref="A10:B10"/>
    <mergeCell ref="A12:A14"/>
    <mergeCell ref="B12:B14"/>
    <mergeCell ref="C12:C14"/>
    <mergeCell ref="D12:D14"/>
    <mergeCell ref="E12:I12"/>
    <mergeCell ref="N2:Q2"/>
    <mergeCell ref="N3:Q3"/>
    <mergeCell ref="O4:P4"/>
    <mergeCell ref="A6:P6"/>
    <mergeCell ref="A7:P7"/>
    <mergeCell ref="A9:B9"/>
    <mergeCell ref="J12:O12"/>
    <mergeCell ref="P12:P14"/>
    <mergeCell ref="E13:E14"/>
    <mergeCell ref="F13:F14"/>
    <mergeCell ref="G13:H13"/>
    <mergeCell ref="I13:I14"/>
    <mergeCell ref="J13:J14"/>
    <mergeCell ref="K13:K14"/>
    <mergeCell ref="L13:L14"/>
    <mergeCell ref="M13:N13"/>
    <mergeCell ref="O13:O14"/>
    <mergeCell ref="A22:A23"/>
    <mergeCell ref="B22:B23"/>
    <mergeCell ref="C22:C23"/>
    <mergeCell ref="E22:E23"/>
    <mergeCell ref="F22:F23"/>
    <mergeCell ref="G22:G23"/>
    <mergeCell ref="H22:H23"/>
    <mergeCell ref="I22:I23"/>
    <mergeCell ref="J22:J23"/>
    <mergeCell ref="P75:P78"/>
    <mergeCell ref="K22:K23"/>
    <mergeCell ref="L22:L23"/>
    <mergeCell ref="M22:M23"/>
    <mergeCell ref="N22:N23"/>
    <mergeCell ref="O22:O23"/>
    <mergeCell ref="P22:P23"/>
    <mergeCell ref="J75:J78"/>
    <mergeCell ref="K75:K78"/>
    <mergeCell ref="L75:L78"/>
    <mergeCell ref="M75:M78"/>
    <mergeCell ref="N75:N78"/>
    <mergeCell ref="I75:I78"/>
    <mergeCell ref="N72:N74"/>
    <mergeCell ref="O72:O74"/>
    <mergeCell ref="P72:P74"/>
    <mergeCell ref="A75:A78"/>
    <mergeCell ref="B75:B78"/>
    <mergeCell ref="C75:C78"/>
    <mergeCell ref="E75:E78"/>
    <mergeCell ref="F75:F78"/>
    <mergeCell ref="G75:G78"/>
    <mergeCell ref="H75:H78"/>
    <mergeCell ref="H72:H74"/>
    <mergeCell ref="I72:I74"/>
    <mergeCell ref="J72:J74"/>
    <mergeCell ref="K72:K74"/>
    <mergeCell ref="L72:L74"/>
    <mergeCell ref="M72:M74"/>
    <mergeCell ref="A72:A74"/>
    <mergeCell ref="B72:B74"/>
    <mergeCell ref="C72:C74"/>
    <mergeCell ref="E72:E74"/>
    <mergeCell ref="F72:F74"/>
    <mergeCell ref="G72:G74"/>
    <mergeCell ref="O75:O78"/>
    <mergeCell ref="J87:J88"/>
    <mergeCell ref="J79:J81"/>
    <mergeCell ref="K79:K81"/>
    <mergeCell ref="L79:L81"/>
    <mergeCell ref="M79:M81"/>
    <mergeCell ref="N79:N81"/>
    <mergeCell ref="O79:O81"/>
    <mergeCell ref="A79:A81"/>
    <mergeCell ref="B79:B81"/>
    <mergeCell ref="H79:H81"/>
    <mergeCell ref="I79:I81"/>
    <mergeCell ref="C79:C81"/>
    <mergeCell ref="E79:E81"/>
    <mergeCell ref="F79:F81"/>
    <mergeCell ref="G79:G81"/>
    <mergeCell ref="N130:N131"/>
    <mergeCell ref="O130:O131"/>
    <mergeCell ref="P130:P131"/>
    <mergeCell ref="A179:P179"/>
    <mergeCell ref="D182:P182"/>
    <mergeCell ref="K87:K88"/>
    <mergeCell ref="L87:L88"/>
    <mergeCell ref="M87:M88"/>
    <mergeCell ref="N87:N88"/>
    <mergeCell ref="O87:O88"/>
    <mergeCell ref="P87:P88"/>
    <mergeCell ref="P79:P81"/>
    <mergeCell ref="A87:A88"/>
    <mergeCell ref="B87:B88"/>
    <mergeCell ref="C87:C88"/>
    <mergeCell ref="E87:E88"/>
    <mergeCell ref="F87:F88"/>
    <mergeCell ref="G87:G88"/>
    <mergeCell ref="H87:H88"/>
    <mergeCell ref="I87:I88"/>
    <mergeCell ref="D184:P184"/>
    <mergeCell ref="H130:H131"/>
    <mergeCell ref="I130:I131"/>
    <mergeCell ref="J130:J131"/>
    <mergeCell ref="K130:K131"/>
    <mergeCell ref="L130:L131"/>
    <mergeCell ref="M130:M131"/>
    <mergeCell ref="A130:A131"/>
    <mergeCell ref="B130:B131"/>
    <mergeCell ref="C130:C131"/>
    <mergeCell ref="E130:E131"/>
    <mergeCell ref="F130:F131"/>
    <mergeCell ref="G130:G131"/>
  </mergeCells>
  <conditionalFormatting sqref="Q160:R162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Q174:R174 Q173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Q169 Q168:R168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R173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154:R154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150:Q152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150:R152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149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14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155:R158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Q146:R147 Q145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169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145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fitToHeight="0" orientation="landscape" r:id="rId1"/>
  <headerFooter alignWithMargins="0">
    <oddFooter>&amp;C&amp;"Times New Roman Cyr,курсив"Сторінка &amp;P з &amp;N</oddFooter>
  </headerFooter>
  <rowBreaks count="2" manualBreakCount="2">
    <brk id="31" max="15" man="1"/>
    <brk id="53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  <pageSetUpPr fitToPage="1"/>
  </sheetPr>
  <dimension ref="A2:T206"/>
  <sheetViews>
    <sheetView view="pageBreakPreview" zoomScale="25" zoomScaleNormal="25" zoomScaleSheetLayoutView="25" zoomScalePageLayoutView="10" workbookViewId="0">
      <pane ySplit="15" topLeftCell="A175" activePane="bottomLeft" state="frozen"/>
      <selection activeCell="M34" sqref="M34"/>
      <selection pane="bottomLeft" activeCell="A25" sqref="A25:XFD25"/>
    </sheetView>
  </sheetViews>
  <sheetFormatPr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5" customWidth="1"/>
    <col min="6" max="6" width="62.5703125" style="1" customWidth="1"/>
    <col min="7" max="7" width="55.42578125" style="1" customWidth="1"/>
    <col min="8" max="8" width="48.140625" style="1" customWidth="1"/>
    <col min="9" max="9" width="41.85546875" style="1" customWidth="1"/>
    <col min="10" max="10" width="50.5703125" style="5" customWidth="1"/>
    <col min="11" max="11" width="52.5703125" style="5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56.140625" style="1" bestFit="1" customWidth="1"/>
    <col min="16" max="16" width="86.28515625" style="5" customWidth="1"/>
    <col min="17" max="17" width="52.140625" style="496" customWidth="1"/>
    <col min="18" max="18" width="66.42578125" style="496" bestFit="1" customWidth="1"/>
    <col min="19" max="19" width="9.140625" style="496"/>
    <col min="20" max="20" width="24.7109375" style="496" bestFit="1" customWidth="1"/>
    <col min="21" max="16384" width="9.140625" style="496"/>
  </cols>
  <sheetData>
    <row r="2" spans="1:18" ht="45.75" x14ac:dyDescent="0.2">
      <c r="D2" s="499"/>
      <c r="E2" s="500"/>
      <c r="F2" s="498"/>
      <c r="G2" s="500"/>
      <c r="H2" s="500"/>
      <c r="I2" s="500"/>
      <c r="J2" s="500"/>
      <c r="K2" s="500"/>
      <c r="L2" s="500"/>
      <c r="M2" s="500"/>
      <c r="N2" s="547" t="s">
        <v>702</v>
      </c>
      <c r="O2" s="526"/>
      <c r="P2" s="526"/>
      <c r="Q2" s="526"/>
    </row>
    <row r="3" spans="1:18" ht="45.75" x14ac:dyDescent="0.2">
      <c r="A3" s="499"/>
      <c r="B3" s="499"/>
      <c r="C3" s="499"/>
      <c r="D3" s="499"/>
      <c r="E3" s="500"/>
      <c r="F3" s="498"/>
      <c r="G3" s="500"/>
      <c r="H3" s="500"/>
      <c r="I3" s="500"/>
      <c r="J3" s="500"/>
      <c r="K3" s="500"/>
      <c r="L3" s="500"/>
      <c r="M3" s="500"/>
      <c r="N3" s="547" t="s">
        <v>1007</v>
      </c>
      <c r="O3" s="548"/>
      <c r="P3" s="548"/>
      <c r="Q3" s="548"/>
    </row>
    <row r="4" spans="1:18" ht="40.700000000000003" customHeight="1" x14ac:dyDescent="0.2">
      <c r="A4" s="499"/>
      <c r="B4" s="499"/>
      <c r="C4" s="499"/>
      <c r="D4" s="499"/>
      <c r="E4" s="500"/>
      <c r="F4" s="498"/>
      <c r="G4" s="500"/>
      <c r="H4" s="500"/>
      <c r="I4" s="500"/>
      <c r="J4" s="500"/>
      <c r="K4" s="500"/>
      <c r="L4" s="500"/>
      <c r="M4" s="500"/>
      <c r="N4" s="500"/>
      <c r="O4" s="547"/>
      <c r="P4" s="549"/>
    </row>
    <row r="5" spans="1:18" ht="45.75" hidden="1" x14ac:dyDescent="0.2">
      <c r="A5" s="499"/>
      <c r="B5" s="499"/>
      <c r="C5" s="499"/>
      <c r="D5" s="499"/>
      <c r="E5" s="500"/>
      <c r="F5" s="498"/>
      <c r="G5" s="500"/>
      <c r="H5" s="500"/>
      <c r="I5" s="500"/>
      <c r="J5" s="500"/>
      <c r="K5" s="500"/>
      <c r="L5" s="500"/>
      <c r="M5" s="500"/>
      <c r="N5" s="500"/>
      <c r="O5" s="499"/>
      <c r="P5" s="498"/>
    </row>
    <row r="6" spans="1:18" ht="45" x14ac:dyDescent="0.2">
      <c r="A6" s="550" t="s">
        <v>977</v>
      </c>
      <c r="B6" s="550"/>
      <c r="C6" s="550"/>
      <c r="D6" s="550"/>
      <c r="E6" s="550"/>
      <c r="F6" s="550"/>
      <c r="G6" s="550"/>
      <c r="H6" s="550"/>
      <c r="I6" s="550"/>
      <c r="J6" s="550"/>
      <c r="K6" s="550"/>
      <c r="L6" s="550"/>
      <c r="M6" s="550"/>
      <c r="N6" s="550"/>
      <c r="O6" s="550"/>
      <c r="P6" s="550"/>
    </row>
    <row r="7" spans="1:18" ht="45" x14ac:dyDescent="0.2">
      <c r="A7" s="550" t="s">
        <v>581</v>
      </c>
      <c r="B7" s="550"/>
      <c r="C7" s="550"/>
      <c r="D7" s="550"/>
      <c r="E7" s="550"/>
      <c r="F7" s="550"/>
      <c r="G7" s="550"/>
      <c r="H7" s="550"/>
      <c r="I7" s="550"/>
      <c r="J7" s="550"/>
      <c r="K7" s="550"/>
      <c r="L7" s="550"/>
      <c r="M7" s="550"/>
      <c r="N7" s="550"/>
      <c r="O7" s="550"/>
      <c r="P7" s="550"/>
    </row>
    <row r="8" spans="1:18" ht="45" x14ac:dyDescent="0.2">
      <c r="A8" s="500"/>
      <c r="B8" s="500"/>
      <c r="C8" s="500"/>
      <c r="D8" s="500"/>
      <c r="E8" s="500"/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0"/>
    </row>
    <row r="9" spans="1:18" ht="45.75" x14ac:dyDescent="0.65">
      <c r="A9" s="551">
        <v>22201100000</v>
      </c>
      <c r="B9" s="552"/>
      <c r="C9" s="500"/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500"/>
      <c r="O9" s="500"/>
      <c r="P9" s="500"/>
    </row>
    <row r="10" spans="1:18" ht="45.75" x14ac:dyDescent="0.2">
      <c r="A10" s="542" t="s">
        <v>698</v>
      </c>
      <c r="B10" s="543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  <c r="N10" s="500"/>
      <c r="O10" s="500"/>
      <c r="P10" s="500"/>
    </row>
    <row r="11" spans="1:18" ht="53.45" customHeight="1" thickBot="1" x14ac:dyDescent="0.25">
      <c r="A11" s="500"/>
      <c r="B11" s="500"/>
      <c r="C11" s="500"/>
      <c r="D11" s="500"/>
      <c r="E11" s="500"/>
      <c r="F11" s="498"/>
      <c r="G11" s="500"/>
      <c r="H11" s="500"/>
      <c r="I11" s="500"/>
      <c r="J11" s="500"/>
      <c r="K11" s="500"/>
      <c r="L11" s="500"/>
      <c r="M11" s="500"/>
      <c r="N11" s="500"/>
      <c r="O11" s="500"/>
      <c r="P11" s="6" t="s">
        <v>493</v>
      </c>
    </row>
    <row r="12" spans="1:18" ht="62.45" customHeight="1" thickTop="1" thickBot="1" x14ac:dyDescent="0.25">
      <c r="A12" s="544" t="s">
        <v>699</v>
      </c>
      <c r="B12" s="544" t="s">
        <v>700</v>
      </c>
      <c r="C12" s="544" t="s">
        <v>479</v>
      </c>
      <c r="D12" s="544" t="s">
        <v>701</v>
      </c>
      <c r="E12" s="545" t="s">
        <v>14</v>
      </c>
      <c r="F12" s="545"/>
      <c r="G12" s="545"/>
      <c r="H12" s="545"/>
      <c r="I12" s="545"/>
      <c r="J12" s="545" t="s">
        <v>65</v>
      </c>
      <c r="K12" s="545"/>
      <c r="L12" s="545"/>
      <c r="M12" s="545"/>
      <c r="N12" s="545"/>
      <c r="O12" s="553"/>
      <c r="P12" s="545" t="s">
        <v>13</v>
      </c>
    </row>
    <row r="13" spans="1:18" ht="96" customHeight="1" thickTop="1" thickBot="1" x14ac:dyDescent="0.25">
      <c r="A13" s="545"/>
      <c r="B13" s="546"/>
      <c r="C13" s="546"/>
      <c r="D13" s="545"/>
      <c r="E13" s="544" t="s">
        <v>473</v>
      </c>
      <c r="F13" s="544" t="s">
        <v>66</v>
      </c>
      <c r="G13" s="544" t="s">
        <v>15</v>
      </c>
      <c r="H13" s="544"/>
      <c r="I13" s="544" t="s">
        <v>68</v>
      </c>
      <c r="J13" s="544" t="s">
        <v>473</v>
      </c>
      <c r="K13" s="544" t="s">
        <v>474</v>
      </c>
      <c r="L13" s="544" t="s">
        <v>66</v>
      </c>
      <c r="M13" s="544" t="s">
        <v>15</v>
      </c>
      <c r="N13" s="544"/>
      <c r="O13" s="544" t="s">
        <v>68</v>
      </c>
      <c r="P13" s="545"/>
    </row>
    <row r="14" spans="1:18" ht="276" customHeight="1" thickTop="1" thickBot="1" x14ac:dyDescent="0.25">
      <c r="A14" s="546"/>
      <c r="B14" s="546"/>
      <c r="C14" s="546"/>
      <c r="D14" s="546"/>
      <c r="E14" s="544"/>
      <c r="F14" s="544"/>
      <c r="G14" s="497" t="s">
        <v>67</v>
      </c>
      <c r="H14" s="497" t="s">
        <v>17</v>
      </c>
      <c r="I14" s="544"/>
      <c r="J14" s="544"/>
      <c r="K14" s="544"/>
      <c r="L14" s="544"/>
      <c r="M14" s="497" t="s">
        <v>67</v>
      </c>
      <c r="N14" s="497" t="s">
        <v>17</v>
      </c>
      <c r="O14" s="544"/>
      <c r="P14" s="545"/>
    </row>
    <row r="15" spans="1:18" s="2" customFormat="1" ht="111" customHeight="1" thickTop="1" thickBot="1" x14ac:dyDescent="0.25">
      <c r="A15" s="174" t="s">
        <v>3</v>
      </c>
      <c r="B15" s="174" t="s">
        <v>4</v>
      </c>
      <c r="C15" s="174" t="s">
        <v>16</v>
      </c>
      <c r="D15" s="174" t="s">
        <v>6</v>
      </c>
      <c r="E15" s="174" t="s">
        <v>481</v>
      </c>
      <c r="F15" s="174" t="s">
        <v>482</v>
      </c>
      <c r="G15" s="174" t="s">
        <v>483</v>
      </c>
      <c r="H15" s="174" t="s">
        <v>484</v>
      </c>
      <c r="I15" s="174" t="s">
        <v>485</v>
      </c>
      <c r="J15" s="174" t="s">
        <v>486</v>
      </c>
      <c r="K15" s="174" t="s">
        <v>487</v>
      </c>
      <c r="L15" s="174" t="s">
        <v>488</v>
      </c>
      <c r="M15" s="174" t="s">
        <v>489</v>
      </c>
      <c r="N15" s="174" t="s">
        <v>490</v>
      </c>
      <c r="O15" s="174" t="s">
        <v>491</v>
      </c>
      <c r="P15" s="174" t="s">
        <v>492</v>
      </c>
      <c r="Q15" s="327"/>
      <c r="R15" s="161"/>
    </row>
    <row r="16" spans="1:18" s="2" customFormat="1" ht="136.5" thickTop="1" thickBot="1" x14ac:dyDescent="0.25">
      <c r="A16" s="451" t="s">
        <v>188</v>
      </c>
      <c r="B16" s="451"/>
      <c r="C16" s="451"/>
      <c r="D16" s="452" t="s">
        <v>190</v>
      </c>
      <c r="E16" s="453">
        <f>E17</f>
        <v>6704485</v>
      </c>
      <c r="F16" s="454">
        <f t="shared" ref="F16:N16" si="0">F17</f>
        <v>6704485</v>
      </c>
      <c r="G16" s="454">
        <f t="shared" si="0"/>
        <v>0</v>
      </c>
      <c r="H16" s="454">
        <f t="shared" si="0"/>
        <v>-23500</v>
      </c>
      <c r="I16" s="453">
        <f t="shared" si="0"/>
        <v>0</v>
      </c>
      <c r="J16" s="453">
        <f t="shared" si="0"/>
        <v>356000</v>
      </c>
      <c r="K16" s="454">
        <f t="shared" si="0"/>
        <v>99000</v>
      </c>
      <c r="L16" s="454">
        <f t="shared" si="0"/>
        <v>162000</v>
      </c>
      <c r="M16" s="454">
        <f t="shared" si="0"/>
        <v>0</v>
      </c>
      <c r="N16" s="453">
        <f t="shared" si="0"/>
        <v>0</v>
      </c>
      <c r="O16" s="453">
        <f>O17</f>
        <v>194000</v>
      </c>
      <c r="P16" s="454">
        <f t="shared" ref="P16" si="1">P17</f>
        <v>7060485</v>
      </c>
    </row>
    <row r="17" spans="1:20" s="2" customFormat="1" ht="136.5" thickTop="1" thickBot="1" x14ac:dyDescent="0.25">
      <c r="A17" s="455" t="s">
        <v>189</v>
      </c>
      <c r="B17" s="455"/>
      <c r="C17" s="455"/>
      <c r="D17" s="456" t="s">
        <v>191</v>
      </c>
      <c r="E17" s="457">
        <f>SUM(E18:E28)</f>
        <v>6704485</v>
      </c>
      <c r="F17" s="457">
        <f t="shared" ref="F17:O17" si="2">SUM(F18:F28)</f>
        <v>6704485</v>
      </c>
      <c r="G17" s="457">
        <f t="shared" si="2"/>
        <v>0</v>
      </c>
      <c r="H17" s="457">
        <f t="shared" si="2"/>
        <v>-23500</v>
      </c>
      <c r="I17" s="457">
        <f t="shared" si="2"/>
        <v>0</v>
      </c>
      <c r="J17" s="457">
        <f t="shared" ref="J17" si="3">L17+O17</f>
        <v>356000</v>
      </c>
      <c r="K17" s="457">
        <f t="shared" si="2"/>
        <v>99000</v>
      </c>
      <c r="L17" s="457">
        <f t="shared" si="2"/>
        <v>162000</v>
      </c>
      <c r="M17" s="457">
        <f t="shared" si="2"/>
        <v>0</v>
      </c>
      <c r="N17" s="457">
        <f t="shared" si="2"/>
        <v>0</v>
      </c>
      <c r="O17" s="457">
        <f t="shared" si="2"/>
        <v>194000</v>
      </c>
      <c r="P17" s="458">
        <f>E17+J17</f>
        <v>7060485</v>
      </c>
      <c r="Q17" s="328" t="b">
        <f>P18+P19+P21+P22+P26+P27+P23+P25+P28+P20=P17</f>
        <v>1</v>
      </c>
      <c r="R17" s="328" t="b">
        <f>K17='d5'!J12</f>
        <v>0</v>
      </c>
    </row>
    <row r="18" spans="1:20" ht="321.75" thickTop="1" thickBot="1" x14ac:dyDescent="0.25">
      <c r="A18" s="501" t="s">
        <v>282</v>
      </c>
      <c r="B18" s="501" t="s">
        <v>283</v>
      </c>
      <c r="C18" s="501" t="s">
        <v>284</v>
      </c>
      <c r="D18" s="501" t="s">
        <v>281</v>
      </c>
      <c r="E18" s="228">
        <f>'d3'!E18-'d3-08'!E18</f>
        <v>-163500</v>
      </c>
      <c r="F18" s="228">
        <f>'d3'!F18-'d3-08'!F18</f>
        <v>-163500</v>
      </c>
      <c r="G18" s="228">
        <f>'d3'!G18-'d3-08'!G18</f>
        <v>0</v>
      </c>
      <c r="H18" s="228">
        <f>'d3'!H18-'d3-08'!H18</f>
        <v>-23500</v>
      </c>
      <c r="I18" s="228">
        <f>'d3'!I18-'d3-08'!I18</f>
        <v>0</v>
      </c>
      <c r="J18" s="228">
        <f>'d3'!J18-'d3-08'!J18</f>
        <v>99000</v>
      </c>
      <c r="K18" s="228">
        <f>'d3'!K18-'d3-08'!K18</f>
        <v>99000</v>
      </c>
      <c r="L18" s="228">
        <f>'d3'!L18-'d3-08'!L18</f>
        <v>0</v>
      </c>
      <c r="M18" s="228">
        <f>'d3'!M18-'d3-08'!M18</f>
        <v>0</v>
      </c>
      <c r="N18" s="228">
        <f>'d3'!N18-'d3-08'!N18</f>
        <v>0</v>
      </c>
      <c r="O18" s="228">
        <f>'d3'!O18-'d3-08'!O18</f>
        <v>99000</v>
      </c>
      <c r="P18" s="228">
        <f>'d3'!P18-'d3-08'!P18</f>
        <v>-64500</v>
      </c>
      <c r="Q18" s="329"/>
      <c r="R18" s="328" t="b">
        <f>K18='d5'!J13+'d5'!J14+'d5'!J15+'d5'!J16+'d5'!J17</f>
        <v>0</v>
      </c>
    </row>
    <row r="19" spans="1:20" ht="93" thickTop="1" thickBot="1" x14ac:dyDescent="0.25">
      <c r="A19" s="501" t="s">
        <v>297</v>
      </c>
      <c r="B19" s="501" t="s">
        <v>53</v>
      </c>
      <c r="C19" s="501" t="s">
        <v>52</v>
      </c>
      <c r="D19" s="501" t="s">
        <v>298</v>
      </c>
      <c r="E19" s="228">
        <f>'d3'!E19-'d3-08'!E19</f>
        <v>0</v>
      </c>
      <c r="F19" s="228">
        <f>'d3'!F19-'d3-08'!F19</f>
        <v>0</v>
      </c>
      <c r="G19" s="228">
        <f>'d3'!G19-'d3-08'!G19</f>
        <v>0</v>
      </c>
      <c r="H19" s="228">
        <f>'d3'!H19-'d3-08'!H19</f>
        <v>0</v>
      </c>
      <c r="I19" s="228">
        <f>'d3'!I19-'d3-08'!I19</f>
        <v>0</v>
      </c>
      <c r="J19" s="228">
        <f>'d3'!J19-'d3-08'!J19</f>
        <v>0</v>
      </c>
      <c r="K19" s="228">
        <f>'d3'!K19-'d3-08'!K19</f>
        <v>0</v>
      </c>
      <c r="L19" s="228">
        <f>'d3'!L19-'d3-08'!L19</f>
        <v>0</v>
      </c>
      <c r="M19" s="228">
        <f>'d3'!M19-'d3-08'!M19</f>
        <v>0</v>
      </c>
      <c r="N19" s="228">
        <f>'d3'!N19-'d3-08'!N19</f>
        <v>0</v>
      </c>
      <c r="O19" s="228">
        <f>'d3'!O19-'d3-08'!O19</f>
        <v>0</v>
      </c>
      <c r="P19" s="228">
        <f>'d3'!P19-'d3-08'!P19</f>
        <v>0</v>
      </c>
      <c r="Q19" s="329"/>
      <c r="R19" s="328"/>
    </row>
    <row r="20" spans="1:20" ht="48" thickTop="1" thickBot="1" x14ac:dyDescent="0.25">
      <c r="A20" s="501" t="s">
        <v>972</v>
      </c>
      <c r="B20" s="501" t="s">
        <v>973</v>
      </c>
      <c r="C20" s="501" t="s">
        <v>286</v>
      </c>
      <c r="D20" s="501" t="s">
        <v>974</v>
      </c>
      <c r="E20" s="228">
        <f>'d3'!E20-0</f>
        <v>6767985</v>
      </c>
      <c r="F20" s="228">
        <f>'d3'!F20-0</f>
        <v>6767985</v>
      </c>
      <c r="G20" s="228">
        <f>'d3'!G20-0</f>
        <v>0</v>
      </c>
      <c r="H20" s="228">
        <f>'d3'!H20-0</f>
        <v>0</v>
      </c>
      <c r="I20" s="228">
        <f>'d3'!I20-0</f>
        <v>0</v>
      </c>
      <c r="J20" s="228">
        <f>'d3'!J20-0</f>
        <v>0</v>
      </c>
      <c r="K20" s="228">
        <f>'d3'!K20-0</f>
        <v>0</v>
      </c>
      <c r="L20" s="228">
        <f>'d3'!L20-0</f>
        <v>0</v>
      </c>
      <c r="M20" s="228">
        <f>'d3'!M20-0</f>
        <v>0</v>
      </c>
      <c r="N20" s="228">
        <f>'d3'!N20-0</f>
        <v>0</v>
      </c>
      <c r="O20" s="228">
        <f>'d3'!O20-0</f>
        <v>0</v>
      </c>
      <c r="P20" s="228">
        <f>'d3'!P20-0</f>
        <v>6767985</v>
      </c>
      <c r="Q20" s="329"/>
      <c r="R20" s="328"/>
    </row>
    <row r="21" spans="1:20" ht="93" thickTop="1" thickBot="1" x14ac:dyDescent="0.25">
      <c r="A21" s="501" t="s">
        <v>288</v>
      </c>
      <c r="B21" s="501" t="s">
        <v>289</v>
      </c>
      <c r="C21" s="501" t="s">
        <v>290</v>
      </c>
      <c r="D21" s="501" t="s">
        <v>287</v>
      </c>
      <c r="E21" s="228">
        <f>'d3'!E21-'d3-08'!E20</f>
        <v>0</v>
      </c>
      <c r="F21" s="228">
        <f>'d3'!F21-'d3-08'!F20</f>
        <v>0</v>
      </c>
      <c r="G21" s="228">
        <f>'d3'!G21-'d3-08'!G20</f>
        <v>0</v>
      </c>
      <c r="H21" s="228">
        <f>'d3'!H21-'d3-08'!H20</f>
        <v>0</v>
      </c>
      <c r="I21" s="228">
        <f>'d3'!I21-'d3-08'!I20</f>
        <v>0</v>
      </c>
      <c r="J21" s="228">
        <f>'d3'!J21-'d3-08'!J20</f>
        <v>0</v>
      </c>
      <c r="K21" s="228">
        <f>'d3'!K21-'d3-08'!K20</f>
        <v>0</v>
      </c>
      <c r="L21" s="228">
        <f>'d3'!L21-'d3-08'!L20</f>
        <v>0</v>
      </c>
      <c r="M21" s="228">
        <f>'d3'!M21-'d3-08'!M20</f>
        <v>0</v>
      </c>
      <c r="N21" s="228">
        <f>'d3'!N21-'d3-08'!N20</f>
        <v>0</v>
      </c>
      <c r="O21" s="228">
        <f>'d3'!O21-'d3-08'!O20</f>
        <v>0</v>
      </c>
      <c r="P21" s="228">
        <f>'d3'!P21-'d3-08'!P20</f>
        <v>0</v>
      </c>
      <c r="Q21" s="329"/>
      <c r="R21" s="328" t="b">
        <f>K21='d5'!J18</f>
        <v>0</v>
      </c>
    </row>
    <row r="22" spans="1:20" ht="138.75" thickTop="1" thickBot="1" x14ac:dyDescent="0.25">
      <c r="A22" s="501" t="s">
        <v>354</v>
      </c>
      <c r="B22" s="501" t="s">
        <v>355</v>
      </c>
      <c r="C22" s="501" t="s">
        <v>210</v>
      </c>
      <c r="D22" s="501" t="s">
        <v>589</v>
      </c>
      <c r="E22" s="228">
        <f>'d3'!E22-'d3-08'!E21</f>
        <v>0</v>
      </c>
      <c r="F22" s="228">
        <f>'d3'!F22-'d3-08'!F21</f>
        <v>0</v>
      </c>
      <c r="G22" s="228">
        <f>'d3'!G22-'d3-08'!G21</f>
        <v>0</v>
      </c>
      <c r="H22" s="228">
        <f>'d3'!H22-'d3-08'!H21</f>
        <v>0</v>
      </c>
      <c r="I22" s="228">
        <f>'d3'!I22-'d3-08'!I21</f>
        <v>0</v>
      </c>
      <c r="J22" s="228">
        <f>'d3'!J22-'d3-08'!J21</f>
        <v>0</v>
      </c>
      <c r="K22" s="228">
        <f>'d3'!K22-'d3-08'!K21</f>
        <v>0</v>
      </c>
      <c r="L22" s="228">
        <f>'d3'!L22-'d3-08'!L21</f>
        <v>0</v>
      </c>
      <c r="M22" s="228">
        <f>'d3'!M22-'d3-08'!M21</f>
        <v>0</v>
      </c>
      <c r="N22" s="228">
        <f>'d3'!N22-'d3-08'!N21</f>
        <v>0</v>
      </c>
      <c r="O22" s="228">
        <f>'d3'!O22-'d3-08'!O21</f>
        <v>0</v>
      </c>
      <c r="P22" s="228">
        <f>'d3'!P22-'d3-08'!P21</f>
        <v>0</v>
      </c>
      <c r="Q22" s="329"/>
      <c r="R22" s="328"/>
    </row>
    <row r="23" spans="1:20" s="94" customFormat="1" ht="361.5" customHeight="1" thickTop="1" thickBot="1" x14ac:dyDescent="0.7">
      <c r="A23" s="554" t="s">
        <v>413</v>
      </c>
      <c r="B23" s="554" t="s">
        <v>412</v>
      </c>
      <c r="C23" s="554" t="s">
        <v>210</v>
      </c>
      <c r="D23" s="234" t="s">
        <v>585</v>
      </c>
      <c r="E23" s="568">
        <f>'d3'!E23-'d3-08'!E22</f>
        <v>0</v>
      </c>
      <c r="F23" s="568">
        <f>'d3'!F23-'d3-08'!F22</f>
        <v>0</v>
      </c>
      <c r="G23" s="568">
        <f>'d3'!G23-'d3-08'!G22</f>
        <v>0</v>
      </c>
      <c r="H23" s="568">
        <f>'d3'!H23-'d3-08'!H22</f>
        <v>0</v>
      </c>
      <c r="I23" s="568">
        <f>'d3'!I23-'d3-08'!I22</f>
        <v>0</v>
      </c>
      <c r="J23" s="568">
        <f>'d3'!J23-'d3-08'!J22</f>
        <v>257000</v>
      </c>
      <c r="K23" s="568">
        <f>'d3'!K23-'d3-08'!K22</f>
        <v>0</v>
      </c>
      <c r="L23" s="568">
        <f>'d3'!L23-'d3-08'!L22</f>
        <v>162000</v>
      </c>
      <c r="M23" s="568">
        <f>'d3'!M23-'d3-08'!M22</f>
        <v>0</v>
      </c>
      <c r="N23" s="568">
        <f>'d3'!N23-'d3-08'!N22</f>
        <v>0</v>
      </c>
      <c r="O23" s="568">
        <f>'d3'!O23-'d3-08'!O22</f>
        <v>95000</v>
      </c>
      <c r="P23" s="568">
        <f>'d3'!P23-'d3-08'!P22</f>
        <v>257000</v>
      </c>
      <c r="Q23" s="330">
        <f>P23</f>
        <v>257000</v>
      </c>
    </row>
    <row r="24" spans="1:20" s="94" customFormat="1" ht="184.5" thickTop="1" thickBot="1" x14ac:dyDescent="0.25">
      <c r="A24" s="555"/>
      <c r="B24" s="555"/>
      <c r="C24" s="555"/>
      <c r="D24" s="235" t="s">
        <v>586</v>
      </c>
      <c r="E24" s="652"/>
      <c r="F24" s="652"/>
      <c r="G24" s="652"/>
      <c r="H24" s="652"/>
      <c r="I24" s="652"/>
      <c r="J24" s="652"/>
      <c r="K24" s="652"/>
      <c r="L24" s="652"/>
      <c r="M24" s="652"/>
      <c r="N24" s="652"/>
      <c r="O24" s="652"/>
      <c r="P24" s="652"/>
    </row>
    <row r="25" spans="1:20" s="94" customFormat="1" ht="93" hidden="1" thickTop="1" thickBot="1" x14ac:dyDescent="0.25">
      <c r="A25" s="501" t="s">
        <v>734</v>
      </c>
      <c r="B25" s="501" t="s">
        <v>308</v>
      </c>
      <c r="C25" s="501" t="s">
        <v>210</v>
      </c>
      <c r="D25" s="501" t="s">
        <v>306</v>
      </c>
      <c r="E25" s="228">
        <f>'d3'!E25-'d3-08'!E24</f>
        <v>0</v>
      </c>
      <c r="F25" s="228">
        <f>'d3'!F25-'d3-08'!F24</f>
        <v>0</v>
      </c>
      <c r="G25" s="228">
        <f>'d3'!G25-'d3-08'!G24</f>
        <v>0</v>
      </c>
      <c r="H25" s="228">
        <f>'d3'!H25-'d3-08'!H24</f>
        <v>0</v>
      </c>
      <c r="I25" s="228">
        <f>'d3'!I25-'d3-08'!I24</f>
        <v>0</v>
      </c>
      <c r="J25" s="228">
        <f>'d3'!J25-'d3-08'!J24</f>
        <v>0</v>
      </c>
      <c r="K25" s="228">
        <f>'d3'!K25-'d3-08'!K24</f>
        <v>0</v>
      </c>
      <c r="L25" s="228">
        <f>'d3'!L25-'d3-08'!L24</f>
        <v>0</v>
      </c>
      <c r="M25" s="228">
        <f>'d3'!M25-'d3-08'!M24</f>
        <v>0</v>
      </c>
      <c r="N25" s="228">
        <f>'d3'!N25-'d3-08'!N24</f>
        <v>0</v>
      </c>
      <c r="O25" s="228">
        <f>'d3'!O25-'d3-08'!O24</f>
        <v>0</v>
      </c>
      <c r="P25" s="228">
        <f>'d3'!P25-'d3-08'!P24</f>
        <v>0</v>
      </c>
    </row>
    <row r="26" spans="1:20" ht="93" thickTop="1" thickBot="1" x14ac:dyDescent="0.25">
      <c r="A26" s="501" t="s">
        <v>291</v>
      </c>
      <c r="B26" s="501" t="s">
        <v>292</v>
      </c>
      <c r="C26" s="501" t="s">
        <v>293</v>
      </c>
      <c r="D26" s="501" t="s">
        <v>294</v>
      </c>
      <c r="E26" s="228">
        <f>'d3'!E26-'d3-08'!E25</f>
        <v>0</v>
      </c>
      <c r="F26" s="228">
        <f>'d3'!F26-'d3-08'!F25</f>
        <v>0</v>
      </c>
      <c r="G26" s="228">
        <f>'d3'!G26-'d3-08'!G25</f>
        <v>0</v>
      </c>
      <c r="H26" s="228">
        <f>'d3'!H26-'d3-08'!H25</f>
        <v>0</v>
      </c>
      <c r="I26" s="228">
        <f>'d3'!I26-'d3-08'!I25</f>
        <v>0</v>
      </c>
      <c r="J26" s="228">
        <f>'d3'!J26-'d3-08'!J25</f>
        <v>0</v>
      </c>
      <c r="K26" s="228">
        <f>'d3'!K26-'d3-08'!K25</f>
        <v>0</v>
      </c>
      <c r="L26" s="228">
        <f>'d3'!L26-'d3-08'!L25</f>
        <v>0</v>
      </c>
      <c r="M26" s="228">
        <f>'d3'!M26-'d3-08'!M25</f>
        <v>0</v>
      </c>
      <c r="N26" s="228">
        <f>'d3'!N26-'d3-08'!N25</f>
        <v>0</v>
      </c>
      <c r="O26" s="228">
        <f>'d3'!O26-'d3-08'!O25</f>
        <v>0</v>
      </c>
      <c r="P26" s="228">
        <f>'d3'!P26-'d3-08'!P25</f>
        <v>0</v>
      </c>
    </row>
    <row r="27" spans="1:20" ht="321.75" customHeight="1" thickTop="1" thickBot="1" x14ac:dyDescent="0.25">
      <c r="A27" s="501" t="s">
        <v>295</v>
      </c>
      <c r="B27" s="501" t="s">
        <v>296</v>
      </c>
      <c r="C27" s="501" t="s">
        <v>53</v>
      </c>
      <c r="D27" s="501" t="s">
        <v>590</v>
      </c>
      <c r="E27" s="228">
        <f>'d3'!E27-'d3-08'!E26</f>
        <v>0</v>
      </c>
      <c r="F27" s="228">
        <f>'d3'!F27-'d3-08'!F26</f>
        <v>0</v>
      </c>
      <c r="G27" s="228">
        <f>'d3'!G27-'d3-08'!G26</f>
        <v>0</v>
      </c>
      <c r="H27" s="228">
        <f>'d3'!H27-'d3-08'!H26</f>
        <v>0</v>
      </c>
      <c r="I27" s="228">
        <f>'d3'!I27-'d3-08'!I26</f>
        <v>0</v>
      </c>
      <c r="J27" s="228">
        <f>'d3'!J27-'d3-08'!J26</f>
        <v>0</v>
      </c>
      <c r="K27" s="228">
        <f>'d3'!K27-'d3-08'!K26</f>
        <v>0</v>
      </c>
      <c r="L27" s="228">
        <f>'d3'!L27-'d3-08'!L26</f>
        <v>0</v>
      </c>
      <c r="M27" s="228">
        <f>'d3'!M27-'d3-08'!M26</f>
        <v>0</v>
      </c>
      <c r="N27" s="228">
        <f>'d3'!N27-'d3-08'!N26</f>
        <v>0</v>
      </c>
      <c r="O27" s="228">
        <f>'d3'!O27-'d3-08'!O26</f>
        <v>0</v>
      </c>
      <c r="P27" s="228">
        <f>'d3'!P27-'d3-08'!P26</f>
        <v>0</v>
      </c>
    </row>
    <row r="28" spans="1:20" ht="276" customHeight="1" thickTop="1" thickBot="1" x14ac:dyDescent="0.25">
      <c r="A28" s="501" t="s">
        <v>735</v>
      </c>
      <c r="B28" s="501" t="s">
        <v>736</v>
      </c>
      <c r="C28" s="501" t="s">
        <v>53</v>
      </c>
      <c r="D28" s="501" t="s">
        <v>737</v>
      </c>
      <c r="E28" s="228">
        <f>'d3'!E28-'d3-08'!E27</f>
        <v>100000</v>
      </c>
      <c r="F28" s="228">
        <f>'d3'!F28-'d3-08'!F27</f>
        <v>100000</v>
      </c>
      <c r="G28" s="228">
        <f>'d3'!G28-'d3-08'!G27</f>
        <v>0</v>
      </c>
      <c r="H28" s="228">
        <f>'d3'!H28-'d3-08'!H27</f>
        <v>0</v>
      </c>
      <c r="I28" s="228">
        <f>'d3'!I28-'d3-08'!I27</f>
        <v>0</v>
      </c>
      <c r="J28" s="228">
        <f>'d3'!J28-'d3-08'!J27</f>
        <v>0</v>
      </c>
      <c r="K28" s="228">
        <f>'d3'!K28-'d3-08'!K27</f>
        <v>0</v>
      </c>
      <c r="L28" s="228">
        <f>'d3'!L28-'d3-08'!L27</f>
        <v>0</v>
      </c>
      <c r="M28" s="228">
        <f>'d3'!M28-'d3-08'!M27</f>
        <v>0</v>
      </c>
      <c r="N28" s="228">
        <f>'d3'!N28-'d3-08'!N27</f>
        <v>0</v>
      </c>
      <c r="O28" s="228">
        <f>'d3'!O28-'d3-08'!O27</f>
        <v>0</v>
      </c>
      <c r="P28" s="228">
        <f>'d3'!P28-'d3-08'!P27</f>
        <v>100000</v>
      </c>
      <c r="R28" s="328" t="b">
        <f>K28='d5'!J19+'d5'!J20</f>
        <v>0</v>
      </c>
    </row>
    <row r="29" spans="1:20" ht="136.5" thickTop="1" thickBot="1" x14ac:dyDescent="0.25">
      <c r="A29" s="451" t="s">
        <v>192</v>
      </c>
      <c r="B29" s="451"/>
      <c r="C29" s="451"/>
      <c r="D29" s="452" t="s">
        <v>0</v>
      </c>
      <c r="E29" s="453">
        <f>E30</f>
        <v>-17988509.770000011</v>
      </c>
      <c r="F29" s="454">
        <f t="shared" ref="F29:G29" si="4">F30</f>
        <v>-17988509.770000011</v>
      </c>
      <c r="G29" s="454">
        <f t="shared" si="4"/>
        <v>-233190.77999999933</v>
      </c>
      <c r="H29" s="454">
        <f>H30</f>
        <v>-10320600</v>
      </c>
      <c r="I29" s="453">
        <f t="shared" ref="I29" si="5">I30</f>
        <v>0</v>
      </c>
      <c r="J29" s="453">
        <f>J30</f>
        <v>2030946.9899999984</v>
      </c>
      <c r="K29" s="454">
        <f>K30</f>
        <v>2030946.9899999984</v>
      </c>
      <c r="L29" s="454">
        <f>L30</f>
        <v>0</v>
      </c>
      <c r="M29" s="454">
        <f t="shared" ref="M29" si="6">M30</f>
        <v>0</v>
      </c>
      <c r="N29" s="453">
        <f>N30</f>
        <v>3660</v>
      </c>
      <c r="O29" s="453">
        <f>O30</f>
        <v>2030946.9899999984</v>
      </c>
      <c r="P29" s="454">
        <f t="shared" ref="P29" si="7">P30</f>
        <v>-15957562.780000012</v>
      </c>
    </row>
    <row r="30" spans="1:20" ht="136.5" thickTop="1" thickBot="1" x14ac:dyDescent="0.25">
      <c r="A30" s="455" t="s">
        <v>193</v>
      </c>
      <c r="B30" s="455"/>
      <c r="C30" s="455"/>
      <c r="D30" s="456" t="s">
        <v>1</v>
      </c>
      <c r="E30" s="457">
        <f>SUM(E31:E41)</f>
        <v>-17988509.770000011</v>
      </c>
      <c r="F30" s="457">
        <f t="shared" ref="F30:I30" si="8">SUM(F31:F41)</f>
        <v>-17988509.770000011</v>
      </c>
      <c r="G30" s="457">
        <f t="shared" si="8"/>
        <v>-233190.77999999933</v>
      </c>
      <c r="H30" s="457">
        <f t="shared" si="8"/>
        <v>-10320600</v>
      </c>
      <c r="I30" s="457">
        <f t="shared" si="8"/>
        <v>0</v>
      </c>
      <c r="J30" s="457">
        <f>L30+O30</f>
        <v>2030946.9899999984</v>
      </c>
      <c r="K30" s="457">
        <f>SUM(K31:K41)</f>
        <v>2030946.9899999984</v>
      </c>
      <c r="L30" s="457">
        <f>SUM(L31:L41)</f>
        <v>0</v>
      </c>
      <c r="M30" s="457">
        <f>SUM(M31:M41)</f>
        <v>0</v>
      </c>
      <c r="N30" s="457">
        <f>SUM(N31:N41)</f>
        <v>3660</v>
      </c>
      <c r="O30" s="457">
        <f>SUM(O31:O41)</f>
        <v>2030946.9899999984</v>
      </c>
      <c r="P30" s="458">
        <f t="shared" ref="P30" si="9">E30+J30</f>
        <v>-15957562.780000012</v>
      </c>
      <c r="Q30" s="328" t="b">
        <f>P30=P31+P32+P33+P34+P35+P36+P37+P38+P40+P39+P41</f>
        <v>1</v>
      </c>
      <c r="R30" s="328" t="b">
        <f>K30='d5'!J23</f>
        <v>0</v>
      </c>
    </row>
    <row r="31" spans="1:20" ht="99" customHeight="1" thickTop="1" thickBot="1" x14ac:dyDescent="0.6">
      <c r="A31" s="501" t="s">
        <v>244</v>
      </c>
      <c r="B31" s="501" t="s">
        <v>245</v>
      </c>
      <c r="C31" s="501" t="s">
        <v>247</v>
      </c>
      <c r="D31" s="501" t="s">
        <v>248</v>
      </c>
      <c r="E31" s="228">
        <f>'d3'!E31-'d3-08'!E30</f>
        <v>-15844000</v>
      </c>
      <c r="F31" s="228">
        <f>'d3'!F31-'d3-08'!F30</f>
        <v>-15844000</v>
      </c>
      <c r="G31" s="228">
        <f>'d3'!G31-'d3-08'!G30</f>
        <v>-5950000</v>
      </c>
      <c r="H31" s="228">
        <f>'d3'!H31-'d3-08'!H30</f>
        <v>-4109000</v>
      </c>
      <c r="I31" s="228">
        <f>'d3'!I31-'d3-08'!I30</f>
        <v>0</v>
      </c>
      <c r="J31" s="228">
        <f>'d3'!J31-'d3-08'!J30</f>
        <v>1031000</v>
      </c>
      <c r="K31" s="228">
        <f>'d3'!K31-'d3-08'!K30</f>
        <v>1031000</v>
      </c>
      <c r="L31" s="228">
        <f>'d3'!L31-'d3-08'!L30</f>
        <v>0</v>
      </c>
      <c r="M31" s="228">
        <f>'d3'!M31-'d3-08'!M30</f>
        <v>0</v>
      </c>
      <c r="N31" s="228">
        <f>'d3'!N31-'d3-08'!N30</f>
        <v>0</v>
      </c>
      <c r="O31" s="228">
        <f>'d3'!O31-'d3-08'!O30</f>
        <v>1031000</v>
      </c>
      <c r="P31" s="228">
        <f>'d3'!P31-'d3-08'!P30</f>
        <v>-14813000</v>
      </c>
      <c r="Q31" s="331"/>
      <c r="R31" s="328" t="b">
        <f>K31='d5'!J24+'d5'!J26+'d5'!J27+'d5'!J28+'d5'!J31+'d5'!J25</f>
        <v>0</v>
      </c>
    </row>
    <row r="32" spans="1:20" ht="230.25" thickTop="1" thickBot="1" x14ac:dyDescent="0.6">
      <c r="A32" s="501" t="s">
        <v>249</v>
      </c>
      <c r="B32" s="501" t="s">
        <v>246</v>
      </c>
      <c r="C32" s="501" t="s">
        <v>250</v>
      </c>
      <c r="D32" s="501" t="s">
        <v>712</v>
      </c>
      <c r="E32" s="228">
        <f>'d3'!E32-'d3-08'!E31</f>
        <v>-2538553.9900000095</v>
      </c>
      <c r="F32" s="228">
        <f>'d3'!F32-'d3-08'!F31</f>
        <v>-2538553.9900000095</v>
      </c>
      <c r="G32" s="228">
        <f>'d3'!G32-'d3-08'!G31</f>
        <v>908525</v>
      </c>
      <c r="H32" s="228">
        <f>'d3'!H32-'d3-08'!H31</f>
        <v>-3499600</v>
      </c>
      <c r="I32" s="228">
        <f>'d3'!I32-'d3-08'!I31</f>
        <v>0</v>
      </c>
      <c r="J32" s="228">
        <f>'d3'!J32-'d3-08'!J31</f>
        <v>-248601.00999999046</v>
      </c>
      <c r="K32" s="228">
        <f>'d3'!K32-'d3-08'!K31</f>
        <v>-248601.01000000164</v>
      </c>
      <c r="L32" s="228">
        <f>'d3'!L32-'d3-08'!L31</f>
        <v>0</v>
      </c>
      <c r="M32" s="228">
        <f>'d3'!M32-'d3-08'!M31</f>
        <v>0</v>
      </c>
      <c r="N32" s="228">
        <f>'d3'!N32-'d3-08'!N31</f>
        <v>3660</v>
      </c>
      <c r="O32" s="228">
        <f>'d3'!O32-'d3-08'!O31</f>
        <v>-248601.01000000164</v>
      </c>
      <c r="P32" s="228">
        <f>'d3'!P32-'d3-08'!P31</f>
        <v>-2787155</v>
      </c>
      <c r="Q32" s="331"/>
      <c r="R32" s="328" t="b">
        <f>K32='d5'!J32+'d5'!J34+'d5'!J35+'d5'!J36+'d5'!J37+'d5'!J38+'d5'!J39+'d5'!J40+'d5'!J42+'d5'!J43+'d5'!J45+'d5'!J46+'d5'!J47+'d5'!J48+'d5'!J49+'d5'!J50+'d5'!J51+'d5'!J53+'d5'!J55+'d5'!J54+'d5'!J33</f>
        <v>0</v>
      </c>
      <c r="T32" s="332"/>
    </row>
    <row r="33" spans="1:18" ht="276" thickTop="1" thickBot="1" x14ac:dyDescent="0.25">
      <c r="A33" s="501" t="s">
        <v>714</v>
      </c>
      <c r="B33" s="501" t="s">
        <v>251</v>
      </c>
      <c r="C33" s="501" t="s">
        <v>253</v>
      </c>
      <c r="D33" s="501" t="s">
        <v>713</v>
      </c>
      <c r="E33" s="228">
        <f>'d3'!E33-'d3-08'!E32</f>
        <v>-801717</v>
      </c>
      <c r="F33" s="228">
        <f>'d3'!F33-'d3-08'!F32</f>
        <v>-801717</v>
      </c>
      <c r="G33" s="228">
        <f>'d3'!G33-'d3-08'!G32</f>
        <v>-315500</v>
      </c>
      <c r="H33" s="228">
        <f>'d3'!H33-'d3-08'!H32</f>
        <v>-209000</v>
      </c>
      <c r="I33" s="228">
        <f>'d3'!I33-'d3-08'!I32</f>
        <v>0</v>
      </c>
      <c r="J33" s="228">
        <f>'d3'!J33-'d3-08'!J32</f>
        <v>-19452</v>
      </c>
      <c r="K33" s="228">
        <f>'d3'!K33-'d3-08'!K32</f>
        <v>-19452</v>
      </c>
      <c r="L33" s="228">
        <f>'d3'!L33-'d3-08'!L32</f>
        <v>0</v>
      </c>
      <c r="M33" s="228">
        <f>'d3'!M33-'d3-08'!M32</f>
        <v>0</v>
      </c>
      <c r="N33" s="228">
        <f>'d3'!N33-'d3-08'!N32</f>
        <v>0</v>
      </c>
      <c r="O33" s="228">
        <f>'d3'!O33-'d3-08'!O32</f>
        <v>-19452</v>
      </c>
      <c r="P33" s="228">
        <f>'d3'!P33-'d3-08'!P32</f>
        <v>-821169</v>
      </c>
      <c r="R33" s="328" t="b">
        <f>K33='d5'!J56</f>
        <v>0</v>
      </c>
    </row>
    <row r="34" spans="1:18" ht="184.5" thickTop="1" thickBot="1" x14ac:dyDescent="0.25">
      <c r="A34" s="501" t="s">
        <v>254</v>
      </c>
      <c r="B34" s="501" t="s">
        <v>237</v>
      </c>
      <c r="C34" s="501" t="s">
        <v>226</v>
      </c>
      <c r="D34" s="501" t="s">
        <v>715</v>
      </c>
      <c r="E34" s="228">
        <f>'d3'!E34-'d3-08'!E33</f>
        <v>2122800</v>
      </c>
      <c r="F34" s="228">
        <f>'d3'!F34-'d3-08'!F33</f>
        <v>2122800</v>
      </c>
      <c r="G34" s="228">
        <f>'d3'!G34-'d3-08'!G33</f>
        <v>2100100</v>
      </c>
      <c r="H34" s="228">
        <f>'d3'!H34-'d3-08'!H33</f>
        <v>-271000</v>
      </c>
      <c r="I34" s="228">
        <f>'d3'!I34-'d3-08'!I33</f>
        <v>0</v>
      </c>
      <c r="J34" s="228">
        <f>'d3'!J34-'d3-08'!J33</f>
        <v>0</v>
      </c>
      <c r="K34" s="228">
        <f>'d3'!K34-'d3-08'!K33</f>
        <v>0</v>
      </c>
      <c r="L34" s="228">
        <f>'d3'!L34-'d3-08'!L33</f>
        <v>0</v>
      </c>
      <c r="M34" s="228">
        <f>'d3'!M34-'d3-08'!M33</f>
        <v>0</v>
      </c>
      <c r="N34" s="228">
        <f>'d3'!N34-'d3-08'!N33</f>
        <v>0</v>
      </c>
      <c r="O34" s="228">
        <f>'d3'!O34-'d3-08'!O33</f>
        <v>0</v>
      </c>
      <c r="P34" s="228">
        <f>'d3'!P34-'d3-08'!P33</f>
        <v>2122800</v>
      </c>
      <c r="R34" s="328" t="b">
        <f>K34='d5'!J57+'d5'!J58+'d5'!J59</f>
        <v>0</v>
      </c>
    </row>
    <row r="35" spans="1:18" ht="184.5" thickTop="1" thickBot="1" x14ac:dyDescent="0.25">
      <c r="A35" s="501" t="s">
        <v>255</v>
      </c>
      <c r="B35" s="501" t="s">
        <v>256</v>
      </c>
      <c r="C35" s="501" t="s">
        <v>257</v>
      </c>
      <c r="D35" s="501" t="s">
        <v>717</v>
      </c>
      <c r="E35" s="228">
        <f>'d3'!E35-'d3-08'!E34</f>
        <v>3238500</v>
      </c>
      <c r="F35" s="228">
        <f>'d3'!F35-'d3-08'!F34</f>
        <v>3238500</v>
      </c>
      <c r="G35" s="228">
        <f>'d3'!G35-'d3-08'!G34</f>
        <v>4463700</v>
      </c>
      <c r="H35" s="228">
        <f>'d3'!H35-'d3-08'!H34</f>
        <v>-2074000</v>
      </c>
      <c r="I35" s="228">
        <f>'d3'!I35-'d3-08'!I34</f>
        <v>0</v>
      </c>
      <c r="J35" s="228">
        <f>'d3'!J35-'d3-08'!J34</f>
        <v>1268000</v>
      </c>
      <c r="K35" s="228">
        <f>'d3'!K35-'d3-08'!K34</f>
        <v>1268000</v>
      </c>
      <c r="L35" s="228">
        <f>'d3'!L35-'d3-08'!L34</f>
        <v>0</v>
      </c>
      <c r="M35" s="228">
        <f>'d3'!M35-'d3-08'!M34</f>
        <v>0</v>
      </c>
      <c r="N35" s="228">
        <f>'d3'!N35-'d3-08'!N34</f>
        <v>0</v>
      </c>
      <c r="O35" s="228">
        <f>'d3'!O35-'d3-08'!O34</f>
        <v>1268000</v>
      </c>
      <c r="P35" s="228">
        <f>'d3'!P35-'d3-08'!P34</f>
        <v>4506500</v>
      </c>
      <c r="R35" s="328" t="b">
        <f>K35='d5'!J61+'d5'!J63</f>
        <v>0</v>
      </c>
    </row>
    <row r="36" spans="1:18" ht="93" thickTop="1" thickBot="1" x14ac:dyDescent="0.25">
      <c r="A36" s="501" t="s">
        <v>258</v>
      </c>
      <c r="B36" s="501" t="s">
        <v>259</v>
      </c>
      <c r="C36" s="501" t="s">
        <v>260</v>
      </c>
      <c r="D36" s="501" t="s">
        <v>718</v>
      </c>
      <c r="E36" s="228">
        <f>'d3'!E36-'d3-08'!E35</f>
        <v>-110000</v>
      </c>
      <c r="F36" s="228">
        <f>'d3'!F36-'d3-08'!F35</f>
        <v>-110000</v>
      </c>
      <c r="G36" s="228">
        <f>'d3'!G36-'d3-08'!G35</f>
        <v>-20000</v>
      </c>
      <c r="H36" s="228">
        <f>'d3'!H36-'d3-08'!H35</f>
        <v>-60000</v>
      </c>
      <c r="I36" s="228">
        <f>'d3'!I36-'d3-08'!I35</f>
        <v>0</v>
      </c>
      <c r="J36" s="228">
        <f>'d3'!J36-'d3-08'!J35</f>
        <v>0</v>
      </c>
      <c r="K36" s="228">
        <f>'d3'!K36-'d3-08'!K35</f>
        <v>0</v>
      </c>
      <c r="L36" s="228">
        <f>'d3'!L36-'d3-08'!L35</f>
        <v>0</v>
      </c>
      <c r="M36" s="228">
        <f>'d3'!M36-'d3-08'!M35</f>
        <v>0</v>
      </c>
      <c r="N36" s="228">
        <f>'d3'!N36-'d3-08'!N35</f>
        <v>0</v>
      </c>
      <c r="O36" s="228">
        <f>'d3'!O36-'d3-08'!O35</f>
        <v>0</v>
      </c>
      <c r="P36" s="228">
        <f>'d3'!P36-'d3-08'!P35</f>
        <v>-110000</v>
      </c>
      <c r="R36" s="333"/>
    </row>
    <row r="37" spans="1:18" s="94" customFormat="1" ht="93" thickTop="1" thickBot="1" x14ac:dyDescent="0.25">
      <c r="A37" s="501" t="s">
        <v>389</v>
      </c>
      <c r="B37" s="501" t="s">
        <v>390</v>
      </c>
      <c r="C37" s="501" t="s">
        <v>260</v>
      </c>
      <c r="D37" s="501" t="s">
        <v>719</v>
      </c>
      <c r="E37" s="228">
        <f>'d3'!E37-'d3-08'!E36</f>
        <v>-1636549.7800000012</v>
      </c>
      <c r="F37" s="228">
        <f>'d3'!F37-'d3-08'!F36</f>
        <v>-1636549.7800000012</v>
      </c>
      <c r="G37" s="228">
        <f>'d3'!G37-'d3-08'!G36</f>
        <v>-1158549.7799999993</v>
      </c>
      <c r="H37" s="228">
        <f>'d3'!H37-'d3-08'!H36</f>
        <v>-98000</v>
      </c>
      <c r="I37" s="228">
        <f>'d3'!I37-'d3-08'!I36</f>
        <v>0</v>
      </c>
      <c r="J37" s="228">
        <f>'d3'!J37-'d3-08'!J36</f>
        <v>0</v>
      </c>
      <c r="K37" s="228">
        <f>'d3'!K37-'d3-08'!K36</f>
        <v>0</v>
      </c>
      <c r="L37" s="228">
        <f>'d3'!L37-'d3-08'!L36</f>
        <v>0</v>
      </c>
      <c r="M37" s="228">
        <f>'d3'!M37-'d3-08'!M36</f>
        <v>0</v>
      </c>
      <c r="N37" s="228">
        <f>'d3'!N37-'d3-08'!N36</f>
        <v>0</v>
      </c>
      <c r="O37" s="228">
        <f>'d3'!O37-'d3-08'!O36</f>
        <v>0</v>
      </c>
      <c r="P37" s="228">
        <f>'d3'!P37-'d3-08'!P36</f>
        <v>-1636549.7800000012</v>
      </c>
      <c r="R37" s="328"/>
    </row>
    <row r="38" spans="1:18" s="94" customFormat="1" ht="93" thickTop="1" thickBot="1" x14ac:dyDescent="0.25">
      <c r="A38" s="501" t="s">
        <v>410</v>
      </c>
      <c r="B38" s="501" t="s">
        <v>411</v>
      </c>
      <c r="C38" s="501" t="s">
        <v>260</v>
      </c>
      <c r="D38" s="501" t="s">
        <v>409</v>
      </c>
      <c r="E38" s="228">
        <f>'d3'!E38-'d3-08'!E37</f>
        <v>0</v>
      </c>
      <c r="F38" s="228">
        <f>'d3'!F38-'d3-08'!F37</f>
        <v>0</v>
      </c>
      <c r="G38" s="228">
        <f>'d3'!G38-'d3-08'!G37</f>
        <v>0</v>
      </c>
      <c r="H38" s="228">
        <f>'d3'!H38-'d3-08'!H37</f>
        <v>0</v>
      </c>
      <c r="I38" s="228">
        <f>'d3'!I38-'d3-08'!I37</f>
        <v>0</v>
      </c>
      <c r="J38" s="228">
        <f>'d3'!J38-'d3-08'!J37</f>
        <v>0</v>
      </c>
      <c r="K38" s="228">
        <f>'d3'!K38-'d3-08'!K37</f>
        <v>0</v>
      </c>
      <c r="L38" s="228">
        <f>'d3'!L38-'d3-08'!L37</f>
        <v>0</v>
      </c>
      <c r="M38" s="228">
        <f>'d3'!M38-'d3-08'!M37</f>
        <v>0</v>
      </c>
      <c r="N38" s="228">
        <f>'d3'!N38-'d3-08'!N37</f>
        <v>0</v>
      </c>
      <c r="O38" s="228">
        <f>'d3'!O38-'d3-08'!O37</f>
        <v>0</v>
      </c>
      <c r="P38" s="228">
        <f>'d3'!P38-'d3-08'!P37</f>
        <v>0</v>
      </c>
      <c r="R38" s="333"/>
    </row>
    <row r="39" spans="1:18" s="94" customFormat="1" ht="93" thickTop="1" thickBot="1" x14ac:dyDescent="0.25">
      <c r="A39" s="501" t="s">
        <v>544</v>
      </c>
      <c r="B39" s="501" t="s">
        <v>545</v>
      </c>
      <c r="C39" s="501" t="s">
        <v>260</v>
      </c>
      <c r="D39" s="501" t="s">
        <v>546</v>
      </c>
      <c r="E39" s="228">
        <f>'d3'!E39-'d3-08'!E38</f>
        <v>-318989</v>
      </c>
      <c r="F39" s="228">
        <f>'d3'!F39-'d3-08'!F38</f>
        <v>-318989</v>
      </c>
      <c r="G39" s="228">
        <f>'d3'!G39-'d3-08'!G38</f>
        <v>-261466</v>
      </c>
      <c r="H39" s="228">
        <f>'d3'!H39-'d3-08'!H38</f>
        <v>0</v>
      </c>
      <c r="I39" s="228">
        <f>'d3'!I39-'d3-08'!I38</f>
        <v>0</v>
      </c>
      <c r="J39" s="228">
        <f>'d3'!J39-'d3-08'!J38</f>
        <v>0</v>
      </c>
      <c r="K39" s="228">
        <f>'d3'!K39-'d3-08'!K38</f>
        <v>0</v>
      </c>
      <c r="L39" s="228">
        <f>'d3'!L39-'d3-08'!L38</f>
        <v>0</v>
      </c>
      <c r="M39" s="228">
        <f>'d3'!M39-'d3-08'!M38</f>
        <v>0</v>
      </c>
      <c r="N39" s="228">
        <f>'d3'!N39-'d3-08'!N38</f>
        <v>0</v>
      </c>
      <c r="O39" s="228">
        <f>'d3'!O39-'d3-08'!O38</f>
        <v>0</v>
      </c>
      <c r="P39" s="228">
        <f>'d3'!P39-'d3-08'!P38</f>
        <v>-318989</v>
      </c>
      <c r="R39" s="333"/>
    </row>
    <row r="40" spans="1:18" s="94" customFormat="1" ht="367.5" thickTop="1" thickBot="1" x14ac:dyDescent="0.25">
      <c r="A40" s="501" t="s">
        <v>548</v>
      </c>
      <c r="B40" s="501" t="s">
        <v>549</v>
      </c>
      <c r="C40" s="501" t="s">
        <v>230</v>
      </c>
      <c r="D40" s="501" t="s">
        <v>547</v>
      </c>
      <c r="E40" s="228">
        <f>'d3'!E40-'d3-08'!E39</f>
        <v>-2100000</v>
      </c>
      <c r="F40" s="228">
        <f>'d3'!F40-'d3-08'!F39</f>
        <v>-2100000</v>
      </c>
      <c r="G40" s="228">
        <f>'d3'!G40-'d3-08'!G39</f>
        <v>0</v>
      </c>
      <c r="H40" s="228">
        <f>'d3'!H40-'d3-08'!H39</f>
        <v>0</v>
      </c>
      <c r="I40" s="228">
        <f>'d3'!I40-'d3-08'!I39</f>
        <v>0</v>
      </c>
      <c r="J40" s="228">
        <f>'d3'!J40-'d3-08'!J39</f>
        <v>0</v>
      </c>
      <c r="K40" s="228">
        <f>'d3'!K40-'d3-08'!K39</f>
        <v>0</v>
      </c>
      <c r="L40" s="228">
        <f>'d3'!L40-'d3-08'!L39</f>
        <v>0</v>
      </c>
      <c r="M40" s="228">
        <f>'d3'!M40-'d3-08'!M39</f>
        <v>0</v>
      </c>
      <c r="N40" s="228">
        <f>'d3'!N40-'d3-08'!N39</f>
        <v>0</v>
      </c>
      <c r="O40" s="228">
        <f>'d3'!O40-'d3-08'!O39</f>
        <v>0</v>
      </c>
      <c r="P40" s="228">
        <f>'d3'!P40-'d3-08'!P39</f>
        <v>-2100000</v>
      </c>
      <c r="R40" s="333"/>
    </row>
    <row r="41" spans="1:18" s="94" customFormat="1" ht="48" thickTop="1" thickBot="1" x14ac:dyDescent="0.25">
      <c r="A41" s="501" t="s">
        <v>766</v>
      </c>
      <c r="B41" s="501" t="s">
        <v>262</v>
      </c>
      <c r="C41" s="501" t="s">
        <v>263</v>
      </c>
      <c r="D41" s="501" t="s">
        <v>51</v>
      </c>
      <c r="E41" s="228">
        <f>'d3'!E41-'d3-08'!E40</f>
        <v>0</v>
      </c>
      <c r="F41" s="228">
        <f>'d3'!F41-'d3-08'!F40</f>
        <v>0</v>
      </c>
      <c r="G41" s="228">
        <f>'d3'!G41-'d3-08'!G40</f>
        <v>0</v>
      </c>
      <c r="H41" s="228">
        <f>'d3'!H41-'d3-08'!H40</f>
        <v>0</v>
      </c>
      <c r="I41" s="228">
        <f>'d3'!I41-'d3-08'!I40</f>
        <v>0</v>
      </c>
      <c r="J41" s="228">
        <f>'d3'!J41-'d3-08'!J40</f>
        <v>0</v>
      </c>
      <c r="K41" s="228">
        <f>'d3'!K41-'d3-08'!K40</f>
        <v>0</v>
      </c>
      <c r="L41" s="228">
        <f>'d3'!L41-'d3-08'!L40</f>
        <v>0</v>
      </c>
      <c r="M41" s="228">
        <f>'d3'!M41-'d3-08'!M40</f>
        <v>0</v>
      </c>
      <c r="N41" s="228">
        <f>'d3'!N41-'d3-08'!N40</f>
        <v>0</v>
      </c>
      <c r="O41" s="228">
        <f>'d3'!O41-'d3-08'!O40</f>
        <v>0</v>
      </c>
      <c r="P41" s="228">
        <f>'d3'!P41-'d3-08'!P40</f>
        <v>0</v>
      </c>
      <c r="R41" s="328" t="b">
        <f>K41='d5'!J65</f>
        <v>0</v>
      </c>
    </row>
    <row r="42" spans="1:18" ht="136.5" thickTop="1" thickBot="1" x14ac:dyDescent="0.25">
      <c r="A42" s="451" t="s">
        <v>194</v>
      </c>
      <c r="B42" s="451"/>
      <c r="C42" s="451"/>
      <c r="D42" s="452" t="s">
        <v>22</v>
      </c>
      <c r="E42" s="453">
        <f>E43</f>
        <v>5523106.3500000024</v>
      </c>
      <c r="F42" s="454">
        <f t="shared" ref="F42:G42" si="10">F43</f>
        <v>5523106.3500000024</v>
      </c>
      <c r="G42" s="454">
        <f t="shared" si="10"/>
        <v>0</v>
      </c>
      <c r="H42" s="454">
        <f>H43</f>
        <v>0</v>
      </c>
      <c r="I42" s="453">
        <f t="shared" ref="I42" si="11">I43</f>
        <v>0</v>
      </c>
      <c r="J42" s="453">
        <f>J43</f>
        <v>-123402.5700000003</v>
      </c>
      <c r="K42" s="454">
        <f>K43</f>
        <v>-123402.5700000003</v>
      </c>
      <c r="L42" s="454">
        <f>L43</f>
        <v>0</v>
      </c>
      <c r="M42" s="454">
        <f t="shared" ref="M42" si="12">M43</f>
        <v>0</v>
      </c>
      <c r="N42" s="453">
        <f>N43</f>
        <v>0</v>
      </c>
      <c r="O42" s="453">
        <f>O43</f>
        <v>-123402.5700000003</v>
      </c>
      <c r="P42" s="454">
        <f>P43</f>
        <v>5399703.7800000021</v>
      </c>
    </row>
    <row r="43" spans="1:18" ht="136.5" thickTop="1" thickBot="1" x14ac:dyDescent="0.25">
      <c r="A43" s="455" t="s">
        <v>195</v>
      </c>
      <c r="B43" s="455"/>
      <c r="C43" s="455"/>
      <c r="D43" s="456" t="s">
        <v>44</v>
      </c>
      <c r="E43" s="457">
        <f>SUM(E44:E55)</f>
        <v>5523106.3500000024</v>
      </c>
      <c r="F43" s="457">
        <f t="shared" ref="F43:H43" si="13">SUM(F44:F55)</f>
        <v>5523106.3500000024</v>
      </c>
      <c r="G43" s="457">
        <f t="shared" si="13"/>
        <v>0</v>
      </c>
      <c r="H43" s="457">
        <f t="shared" si="13"/>
        <v>0</v>
      </c>
      <c r="I43" s="457">
        <f>SUM(I44:I55)</f>
        <v>0</v>
      </c>
      <c r="J43" s="457">
        <f>L43+O43</f>
        <v>-123402.5700000003</v>
      </c>
      <c r="K43" s="457">
        <f>SUM(K44:K55)</f>
        <v>-123402.5700000003</v>
      </c>
      <c r="L43" s="457">
        <f>SUM(L44:L55)</f>
        <v>0</v>
      </c>
      <c r="M43" s="457">
        <f>SUM(M44:M55)</f>
        <v>0</v>
      </c>
      <c r="N43" s="457">
        <f>SUM(N44:N55)</f>
        <v>0</v>
      </c>
      <c r="O43" s="457">
        <f>SUM(O44:O55)</f>
        <v>-123402.5700000003</v>
      </c>
      <c r="P43" s="458">
        <f t="shared" ref="P43:P55" si="14">E43+J43</f>
        <v>5399703.7800000021</v>
      </c>
      <c r="Q43" s="328" t="b">
        <f>P43=P45+P47+P48+P49+P50+P52+P53+P44+P54+P51+P46+P55</f>
        <v>1</v>
      </c>
      <c r="R43" s="328" t="b">
        <f>K43='d5'!J66</f>
        <v>0</v>
      </c>
    </row>
    <row r="44" spans="1:18" ht="230.25" thickTop="1" thickBot="1" x14ac:dyDescent="0.25">
      <c r="A44" s="501" t="s">
        <v>514</v>
      </c>
      <c r="B44" s="501" t="s">
        <v>286</v>
      </c>
      <c r="C44" s="501" t="s">
        <v>284</v>
      </c>
      <c r="D44" s="501" t="s">
        <v>285</v>
      </c>
      <c r="E44" s="228">
        <f>'d3'!E44-'d3-08'!E43</f>
        <v>0</v>
      </c>
      <c r="F44" s="228">
        <f>'d3'!F44-'d3-08'!F43</f>
        <v>0</v>
      </c>
      <c r="G44" s="228">
        <f>'d3'!G44-'d3-08'!G43</f>
        <v>0</v>
      </c>
      <c r="H44" s="228">
        <f>'d3'!H44-'d3-08'!H43</f>
        <v>0</v>
      </c>
      <c r="I44" s="228">
        <f>'d3'!I44-'d3-08'!I43</f>
        <v>0</v>
      </c>
      <c r="J44" s="228">
        <f>'d3'!J44-'d3-08'!J43</f>
        <v>0</v>
      </c>
      <c r="K44" s="228">
        <f>'d3'!K44-'d3-08'!K43</f>
        <v>0</v>
      </c>
      <c r="L44" s="228">
        <f>'d3'!L44-'d3-08'!L43</f>
        <v>0</v>
      </c>
      <c r="M44" s="228">
        <f>'d3'!M44-'d3-08'!M43</f>
        <v>0</v>
      </c>
      <c r="N44" s="228">
        <f>'d3'!N44-'d3-08'!N43</f>
        <v>0</v>
      </c>
      <c r="O44" s="228">
        <f>'d3'!O44-'d3-08'!O43</f>
        <v>0</v>
      </c>
      <c r="P44" s="228">
        <f>'d3'!P44-'d3-08'!P43</f>
        <v>0</v>
      </c>
      <c r="Q44" s="333"/>
      <c r="R44" s="333"/>
    </row>
    <row r="45" spans="1:18" ht="93" thickTop="1" thickBot="1" x14ac:dyDescent="0.25">
      <c r="A45" s="501" t="s">
        <v>264</v>
      </c>
      <c r="B45" s="501" t="s">
        <v>261</v>
      </c>
      <c r="C45" s="501" t="s">
        <v>265</v>
      </c>
      <c r="D45" s="501" t="s">
        <v>23</v>
      </c>
      <c r="E45" s="228">
        <f>'d3'!E45-'d3-08'!E44</f>
        <v>-159614.93999999762</v>
      </c>
      <c r="F45" s="228">
        <f>'d3'!F45-'d3-08'!F44</f>
        <v>-159614.93999999762</v>
      </c>
      <c r="G45" s="228">
        <f>'d3'!G45-'d3-08'!G44</f>
        <v>0</v>
      </c>
      <c r="H45" s="228">
        <f>'d3'!H45-'d3-08'!H44</f>
        <v>0</v>
      </c>
      <c r="I45" s="228">
        <f>'d3'!I45-'d3-08'!I44</f>
        <v>0</v>
      </c>
      <c r="J45" s="228">
        <f>'d3'!J45-'d3-08'!J44</f>
        <v>0</v>
      </c>
      <c r="K45" s="228">
        <f>'d3'!K45-'d3-08'!K44</f>
        <v>0</v>
      </c>
      <c r="L45" s="228">
        <f>'d3'!L45-'d3-08'!L44</f>
        <v>0</v>
      </c>
      <c r="M45" s="228">
        <f>'d3'!M45-'d3-08'!M44</f>
        <v>0</v>
      </c>
      <c r="N45" s="228">
        <f>'d3'!N45-'d3-08'!N44</f>
        <v>0</v>
      </c>
      <c r="O45" s="228">
        <f>'d3'!O45-'d3-08'!O44</f>
        <v>0</v>
      </c>
      <c r="P45" s="228">
        <f>'d3'!P45-'d3-08'!P44</f>
        <v>-159614.93999999762</v>
      </c>
      <c r="R45" s="328" t="b">
        <f>K45='d5'!J68</f>
        <v>0</v>
      </c>
    </row>
    <row r="46" spans="1:18" ht="93" thickTop="1" thickBot="1" x14ac:dyDescent="0.25">
      <c r="A46" s="501" t="s">
        <v>723</v>
      </c>
      <c r="B46" s="501" t="s">
        <v>726</v>
      </c>
      <c r="C46" s="501" t="s">
        <v>725</v>
      </c>
      <c r="D46" s="501" t="s">
        <v>724</v>
      </c>
      <c r="E46" s="228">
        <f>'d3'!E46-'d3-08'!E45</f>
        <v>1568868.3499999996</v>
      </c>
      <c r="F46" s="228">
        <f>'d3'!F46-'d3-08'!F45</f>
        <v>1568868.3499999996</v>
      </c>
      <c r="G46" s="228">
        <f>'d3'!G46-'d3-08'!G45</f>
        <v>0</v>
      </c>
      <c r="H46" s="228">
        <f>'d3'!H46-'d3-08'!H45</f>
        <v>0</v>
      </c>
      <c r="I46" s="228">
        <f>'d3'!I46-'d3-08'!I45</f>
        <v>0</v>
      </c>
      <c r="J46" s="228">
        <f>'d3'!J46-'d3-08'!J45</f>
        <v>0</v>
      </c>
      <c r="K46" s="228">
        <f>'d3'!K46-'d3-08'!K45</f>
        <v>0</v>
      </c>
      <c r="L46" s="228">
        <f>'d3'!L46-'d3-08'!L45</f>
        <v>0</v>
      </c>
      <c r="M46" s="228">
        <f>'d3'!M46-'d3-08'!M45</f>
        <v>0</v>
      </c>
      <c r="N46" s="228">
        <f>'d3'!N46-'d3-08'!N45</f>
        <v>0</v>
      </c>
      <c r="O46" s="228">
        <f>'d3'!O46-'d3-08'!O45</f>
        <v>0</v>
      </c>
      <c r="P46" s="228">
        <f>'d3'!P46-'d3-08'!P45</f>
        <v>1568868.3499999996</v>
      </c>
      <c r="R46" s="333"/>
    </row>
    <row r="47" spans="1:18" ht="138.75" thickTop="1" thickBot="1" x14ac:dyDescent="0.25">
      <c r="A47" s="501" t="s">
        <v>266</v>
      </c>
      <c r="B47" s="501" t="s">
        <v>267</v>
      </c>
      <c r="C47" s="501" t="s">
        <v>268</v>
      </c>
      <c r="D47" s="501" t="s">
        <v>269</v>
      </c>
      <c r="E47" s="228">
        <f>'d3'!E47-'d3-08'!E46</f>
        <v>12200</v>
      </c>
      <c r="F47" s="228">
        <f>'d3'!F47-'d3-08'!F46</f>
        <v>12200</v>
      </c>
      <c r="G47" s="228">
        <f>'d3'!G47-'d3-08'!G46</f>
        <v>0</v>
      </c>
      <c r="H47" s="228">
        <f>'d3'!H47-'d3-08'!H46</f>
        <v>0</v>
      </c>
      <c r="I47" s="228">
        <f>'d3'!I47-'d3-08'!I46</f>
        <v>0</v>
      </c>
      <c r="J47" s="228">
        <f>'d3'!J47-'d3-08'!J46</f>
        <v>0</v>
      </c>
      <c r="K47" s="228">
        <f>'d3'!K47-'d3-08'!K46</f>
        <v>0</v>
      </c>
      <c r="L47" s="228">
        <f>'d3'!L47-'d3-08'!L46</f>
        <v>0</v>
      </c>
      <c r="M47" s="228">
        <f>'d3'!M47-'d3-08'!M46</f>
        <v>0</v>
      </c>
      <c r="N47" s="228">
        <f>'d3'!N47-'d3-08'!N46</f>
        <v>0</v>
      </c>
      <c r="O47" s="228">
        <f>'d3'!O47-'d3-08'!O46</f>
        <v>0</v>
      </c>
      <c r="P47" s="228">
        <f>'d3'!P47-'d3-08'!P46</f>
        <v>12200</v>
      </c>
      <c r="R47" s="333"/>
    </row>
    <row r="48" spans="1:18" ht="138.75" thickTop="1" thickBot="1" x14ac:dyDescent="0.25">
      <c r="A48" s="501" t="s">
        <v>270</v>
      </c>
      <c r="B48" s="501" t="s">
        <v>271</v>
      </c>
      <c r="C48" s="501" t="s">
        <v>272</v>
      </c>
      <c r="D48" s="501" t="s">
        <v>421</v>
      </c>
      <c r="E48" s="228">
        <f>'d3'!E48-'d3-08'!E47</f>
        <v>594538</v>
      </c>
      <c r="F48" s="228">
        <f>'d3'!F48-'d3-08'!F47</f>
        <v>594538</v>
      </c>
      <c r="G48" s="228">
        <f>'d3'!G48-'d3-08'!G47</f>
        <v>0</v>
      </c>
      <c r="H48" s="228">
        <f>'d3'!H48-'d3-08'!H47</f>
        <v>0</v>
      </c>
      <c r="I48" s="228">
        <f>'d3'!I48-'d3-08'!I47</f>
        <v>0</v>
      </c>
      <c r="J48" s="228">
        <f>'d3'!J48-'d3-08'!J47</f>
        <v>0</v>
      </c>
      <c r="K48" s="228">
        <f>'d3'!K48-'d3-08'!K47</f>
        <v>0</v>
      </c>
      <c r="L48" s="228">
        <f>'d3'!L48-'d3-08'!L47</f>
        <v>0</v>
      </c>
      <c r="M48" s="228">
        <f>'d3'!M48-'d3-08'!M47</f>
        <v>0</v>
      </c>
      <c r="N48" s="228">
        <f>'d3'!N48-'d3-08'!N47</f>
        <v>0</v>
      </c>
      <c r="O48" s="228">
        <f>'d3'!O48-'d3-08'!O47</f>
        <v>0</v>
      </c>
      <c r="P48" s="228">
        <f>'d3'!P48-'d3-08'!P47</f>
        <v>594538</v>
      </c>
      <c r="R48" s="333"/>
    </row>
    <row r="49" spans="1:20" ht="93" thickTop="1" thickBot="1" x14ac:dyDescent="0.25">
      <c r="A49" s="501" t="s">
        <v>273</v>
      </c>
      <c r="B49" s="501" t="s">
        <v>274</v>
      </c>
      <c r="C49" s="501" t="s">
        <v>275</v>
      </c>
      <c r="D49" s="501" t="s">
        <v>276</v>
      </c>
      <c r="E49" s="228">
        <f>'d3'!E49-'d3-08'!E48</f>
        <v>12200</v>
      </c>
      <c r="F49" s="228">
        <f>'d3'!F49-'d3-08'!F48</f>
        <v>12200</v>
      </c>
      <c r="G49" s="228">
        <f>'d3'!G49-'d3-08'!G48</f>
        <v>0</v>
      </c>
      <c r="H49" s="228">
        <f>'d3'!H49-'d3-08'!H48</f>
        <v>0</v>
      </c>
      <c r="I49" s="228">
        <f>'d3'!I49-'d3-08'!I48</f>
        <v>0</v>
      </c>
      <c r="J49" s="228">
        <f>'d3'!J49-'d3-08'!J48</f>
        <v>0</v>
      </c>
      <c r="K49" s="228">
        <f>'d3'!K49-'d3-08'!K48</f>
        <v>0</v>
      </c>
      <c r="L49" s="228">
        <f>'d3'!L49-'d3-08'!L48</f>
        <v>0</v>
      </c>
      <c r="M49" s="228">
        <f>'d3'!M49-'d3-08'!M48</f>
        <v>0</v>
      </c>
      <c r="N49" s="228">
        <f>'d3'!N49-'d3-08'!N48</f>
        <v>0</v>
      </c>
      <c r="O49" s="228">
        <f>'d3'!O49-'d3-08'!O48</f>
        <v>0</v>
      </c>
      <c r="P49" s="228">
        <f>'d3'!P49-'d3-08'!P48</f>
        <v>12200</v>
      </c>
      <c r="R49" s="333"/>
    </row>
    <row r="50" spans="1:20" ht="184.5" thickTop="1" thickBot="1" x14ac:dyDescent="0.25">
      <c r="A50" s="501" t="s">
        <v>277</v>
      </c>
      <c r="B50" s="501" t="s">
        <v>278</v>
      </c>
      <c r="C50" s="501" t="s">
        <v>422</v>
      </c>
      <c r="D50" s="501" t="s">
        <v>279</v>
      </c>
      <c r="E50" s="228">
        <f>'d3'!E50-'d3-08'!E49</f>
        <v>48800</v>
      </c>
      <c r="F50" s="228">
        <f>'d3'!F50-'d3-08'!F49</f>
        <v>48800</v>
      </c>
      <c r="G50" s="228">
        <f>'d3'!G50-'d3-08'!G49</f>
        <v>0</v>
      </c>
      <c r="H50" s="228">
        <f>'d3'!H50-'d3-08'!H49</f>
        <v>0</v>
      </c>
      <c r="I50" s="228">
        <f>'d3'!I50-'d3-08'!I49</f>
        <v>0</v>
      </c>
      <c r="J50" s="228">
        <f>'d3'!J50-'d3-08'!J49</f>
        <v>0</v>
      </c>
      <c r="K50" s="228">
        <f>'d3'!K50-'d3-08'!K49</f>
        <v>0</v>
      </c>
      <c r="L50" s="228">
        <f>'d3'!L50-'d3-08'!L49</f>
        <v>0</v>
      </c>
      <c r="M50" s="228">
        <f>'d3'!M50-'d3-08'!M49</f>
        <v>0</v>
      </c>
      <c r="N50" s="228">
        <f>'d3'!N50-'d3-08'!N49</f>
        <v>0</v>
      </c>
      <c r="O50" s="228">
        <f>'d3'!O50-'d3-08'!O49</f>
        <v>0</v>
      </c>
      <c r="P50" s="228">
        <f>'d3'!P50-'d3-08'!P49</f>
        <v>48800</v>
      </c>
      <c r="R50" s="333"/>
    </row>
    <row r="51" spans="1:20" ht="138.75" thickTop="1" thickBot="1" x14ac:dyDescent="0.25">
      <c r="A51" s="501" t="s">
        <v>676</v>
      </c>
      <c r="B51" s="501" t="s">
        <v>677</v>
      </c>
      <c r="C51" s="501" t="s">
        <v>280</v>
      </c>
      <c r="D51" s="501" t="s">
        <v>678</v>
      </c>
      <c r="E51" s="228">
        <f>'d3'!E51-'d3-08'!E50</f>
        <v>3697700</v>
      </c>
      <c r="F51" s="228">
        <f>'d3'!F51-'d3-08'!F50</f>
        <v>3697700</v>
      </c>
      <c r="G51" s="228">
        <f>'d3'!G51-'d3-08'!G50</f>
        <v>0</v>
      </c>
      <c r="H51" s="228">
        <f>'d3'!H51-'d3-08'!H50</f>
        <v>0</v>
      </c>
      <c r="I51" s="228">
        <f>'d3'!I51-'d3-08'!I50</f>
        <v>0</v>
      </c>
      <c r="J51" s="228">
        <f>'d3'!J51-'d3-08'!J50</f>
        <v>0</v>
      </c>
      <c r="K51" s="228">
        <f>'d3'!K51-'d3-08'!K50</f>
        <v>0</v>
      </c>
      <c r="L51" s="228">
        <f>'d3'!L51-'d3-08'!L50</f>
        <v>0</v>
      </c>
      <c r="M51" s="228">
        <f>'d3'!M51-'d3-08'!M50</f>
        <v>0</v>
      </c>
      <c r="N51" s="228">
        <f>'d3'!N51-'d3-08'!N50</f>
        <v>0</v>
      </c>
      <c r="O51" s="228">
        <f>'d3'!O51-'d3-08'!O50</f>
        <v>0</v>
      </c>
      <c r="P51" s="228">
        <f>'d3'!P51-'d3-08'!P50</f>
        <v>3697700</v>
      </c>
      <c r="R51" s="333"/>
    </row>
    <row r="52" spans="1:20" s="94" customFormat="1" ht="138.75" thickTop="1" thickBot="1" x14ac:dyDescent="0.25">
      <c r="A52" s="501" t="s">
        <v>393</v>
      </c>
      <c r="B52" s="501" t="s">
        <v>395</v>
      </c>
      <c r="C52" s="501" t="s">
        <v>280</v>
      </c>
      <c r="D52" s="230" t="s">
        <v>391</v>
      </c>
      <c r="E52" s="228">
        <f>'d3'!E52-'d3-08'!E51</f>
        <v>-251585.05999999959</v>
      </c>
      <c r="F52" s="228">
        <f>'d3'!F52-'d3-08'!F51</f>
        <v>-251585.05999999959</v>
      </c>
      <c r="G52" s="228">
        <f>'d3'!G52-'d3-08'!G51</f>
        <v>0</v>
      </c>
      <c r="H52" s="228">
        <f>'d3'!H52-'d3-08'!H51</f>
        <v>0</v>
      </c>
      <c r="I52" s="228">
        <f>'d3'!I52-'d3-08'!I51</f>
        <v>0</v>
      </c>
      <c r="J52" s="228">
        <f>'d3'!J52-'d3-08'!J51</f>
        <v>0</v>
      </c>
      <c r="K52" s="228">
        <f>'d3'!K52-'d3-08'!K51</f>
        <v>0</v>
      </c>
      <c r="L52" s="228">
        <f>'d3'!L52-'d3-08'!L51</f>
        <v>0</v>
      </c>
      <c r="M52" s="228">
        <f>'d3'!M52-'d3-08'!M51</f>
        <v>0</v>
      </c>
      <c r="N52" s="228">
        <f>'d3'!N52-'d3-08'!N51</f>
        <v>0</v>
      </c>
      <c r="O52" s="228">
        <f>'d3'!O52-'d3-08'!O51</f>
        <v>0</v>
      </c>
      <c r="P52" s="228">
        <f>'d3'!P52-'d3-08'!P51</f>
        <v>-251585.05999999959</v>
      </c>
      <c r="R52" s="333"/>
    </row>
    <row r="53" spans="1:20" s="94" customFormat="1" ht="93" thickTop="1" thickBot="1" x14ac:dyDescent="0.25">
      <c r="A53" s="501" t="s">
        <v>394</v>
      </c>
      <c r="B53" s="501" t="s">
        <v>396</v>
      </c>
      <c r="C53" s="501" t="s">
        <v>280</v>
      </c>
      <c r="D53" s="230" t="s">
        <v>392</v>
      </c>
      <c r="E53" s="228">
        <f>'d3'!E53-'d3-08'!E52</f>
        <v>0</v>
      </c>
      <c r="F53" s="228">
        <f>'d3'!F53-'d3-08'!F52</f>
        <v>0</v>
      </c>
      <c r="G53" s="228">
        <f>'d3'!G53-'d3-08'!G52</f>
        <v>0</v>
      </c>
      <c r="H53" s="228">
        <f>'d3'!H53-'d3-08'!H52</f>
        <v>0</v>
      </c>
      <c r="I53" s="228">
        <f>'d3'!I53-'d3-08'!I52</f>
        <v>0</v>
      </c>
      <c r="J53" s="228">
        <f>'d3'!J53-'d3-08'!J52</f>
        <v>0</v>
      </c>
      <c r="K53" s="228">
        <f>'d3'!K53-'d3-08'!K52</f>
        <v>0</v>
      </c>
      <c r="L53" s="228">
        <f>'d3'!L53-'d3-08'!L52</f>
        <v>0</v>
      </c>
      <c r="M53" s="228">
        <f>'d3'!M53-'d3-08'!M52</f>
        <v>0</v>
      </c>
      <c r="N53" s="228">
        <f>'d3'!N53-'d3-08'!N52</f>
        <v>0</v>
      </c>
      <c r="O53" s="228">
        <f>'d3'!O53-'d3-08'!O52</f>
        <v>0</v>
      </c>
      <c r="P53" s="228">
        <f>'d3'!P53-'d3-08'!P52</f>
        <v>0</v>
      </c>
      <c r="R53" s="333"/>
    </row>
    <row r="54" spans="1:20" s="94" customFormat="1" ht="93" thickTop="1" thickBot="1" x14ac:dyDescent="0.25">
      <c r="A54" s="501" t="s">
        <v>563</v>
      </c>
      <c r="B54" s="501" t="s">
        <v>243</v>
      </c>
      <c r="C54" s="501" t="s">
        <v>210</v>
      </c>
      <c r="D54" s="501" t="s">
        <v>42</v>
      </c>
      <c r="E54" s="228">
        <f>'d3'!E54-'d3-08'!E53</f>
        <v>0</v>
      </c>
      <c r="F54" s="228">
        <f>'d3'!F54-'d3-08'!F53</f>
        <v>0</v>
      </c>
      <c r="G54" s="228">
        <f>'d3'!G54-'d3-08'!G53</f>
        <v>0</v>
      </c>
      <c r="H54" s="228">
        <f>'d3'!H54-'d3-08'!H53</f>
        <v>0</v>
      </c>
      <c r="I54" s="228">
        <f>'d3'!I54-'d3-08'!I53</f>
        <v>0</v>
      </c>
      <c r="J54" s="228">
        <f>'d3'!J54-'d3-08'!J53</f>
        <v>-123402.5700000003</v>
      </c>
      <c r="K54" s="228">
        <f>'d3'!K54-'d3-08'!K53</f>
        <v>-123402.5700000003</v>
      </c>
      <c r="L54" s="228">
        <f>'d3'!L54-'d3-08'!L53</f>
        <v>0</v>
      </c>
      <c r="M54" s="228">
        <f>'d3'!M54-'d3-08'!M53</f>
        <v>0</v>
      </c>
      <c r="N54" s="228">
        <f>'d3'!N54-'d3-08'!N53</f>
        <v>0</v>
      </c>
      <c r="O54" s="228">
        <f>'d3'!O54-'d3-08'!O53</f>
        <v>-123402.5700000003</v>
      </c>
      <c r="P54" s="228">
        <f>'d3'!P54-'d3-08'!P53</f>
        <v>-123402.5700000003</v>
      </c>
      <c r="R54" s="328" t="b">
        <f>K54='d5'!J69+'d5'!J70+'d5'!J71+'d5'!J72+'d5'!J73+'d5'!J74+'d5'!J76+'d5'!J77</f>
        <v>0</v>
      </c>
    </row>
    <row r="55" spans="1:20" s="94" customFormat="1" ht="93" hidden="1" thickTop="1" thickBot="1" x14ac:dyDescent="0.25">
      <c r="A55" s="406" t="s">
        <v>727</v>
      </c>
      <c r="B55" s="406" t="s">
        <v>443</v>
      </c>
      <c r="C55" s="406" t="s">
        <v>53</v>
      </c>
      <c r="D55" s="406" t="s">
        <v>444</v>
      </c>
      <c r="E55" s="407">
        <f t="shared" ref="E55" si="15">F55</f>
        <v>0</v>
      </c>
      <c r="F55" s="410"/>
      <c r="G55" s="410"/>
      <c r="H55" s="410"/>
      <c r="I55" s="410"/>
      <c r="J55" s="407">
        <f t="shared" ref="J55" si="16">L55+O55</f>
        <v>0</v>
      </c>
      <c r="K55" s="410"/>
      <c r="L55" s="410"/>
      <c r="M55" s="410"/>
      <c r="N55" s="410"/>
      <c r="O55" s="409">
        <f t="shared" ref="O55" si="17">K55</f>
        <v>0</v>
      </c>
      <c r="P55" s="407">
        <f t="shared" si="14"/>
        <v>0</v>
      </c>
      <c r="R55" s="328"/>
    </row>
    <row r="56" spans="1:20" ht="226.5" thickTop="1" thickBot="1" x14ac:dyDescent="0.25">
      <c r="A56" s="451" t="s">
        <v>196</v>
      </c>
      <c r="B56" s="451"/>
      <c r="C56" s="451"/>
      <c r="D56" s="452" t="s">
        <v>45</v>
      </c>
      <c r="E56" s="453">
        <f>E57</f>
        <v>279501</v>
      </c>
      <c r="F56" s="454">
        <f t="shared" ref="F56:G56" si="18">F57</f>
        <v>279501</v>
      </c>
      <c r="G56" s="454">
        <f t="shared" si="18"/>
        <v>0</v>
      </c>
      <c r="H56" s="454">
        <f>H57</f>
        <v>-115000</v>
      </c>
      <c r="I56" s="453">
        <f t="shared" ref="I56" si="19">I57</f>
        <v>0</v>
      </c>
      <c r="J56" s="453">
        <f>J57</f>
        <v>3143291</v>
      </c>
      <c r="K56" s="454">
        <f>K57</f>
        <v>3100291</v>
      </c>
      <c r="L56" s="454">
        <f>L57</f>
        <v>43000</v>
      </c>
      <c r="M56" s="454">
        <f t="shared" ref="M56" si="20">M57</f>
        <v>0</v>
      </c>
      <c r="N56" s="453">
        <f>N57</f>
        <v>0</v>
      </c>
      <c r="O56" s="453">
        <f>O57</f>
        <v>3100291</v>
      </c>
      <c r="P56" s="454">
        <f>P57</f>
        <v>3422792</v>
      </c>
    </row>
    <row r="57" spans="1:20" ht="226.5" thickTop="1" thickBot="1" x14ac:dyDescent="0.25">
      <c r="A57" s="455" t="s">
        <v>197</v>
      </c>
      <c r="B57" s="455"/>
      <c r="C57" s="455"/>
      <c r="D57" s="456" t="s">
        <v>46</v>
      </c>
      <c r="E57" s="457">
        <f>SUM(E58:E90)</f>
        <v>279501</v>
      </c>
      <c r="F57" s="457">
        <f>SUM(F58:F90)</f>
        <v>279501</v>
      </c>
      <c r="G57" s="457">
        <f>SUM(G58:G90)</f>
        <v>0</v>
      </c>
      <c r="H57" s="457">
        <f>SUM(H58:H90)</f>
        <v>-115000</v>
      </c>
      <c r="I57" s="457">
        <f>SUM(I58:I90)</f>
        <v>0</v>
      </c>
      <c r="J57" s="457">
        <f t="shared" ref="J57" si="21">L57+O57</f>
        <v>3143291</v>
      </c>
      <c r="K57" s="457">
        <f>SUM(K58:K90)</f>
        <v>3100291</v>
      </c>
      <c r="L57" s="457">
        <f>SUM(L58:L90)</f>
        <v>43000</v>
      </c>
      <c r="M57" s="457">
        <f>SUM(M58:M90)</f>
        <v>0</v>
      </c>
      <c r="N57" s="457">
        <f>SUM(N58:N90)</f>
        <v>0</v>
      </c>
      <c r="O57" s="457">
        <f>SUM(O58:O90)</f>
        <v>3100291</v>
      </c>
      <c r="P57" s="458">
        <f t="shared" ref="P57" si="22">E57+J57</f>
        <v>3422792</v>
      </c>
      <c r="Q57" s="334" t="b">
        <f>P57=P59+P60+P61+P62+P63+P66+P67+P68+P70+P71+P83+P84+P85+P72+P87+P58+P88+P64+P65+P69+P86+P90+P73+P76+P80</f>
        <v>1</v>
      </c>
      <c r="R57" s="335" t="b">
        <f>K57='d5'!J79</f>
        <v>0</v>
      </c>
      <c r="T57" s="334"/>
    </row>
    <row r="58" spans="1:20" ht="230.25" thickTop="1" thickBot="1" x14ac:dyDescent="0.25">
      <c r="A58" s="501" t="s">
        <v>513</v>
      </c>
      <c r="B58" s="501" t="s">
        <v>286</v>
      </c>
      <c r="C58" s="501" t="s">
        <v>284</v>
      </c>
      <c r="D58" s="501" t="s">
        <v>285</v>
      </c>
      <c r="E58" s="228">
        <f>'d3'!E58-'d3-08'!E57</f>
        <v>42000</v>
      </c>
      <c r="F58" s="228">
        <f>'d3'!F58-'d3-08'!F57</f>
        <v>42000</v>
      </c>
      <c r="G58" s="228">
        <f>'d3'!G58-'d3-08'!G57</f>
        <v>0</v>
      </c>
      <c r="H58" s="228">
        <f>'d3'!H58-'d3-08'!H57</f>
        <v>-85000</v>
      </c>
      <c r="I58" s="228">
        <f>'d3'!I58-'d3-08'!I57</f>
        <v>0</v>
      </c>
      <c r="J58" s="228">
        <f>'d3'!J58-'d3-08'!J57</f>
        <v>0</v>
      </c>
      <c r="K58" s="228">
        <f>'d3'!K58-'d3-08'!K57</f>
        <v>0</v>
      </c>
      <c r="L58" s="228">
        <f>'d3'!L58-'d3-08'!L57</f>
        <v>0</v>
      </c>
      <c r="M58" s="228">
        <f>'d3'!M58-'d3-08'!M57</f>
        <v>0</v>
      </c>
      <c r="N58" s="228">
        <f>'d3'!N58-'d3-08'!N57</f>
        <v>0</v>
      </c>
      <c r="O58" s="228">
        <f>'d3'!O58-'d3-08'!O57</f>
        <v>0</v>
      </c>
      <c r="P58" s="228">
        <f>'d3'!P58-'d3-08'!P57</f>
        <v>42000</v>
      </c>
      <c r="Q58" s="334"/>
      <c r="R58" s="335" t="b">
        <f>K58='d5'!J80+'d5'!J81</f>
        <v>0</v>
      </c>
      <c r="T58" s="334"/>
    </row>
    <row r="59" spans="1:20" s="94" customFormat="1" ht="138.75" thickTop="1" thickBot="1" x14ac:dyDescent="0.25">
      <c r="A59" s="501" t="s">
        <v>320</v>
      </c>
      <c r="B59" s="501" t="s">
        <v>321</v>
      </c>
      <c r="C59" s="501" t="s">
        <v>251</v>
      </c>
      <c r="D59" s="229" t="s">
        <v>322</v>
      </c>
      <c r="E59" s="228">
        <f>'d3'!E59-'d3-08'!E58</f>
        <v>0</v>
      </c>
      <c r="F59" s="228">
        <f>'d3'!F59-'d3-08'!F58</f>
        <v>0</v>
      </c>
      <c r="G59" s="228">
        <f>'d3'!G59-'d3-08'!G58</f>
        <v>0</v>
      </c>
      <c r="H59" s="228">
        <f>'d3'!H59-'d3-08'!H58</f>
        <v>0</v>
      </c>
      <c r="I59" s="228">
        <f>'d3'!I59-'d3-08'!I58</f>
        <v>0</v>
      </c>
      <c r="J59" s="228">
        <f>'d3'!J59-'d3-08'!J58</f>
        <v>0</v>
      </c>
      <c r="K59" s="228">
        <f>'d3'!K59-'d3-08'!K58</f>
        <v>0</v>
      </c>
      <c r="L59" s="228">
        <f>'d3'!L59-'d3-08'!L58</f>
        <v>0</v>
      </c>
      <c r="M59" s="228">
        <f>'d3'!M59-'d3-08'!M58</f>
        <v>0</v>
      </c>
      <c r="N59" s="228">
        <f>'d3'!N59-'d3-08'!N58</f>
        <v>0</v>
      </c>
      <c r="O59" s="228">
        <f>'d3'!O59-'d3-08'!O58</f>
        <v>0</v>
      </c>
      <c r="P59" s="228">
        <f>'d3'!P59-'d3-08'!P58</f>
        <v>0</v>
      </c>
      <c r="R59" s="335" t="b">
        <f>K59='d5'!J82</f>
        <v>0</v>
      </c>
    </row>
    <row r="60" spans="1:20" s="94" customFormat="1" ht="138.75" thickTop="1" thickBot="1" x14ac:dyDescent="0.25">
      <c r="A60" s="501" t="s">
        <v>323</v>
      </c>
      <c r="B60" s="501" t="s">
        <v>324</v>
      </c>
      <c r="C60" s="501" t="s">
        <v>252</v>
      </c>
      <c r="D60" s="501" t="s">
        <v>7</v>
      </c>
      <c r="E60" s="228">
        <f>'d3'!E60-'d3-08'!E59</f>
        <v>-200000</v>
      </c>
      <c r="F60" s="228">
        <f>'d3'!F60-'d3-08'!F59</f>
        <v>-200000</v>
      </c>
      <c r="G60" s="228">
        <f>'d3'!G60-'d3-08'!G59</f>
        <v>0</v>
      </c>
      <c r="H60" s="228">
        <f>'d3'!H60-'d3-08'!H59</f>
        <v>0</v>
      </c>
      <c r="I60" s="228">
        <f>'d3'!I60-'d3-08'!I59</f>
        <v>0</v>
      </c>
      <c r="J60" s="228">
        <f>'d3'!J60-'d3-08'!J59</f>
        <v>0</v>
      </c>
      <c r="K60" s="228">
        <f>'d3'!K60-'d3-08'!K59</f>
        <v>0</v>
      </c>
      <c r="L60" s="228">
        <f>'d3'!L60-'d3-08'!L59</f>
        <v>0</v>
      </c>
      <c r="M60" s="228">
        <f>'d3'!M60-'d3-08'!M59</f>
        <v>0</v>
      </c>
      <c r="N60" s="228">
        <f>'d3'!N60-'d3-08'!N59</f>
        <v>0</v>
      </c>
      <c r="O60" s="228">
        <f>'d3'!O60-'d3-08'!O59</f>
        <v>0</v>
      </c>
      <c r="P60" s="228">
        <f>'d3'!P60-'d3-08'!P59</f>
        <v>-200000</v>
      </c>
      <c r="R60" s="335"/>
    </row>
    <row r="61" spans="1:20" s="94" customFormat="1" ht="184.5" thickTop="1" thickBot="1" x14ac:dyDescent="0.25">
      <c r="A61" s="501" t="s">
        <v>326</v>
      </c>
      <c r="B61" s="501" t="s">
        <v>327</v>
      </c>
      <c r="C61" s="501" t="s">
        <v>252</v>
      </c>
      <c r="D61" s="501" t="s">
        <v>8</v>
      </c>
      <c r="E61" s="228">
        <f>'d3'!E61-'d3-08'!E60</f>
        <v>550000</v>
      </c>
      <c r="F61" s="228">
        <f>'d3'!F61-'d3-08'!F60</f>
        <v>550000</v>
      </c>
      <c r="G61" s="228">
        <f>'d3'!G61-'d3-08'!G60</f>
        <v>0</v>
      </c>
      <c r="H61" s="228">
        <f>'d3'!H61-'d3-08'!H60</f>
        <v>0</v>
      </c>
      <c r="I61" s="228">
        <f>'d3'!I61-'d3-08'!I60</f>
        <v>0</v>
      </c>
      <c r="J61" s="228">
        <f>'d3'!J61-'d3-08'!J60</f>
        <v>0</v>
      </c>
      <c r="K61" s="228">
        <f>'d3'!K61-'d3-08'!K60</f>
        <v>0</v>
      </c>
      <c r="L61" s="228">
        <f>'d3'!L61-'d3-08'!L60</f>
        <v>0</v>
      </c>
      <c r="M61" s="228">
        <f>'d3'!M61-'d3-08'!M60</f>
        <v>0</v>
      </c>
      <c r="N61" s="228">
        <f>'d3'!N61-'d3-08'!N60</f>
        <v>0</v>
      </c>
      <c r="O61" s="228">
        <f>'d3'!O61-'d3-08'!O60</f>
        <v>0</v>
      </c>
      <c r="P61" s="228">
        <f>'d3'!P61-'d3-08'!P60</f>
        <v>550000</v>
      </c>
      <c r="R61" s="335"/>
    </row>
    <row r="62" spans="1:20" s="94" customFormat="1" ht="184.5" thickTop="1" thickBot="1" x14ac:dyDescent="0.25">
      <c r="A62" s="501" t="s">
        <v>328</v>
      </c>
      <c r="B62" s="501" t="s">
        <v>325</v>
      </c>
      <c r="C62" s="501" t="s">
        <v>252</v>
      </c>
      <c r="D62" s="501" t="s">
        <v>9</v>
      </c>
      <c r="E62" s="228">
        <f>'d3'!E62-'d3-08'!E61</f>
        <v>-250000</v>
      </c>
      <c r="F62" s="228">
        <f>'d3'!F62-'d3-08'!F61</f>
        <v>-250000</v>
      </c>
      <c r="G62" s="228">
        <f>'d3'!G62-'d3-08'!G61</f>
        <v>0</v>
      </c>
      <c r="H62" s="228">
        <f>'d3'!H62-'d3-08'!H61</f>
        <v>0</v>
      </c>
      <c r="I62" s="228">
        <f>'d3'!I62-'d3-08'!I61</f>
        <v>0</v>
      </c>
      <c r="J62" s="228">
        <f>'d3'!J62-'d3-08'!J61</f>
        <v>0</v>
      </c>
      <c r="K62" s="228">
        <f>'d3'!K62-'d3-08'!K61</f>
        <v>0</v>
      </c>
      <c r="L62" s="228">
        <f>'d3'!L62-'d3-08'!L61</f>
        <v>0</v>
      </c>
      <c r="M62" s="228">
        <f>'d3'!M62-'d3-08'!M61</f>
        <v>0</v>
      </c>
      <c r="N62" s="228">
        <f>'d3'!N62-'d3-08'!N61</f>
        <v>0</v>
      </c>
      <c r="O62" s="228">
        <f>'d3'!O62-'d3-08'!O61</f>
        <v>0</v>
      </c>
      <c r="P62" s="228">
        <f>'d3'!P62-'d3-08'!P61</f>
        <v>-250000</v>
      </c>
      <c r="R62" s="335"/>
    </row>
    <row r="63" spans="1:20" s="94" customFormat="1" ht="184.5" thickTop="1" thickBot="1" x14ac:dyDescent="0.25">
      <c r="A63" s="501" t="s">
        <v>329</v>
      </c>
      <c r="B63" s="501" t="s">
        <v>330</v>
      </c>
      <c r="C63" s="501" t="s">
        <v>252</v>
      </c>
      <c r="D63" s="501" t="s">
        <v>11</v>
      </c>
      <c r="E63" s="228">
        <f>'d3'!E63-'d3-08'!E62</f>
        <v>-1400000</v>
      </c>
      <c r="F63" s="228">
        <f>'d3'!F63-'d3-08'!F62</f>
        <v>-1400000</v>
      </c>
      <c r="G63" s="228">
        <f>'d3'!G63-'d3-08'!G62</f>
        <v>0</v>
      </c>
      <c r="H63" s="228">
        <f>'d3'!H63-'d3-08'!H62</f>
        <v>0</v>
      </c>
      <c r="I63" s="228">
        <f>'d3'!I63-'d3-08'!I62</f>
        <v>0</v>
      </c>
      <c r="J63" s="228">
        <f>'d3'!J63-'d3-08'!J62</f>
        <v>0</v>
      </c>
      <c r="K63" s="228">
        <f>'d3'!K63-'d3-08'!K62</f>
        <v>0</v>
      </c>
      <c r="L63" s="228">
        <f>'d3'!L63-'d3-08'!L62</f>
        <v>0</v>
      </c>
      <c r="M63" s="228">
        <f>'d3'!M63-'d3-08'!M62</f>
        <v>0</v>
      </c>
      <c r="N63" s="228">
        <f>'d3'!N63-'d3-08'!N62</f>
        <v>0</v>
      </c>
      <c r="O63" s="228">
        <f>'d3'!O63-'d3-08'!O62</f>
        <v>0</v>
      </c>
      <c r="P63" s="228">
        <f>'d3'!P63-'d3-08'!P62</f>
        <v>-1400000</v>
      </c>
      <c r="R63" s="335"/>
    </row>
    <row r="64" spans="1:20" s="94" customFormat="1" ht="184.5" thickTop="1" thickBot="1" x14ac:dyDescent="0.25">
      <c r="A64" s="501" t="s">
        <v>679</v>
      </c>
      <c r="B64" s="501" t="s">
        <v>680</v>
      </c>
      <c r="C64" s="501" t="s">
        <v>252</v>
      </c>
      <c r="D64" s="501" t="s">
        <v>681</v>
      </c>
      <c r="E64" s="228">
        <f>'d3'!E64-'d3-08'!E63</f>
        <v>0</v>
      </c>
      <c r="F64" s="228">
        <f>'d3'!F64-'d3-08'!F63</f>
        <v>0</v>
      </c>
      <c r="G64" s="228">
        <f>'d3'!G64-'d3-08'!G63</f>
        <v>0</v>
      </c>
      <c r="H64" s="228">
        <f>'d3'!H64-'d3-08'!H63</f>
        <v>0</v>
      </c>
      <c r="I64" s="228">
        <f>'d3'!I64-'d3-08'!I63</f>
        <v>0</v>
      </c>
      <c r="J64" s="228">
        <f>'d3'!J64-'d3-08'!J63</f>
        <v>0</v>
      </c>
      <c r="K64" s="228">
        <f>'d3'!K64-'d3-08'!K63</f>
        <v>0</v>
      </c>
      <c r="L64" s="228">
        <f>'d3'!L64-'d3-08'!L63</f>
        <v>0</v>
      </c>
      <c r="M64" s="228">
        <f>'d3'!M64-'d3-08'!M63</f>
        <v>0</v>
      </c>
      <c r="N64" s="228">
        <f>'d3'!N64-'d3-08'!N63</f>
        <v>0</v>
      </c>
      <c r="O64" s="228">
        <f>'d3'!O64-'d3-08'!O63</f>
        <v>0</v>
      </c>
      <c r="P64" s="228">
        <f>'d3'!P64-'d3-08'!P63</f>
        <v>0</v>
      </c>
      <c r="R64" s="335"/>
    </row>
    <row r="65" spans="1:18" s="94" customFormat="1" ht="138.75" thickTop="1" thickBot="1" x14ac:dyDescent="0.25">
      <c r="A65" s="501" t="s">
        <v>682</v>
      </c>
      <c r="B65" s="501" t="s">
        <v>683</v>
      </c>
      <c r="C65" s="501" t="s">
        <v>251</v>
      </c>
      <c r="D65" s="501" t="s">
        <v>684</v>
      </c>
      <c r="E65" s="228">
        <f>'d3'!E65-'d3-08'!E64</f>
        <v>0</v>
      </c>
      <c r="F65" s="228">
        <f>'d3'!F65-'d3-08'!F64</f>
        <v>0</v>
      </c>
      <c r="G65" s="228">
        <f>'d3'!G65-'d3-08'!G64</f>
        <v>0</v>
      </c>
      <c r="H65" s="228">
        <f>'d3'!H65-'d3-08'!H64</f>
        <v>0</v>
      </c>
      <c r="I65" s="228">
        <f>'d3'!I65-'d3-08'!I64</f>
        <v>0</v>
      </c>
      <c r="J65" s="228">
        <f>'d3'!J65-'d3-08'!J64</f>
        <v>0</v>
      </c>
      <c r="K65" s="228">
        <f>'d3'!K65-'d3-08'!K64</f>
        <v>0</v>
      </c>
      <c r="L65" s="228">
        <f>'d3'!L65-'d3-08'!L64</f>
        <v>0</v>
      </c>
      <c r="M65" s="228">
        <f>'d3'!M65-'d3-08'!M64</f>
        <v>0</v>
      </c>
      <c r="N65" s="228">
        <f>'d3'!N65-'d3-08'!N64</f>
        <v>0</v>
      </c>
      <c r="O65" s="228">
        <f>'d3'!O65-'d3-08'!O64</f>
        <v>0</v>
      </c>
      <c r="P65" s="228">
        <f>'d3'!P65-'d3-08'!P64</f>
        <v>0</v>
      </c>
      <c r="R65" s="335"/>
    </row>
    <row r="66" spans="1:18" ht="276" thickTop="1" thickBot="1" x14ac:dyDescent="0.25">
      <c r="A66" s="501" t="s">
        <v>318</v>
      </c>
      <c r="B66" s="501" t="s">
        <v>316</v>
      </c>
      <c r="C66" s="501" t="s">
        <v>246</v>
      </c>
      <c r="D66" s="501" t="s">
        <v>21</v>
      </c>
      <c r="E66" s="228">
        <f>'d3'!E66-'d3-08'!E65</f>
        <v>0</v>
      </c>
      <c r="F66" s="228">
        <f>'d3'!F66-'d3-08'!F65</f>
        <v>0</v>
      </c>
      <c r="G66" s="228">
        <f>'d3'!G66-'d3-08'!G65</f>
        <v>0</v>
      </c>
      <c r="H66" s="228">
        <f>'d3'!H66-'d3-08'!H65</f>
        <v>0</v>
      </c>
      <c r="I66" s="228">
        <f>'d3'!I66-'d3-08'!I65</f>
        <v>0</v>
      </c>
      <c r="J66" s="228">
        <f>'d3'!J66-'d3-08'!J65</f>
        <v>0</v>
      </c>
      <c r="K66" s="228">
        <f>'d3'!K66-'d3-08'!K65</f>
        <v>0</v>
      </c>
      <c r="L66" s="228">
        <f>'d3'!L66-'d3-08'!L65</f>
        <v>0</v>
      </c>
      <c r="M66" s="228">
        <f>'d3'!M66-'d3-08'!M65</f>
        <v>0</v>
      </c>
      <c r="N66" s="228">
        <f>'d3'!N66-'d3-08'!N65</f>
        <v>0</v>
      </c>
      <c r="O66" s="228">
        <f>'d3'!O66-'d3-08'!O65</f>
        <v>0</v>
      </c>
      <c r="P66" s="228">
        <f>'d3'!P66-'d3-08'!P65</f>
        <v>0</v>
      </c>
      <c r="R66" s="335"/>
    </row>
    <row r="67" spans="1:18" ht="138.75" thickTop="1" thickBot="1" x14ac:dyDescent="0.25">
      <c r="A67" s="501" t="s">
        <v>319</v>
      </c>
      <c r="B67" s="501" t="s">
        <v>317</v>
      </c>
      <c r="C67" s="501" t="s">
        <v>245</v>
      </c>
      <c r="D67" s="501" t="s">
        <v>606</v>
      </c>
      <c r="E67" s="228">
        <f>'d3'!E67-'d3-08'!E66</f>
        <v>-132499</v>
      </c>
      <c r="F67" s="228">
        <f>'d3'!F67-'d3-08'!F66</f>
        <v>-132499</v>
      </c>
      <c r="G67" s="228">
        <f>'d3'!G67-'d3-08'!G66</f>
        <v>0</v>
      </c>
      <c r="H67" s="228">
        <f>'d3'!H67-'d3-08'!H66</f>
        <v>0</v>
      </c>
      <c r="I67" s="228">
        <f>'d3'!I67-'d3-08'!I66</f>
        <v>0</v>
      </c>
      <c r="J67" s="228">
        <f>'d3'!J67-'d3-08'!J66</f>
        <v>117499</v>
      </c>
      <c r="K67" s="228">
        <f>'d3'!K67-'d3-08'!K66</f>
        <v>117499</v>
      </c>
      <c r="L67" s="228">
        <f>'d3'!L67-'d3-08'!L66</f>
        <v>0</v>
      </c>
      <c r="M67" s="228">
        <f>'d3'!M67-'d3-08'!M66</f>
        <v>0</v>
      </c>
      <c r="N67" s="228">
        <f>'d3'!N67-'d3-08'!N66</f>
        <v>0</v>
      </c>
      <c r="O67" s="228">
        <f>'d3'!O67-'d3-08'!O66</f>
        <v>117499</v>
      </c>
      <c r="P67" s="228">
        <f>'d3'!P67-'d3-08'!P66</f>
        <v>-15000</v>
      </c>
      <c r="R67" s="335" t="b">
        <f>K67='d5'!J84</f>
        <v>0</v>
      </c>
    </row>
    <row r="68" spans="1:18" ht="409.6" thickTop="1" thickBot="1" x14ac:dyDescent="0.25">
      <c r="A68" s="501" t="s">
        <v>314</v>
      </c>
      <c r="B68" s="501" t="s">
        <v>315</v>
      </c>
      <c r="C68" s="501" t="s">
        <v>245</v>
      </c>
      <c r="D68" s="501" t="s">
        <v>604</v>
      </c>
      <c r="E68" s="228">
        <f>'d3'!E68-'d3-08'!E67</f>
        <v>0</v>
      </c>
      <c r="F68" s="228">
        <f>'d3'!F68-'d3-08'!F67</f>
        <v>0</v>
      </c>
      <c r="G68" s="228">
        <f>'d3'!G68-'d3-08'!G67</f>
        <v>0</v>
      </c>
      <c r="H68" s="228">
        <f>'d3'!H68-'d3-08'!H67</f>
        <v>0</v>
      </c>
      <c r="I68" s="228">
        <f>'d3'!I68-'d3-08'!I67</f>
        <v>0</v>
      </c>
      <c r="J68" s="228">
        <f>'d3'!J68-'d3-08'!J67</f>
        <v>0</v>
      </c>
      <c r="K68" s="228">
        <f>'d3'!K68-'d3-08'!K67</f>
        <v>0</v>
      </c>
      <c r="L68" s="228">
        <f>'d3'!L68-'d3-08'!L67</f>
        <v>0</v>
      </c>
      <c r="M68" s="228">
        <f>'d3'!M68-'d3-08'!M67</f>
        <v>0</v>
      </c>
      <c r="N68" s="228">
        <f>'d3'!N68-'d3-08'!N67</f>
        <v>0</v>
      </c>
      <c r="O68" s="228">
        <f>'d3'!O68-'d3-08'!O67</f>
        <v>0</v>
      </c>
      <c r="P68" s="228">
        <f>'d3'!P68-'d3-08'!P67</f>
        <v>0</v>
      </c>
      <c r="R68" s="335"/>
    </row>
    <row r="69" spans="1:18" ht="276" thickTop="1" thickBot="1" x14ac:dyDescent="0.25">
      <c r="A69" s="501" t="s">
        <v>685</v>
      </c>
      <c r="B69" s="501" t="s">
        <v>686</v>
      </c>
      <c r="C69" s="501" t="s">
        <v>245</v>
      </c>
      <c r="D69" s="501" t="s">
        <v>687</v>
      </c>
      <c r="E69" s="228">
        <f>'d3'!E69-'d3-08'!E68</f>
        <v>0</v>
      </c>
      <c r="F69" s="228">
        <f>'d3'!F69-'d3-08'!F68</f>
        <v>0</v>
      </c>
      <c r="G69" s="228">
        <f>'d3'!G69-'d3-08'!G68</f>
        <v>0</v>
      </c>
      <c r="H69" s="228">
        <f>'d3'!H69-'d3-08'!H68</f>
        <v>0</v>
      </c>
      <c r="I69" s="228">
        <f>'d3'!I69-'d3-08'!I68</f>
        <v>0</v>
      </c>
      <c r="J69" s="228">
        <f>'d3'!J69-'d3-08'!J68</f>
        <v>0</v>
      </c>
      <c r="K69" s="228">
        <f>'d3'!K69-'d3-08'!K68</f>
        <v>0</v>
      </c>
      <c r="L69" s="228">
        <f>'d3'!L69-'d3-08'!L68</f>
        <v>0</v>
      </c>
      <c r="M69" s="228">
        <f>'d3'!M69-'d3-08'!M68</f>
        <v>0</v>
      </c>
      <c r="N69" s="228">
        <f>'d3'!N69-'d3-08'!N68</f>
        <v>0</v>
      </c>
      <c r="O69" s="228">
        <f>'d3'!O69-'d3-08'!O68</f>
        <v>0</v>
      </c>
      <c r="P69" s="228">
        <f>'d3'!P69-'d3-08'!P68</f>
        <v>0</v>
      </c>
      <c r="R69" s="335"/>
    </row>
    <row r="70" spans="1:18" ht="367.5" thickTop="1" thickBot="1" x14ac:dyDescent="0.25">
      <c r="A70" s="501" t="s">
        <v>424</v>
      </c>
      <c r="B70" s="501" t="s">
        <v>423</v>
      </c>
      <c r="C70" s="501" t="s">
        <v>60</v>
      </c>
      <c r="D70" s="501" t="s">
        <v>605</v>
      </c>
      <c r="E70" s="228">
        <f>'d3'!E70-'d3-08'!E69</f>
        <v>170000</v>
      </c>
      <c r="F70" s="228">
        <f>'d3'!F70-'d3-08'!F69</f>
        <v>170000</v>
      </c>
      <c r="G70" s="228">
        <f>'d3'!G70-'d3-08'!G69</f>
        <v>0</v>
      </c>
      <c r="H70" s="228">
        <f>'d3'!H70-'d3-08'!H69</f>
        <v>0</v>
      </c>
      <c r="I70" s="228">
        <f>'d3'!I70-'d3-08'!I69</f>
        <v>0</v>
      </c>
      <c r="J70" s="228">
        <f>'d3'!J70-'d3-08'!J69</f>
        <v>0</v>
      </c>
      <c r="K70" s="228">
        <f>'d3'!K70-'d3-08'!K69</f>
        <v>0</v>
      </c>
      <c r="L70" s="228">
        <f>'d3'!L70-'d3-08'!L69</f>
        <v>0</v>
      </c>
      <c r="M70" s="228">
        <f>'d3'!M70-'d3-08'!M69</f>
        <v>0</v>
      </c>
      <c r="N70" s="228">
        <f>'d3'!N70-'d3-08'!N69</f>
        <v>0</v>
      </c>
      <c r="O70" s="228">
        <f>'d3'!O70-'d3-08'!O69</f>
        <v>0</v>
      </c>
      <c r="P70" s="228">
        <f>'d3'!P70-'d3-08'!P69</f>
        <v>170000</v>
      </c>
      <c r="R70" s="335"/>
    </row>
    <row r="71" spans="1:18" ht="230.25" thickTop="1" thickBot="1" x14ac:dyDescent="0.25">
      <c r="A71" s="501" t="s">
        <v>397</v>
      </c>
      <c r="B71" s="501" t="s">
        <v>398</v>
      </c>
      <c r="C71" s="501" t="s">
        <v>251</v>
      </c>
      <c r="D71" s="501" t="s">
        <v>425</v>
      </c>
      <c r="E71" s="228">
        <f>'d3'!E71-'d3-08'!E70</f>
        <v>30000</v>
      </c>
      <c r="F71" s="228">
        <f>'d3'!F71-'d3-08'!F70</f>
        <v>30000</v>
      </c>
      <c r="G71" s="228">
        <f>'d3'!G71-'d3-08'!G70</f>
        <v>0</v>
      </c>
      <c r="H71" s="228">
        <f>'d3'!H71-'d3-08'!H70</f>
        <v>0</v>
      </c>
      <c r="I71" s="228">
        <f>'d3'!I71-'d3-08'!I70</f>
        <v>0</v>
      </c>
      <c r="J71" s="228">
        <f>'d3'!J71-'d3-08'!J70</f>
        <v>0</v>
      </c>
      <c r="K71" s="228">
        <f>'d3'!K71-'d3-08'!K70</f>
        <v>0</v>
      </c>
      <c r="L71" s="228">
        <f>'d3'!L71-'d3-08'!L70</f>
        <v>0</v>
      </c>
      <c r="M71" s="228">
        <f>'d3'!M71-'d3-08'!M70</f>
        <v>0</v>
      </c>
      <c r="N71" s="228">
        <f>'d3'!N71-'d3-08'!N70</f>
        <v>0</v>
      </c>
      <c r="O71" s="228">
        <f>'d3'!O71-'d3-08'!O70</f>
        <v>0</v>
      </c>
      <c r="P71" s="228">
        <f>'d3'!P71-'d3-08'!P70</f>
        <v>30000</v>
      </c>
      <c r="R71" s="335"/>
    </row>
    <row r="72" spans="1:18" ht="93" thickTop="1" thickBot="1" x14ac:dyDescent="0.25">
      <c r="A72" s="501" t="s">
        <v>537</v>
      </c>
      <c r="B72" s="501" t="s">
        <v>456</v>
      </c>
      <c r="C72" s="501" t="s">
        <v>457</v>
      </c>
      <c r="D72" s="501" t="s">
        <v>455</v>
      </c>
      <c r="E72" s="228">
        <f>'d3'!E72-'d3-08'!E71</f>
        <v>0</v>
      </c>
      <c r="F72" s="228">
        <f>'d3'!F72-'d3-08'!F71</f>
        <v>0</v>
      </c>
      <c r="G72" s="228">
        <f>'d3'!G72-'d3-08'!G71</f>
        <v>0</v>
      </c>
      <c r="H72" s="228">
        <f>'d3'!H72-'d3-08'!H71</f>
        <v>0</v>
      </c>
      <c r="I72" s="228">
        <f>'d3'!I72-'d3-08'!I71</f>
        <v>0</v>
      </c>
      <c r="J72" s="228">
        <f>'d3'!J72-'d3-08'!J71</f>
        <v>0</v>
      </c>
      <c r="K72" s="228">
        <f>'d3'!K72-'d3-08'!K71</f>
        <v>0</v>
      </c>
      <c r="L72" s="228">
        <f>'d3'!L72-'d3-08'!L71</f>
        <v>0</v>
      </c>
      <c r="M72" s="228">
        <f>'d3'!M72-'d3-08'!M71</f>
        <v>0</v>
      </c>
      <c r="N72" s="228">
        <f>'d3'!N72-'d3-08'!N71</f>
        <v>0</v>
      </c>
      <c r="O72" s="228">
        <f>'d3'!O72-'d3-08'!O71</f>
        <v>0</v>
      </c>
      <c r="P72" s="228">
        <f>'d3'!P72-'d3-08'!P71</f>
        <v>0</v>
      </c>
      <c r="R72" s="335"/>
    </row>
    <row r="73" spans="1:18" ht="409.6" thickTop="1" x14ac:dyDescent="0.65">
      <c r="A73" s="568" t="s">
        <v>949</v>
      </c>
      <c r="B73" s="568" t="s">
        <v>950</v>
      </c>
      <c r="C73" s="570" t="s">
        <v>60</v>
      </c>
      <c r="D73" s="425" t="s">
        <v>951</v>
      </c>
      <c r="E73" s="568">
        <f>'d3'!E73-'d3-08'!E72</f>
        <v>0</v>
      </c>
      <c r="F73" s="568">
        <f>'d3'!F73-'d3-08'!F72</f>
        <v>0</v>
      </c>
      <c r="G73" s="568">
        <f>'d3'!G73-'d3-08'!G72</f>
        <v>0</v>
      </c>
      <c r="H73" s="568">
        <f>'d3'!H73-'d3-08'!H72</f>
        <v>0</v>
      </c>
      <c r="I73" s="568">
        <f>'d3'!I73-'d3-08'!I72</f>
        <v>0</v>
      </c>
      <c r="J73" s="568">
        <f>'d3'!J73-'d3-08'!J72</f>
        <v>0</v>
      </c>
      <c r="K73" s="568">
        <f>'d3'!K73-'d3-08'!K72</f>
        <v>0</v>
      </c>
      <c r="L73" s="568">
        <f>'d3'!L73-'d3-08'!L72</f>
        <v>0</v>
      </c>
      <c r="M73" s="568">
        <f>'d3'!M73-'d3-08'!M72</f>
        <v>0</v>
      </c>
      <c r="N73" s="568">
        <f>'d3'!N73-'d3-08'!N72</f>
        <v>0</v>
      </c>
      <c r="O73" s="568">
        <f>'d3'!O73-'d3-08'!O72</f>
        <v>0</v>
      </c>
      <c r="P73" s="568">
        <f>'d3'!P73-'d3-08'!P72</f>
        <v>0</v>
      </c>
      <c r="R73" s="335"/>
    </row>
    <row r="74" spans="1:18" ht="409.5" x14ac:dyDescent="0.2">
      <c r="A74" s="566"/>
      <c r="B74" s="566"/>
      <c r="C74" s="571"/>
      <c r="D74" s="426" t="s">
        <v>952</v>
      </c>
      <c r="E74" s="665">
        <f>'d3'!E74-'d3-08'!E73</f>
        <v>0</v>
      </c>
      <c r="F74" s="665">
        <f>'d3'!F74-'d3-08'!F73</f>
        <v>0</v>
      </c>
      <c r="G74" s="665">
        <f>'d3'!G74-'d3-08'!G73</f>
        <v>0</v>
      </c>
      <c r="H74" s="665">
        <f>'d3'!H74-'d3-08'!H73</f>
        <v>0</v>
      </c>
      <c r="I74" s="665">
        <f>'d3'!I74-'d3-08'!I73</f>
        <v>0</v>
      </c>
      <c r="J74" s="665">
        <f>'d3'!J74-'d3-08'!J73</f>
        <v>0</v>
      </c>
      <c r="K74" s="665">
        <f>'d3'!K74-'d3-08'!K73</f>
        <v>0</v>
      </c>
      <c r="L74" s="665">
        <f>'d3'!L74-'d3-08'!L73</f>
        <v>0</v>
      </c>
      <c r="M74" s="665">
        <f>'d3'!M74-'d3-08'!M73</f>
        <v>0</v>
      </c>
      <c r="N74" s="665">
        <f>'d3'!N74-'d3-08'!N73</f>
        <v>0</v>
      </c>
      <c r="O74" s="665">
        <f>'d3'!O74-'d3-08'!O73</f>
        <v>0</v>
      </c>
      <c r="P74" s="665">
        <f>'d3'!P74-'d3-08'!P73</f>
        <v>0</v>
      </c>
      <c r="R74" s="335" t="b">
        <f>P73='d5'!J85</f>
        <v>0</v>
      </c>
    </row>
    <row r="75" spans="1:18" ht="373.5" customHeight="1" thickBot="1" x14ac:dyDescent="0.25">
      <c r="A75" s="567"/>
      <c r="B75" s="567"/>
      <c r="C75" s="572"/>
      <c r="D75" s="427" t="s">
        <v>953</v>
      </c>
      <c r="E75" s="665">
        <f>'d3'!E75-'d3-08'!E74</f>
        <v>0</v>
      </c>
      <c r="F75" s="665">
        <f>'d3'!F75-'d3-08'!F74</f>
        <v>0</v>
      </c>
      <c r="G75" s="665">
        <f>'d3'!G75-'d3-08'!G74</f>
        <v>0</v>
      </c>
      <c r="H75" s="665">
        <f>'d3'!H75-'d3-08'!H74</f>
        <v>0</v>
      </c>
      <c r="I75" s="665">
        <f>'d3'!I75-'d3-08'!I74</f>
        <v>0</v>
      </c>
      <c r="J75" s="665">
        <f>'d3'!J75-'d3-08'!J74</f>
        <v>0</v>
      </c>
      <c r="K75" s="665">
        <f>'d3'!K75-'d3-08'!K74</f>
        <v>0</v>
      </c>
      <c r="L75" s="665">
        <f>'d3'!L75-'d3-08'!L74</f>
        <v>0</v>
      </c>
      <c r="M75" s="665">
        <f>'d3'!M75-'d3-08'!M74</f>
        <v>0</v>
      </c>
      <c r="N75" s="665">
        <f>'d3'!N75-'d3-08'!N74</f>
        <v>0</v>
      </c>
      <c r="O75" s="665">
        <f>'d3'!O75-'d3-08'!O74</f>
        <v>0</v>
      </c>
      <c r="P75" s="665">
        <f>'d3'!P75-'d3-08'!P74</f>
        <v>0</v>
      </c>
      <c r="R75" s="335"/>
    </row>
    <row r="76" spans="1:18" ht="409.6" thickTop="1" x14ac:dyDescent="0.2">
      <c r="A76" s="569" t="s">
        <v>954</v>
      </c>
      <c r="B76" s="569" t="s">
        <v>955</v>
      </c>
      <c r="C76" s="569" t="s">
        <v>60</v>
      </c>
      <c r="D76" s="504" t="s">
        <v>956</v>
      </c>
      <c r="E76" s="568">
        <f>'d3'!E76-'d3-08'!E75</f>
        <v>0</v>
      </c>
      <c r="F76" s="568">
        <f>'d3'!F76-'d3-08'!F75</f>
        <v>0</v>
      </c>
      <c r="G76" s="568">
        <f>'d3'!G76-'d3-08'!G75</f>
        <v>0</v>
      </c>
      <c r="H76" s="568">
        <f>'d3'!H76-'d3-08'!H75</f>
        <v>0</v>
      </c>
      <c r="I76" s="568">
        <f>'d3'!I76-'d3-08'!I75</f>
        <v>0</v>
      </c>
      <c r="J76" s="568">
        <f>'d3'!J76-'d3-08'!J75</f>
        <v>0</v>
      </c>
      <c r="K76" s="568">
        <f>'d3'!K76-'d3-08'!K75</f>
        <v>0</v>
      </c>
      <c r="L76" s="568">
        <f>'d3'!L76-'d3-08'!L75</f>
        <v>0</v>
      </c>
      <c r="M76" s="568">
        <f>'d3'!M76-'d3-08'!M75</f>
        <v>0</v>
      </c>
      <c r="N76" s="568">
        <f>'d3'!N76-'d3-08'!N75</f>
        <v>0</v>
      </c>
      <c r="O76" s="568">
        <f>'d3'!O76-'d3-08'!O75</f>
        <v>0</v>
      </c>
      <c r="P76" s="568">
        <f>'d3'!P76-'d3-08'!P75</f>
        <v>0</v>
      </c>
      <c r="R76" s="335"/>
    </row>
    <row r="77" spans="1:18" ht="409.5" customHeight="1" x14ac:dyDescent="0.2">
      <c r="A77" s="566"/>
      <c r="B77" s="566"/>
      <c r="C77" s="566"/>
      <c r="D77" s="426" t="s">
        <v>957</v>
      </c>
      <c r="E77" s="665"/>
      <c r="F77" s="665">
        <f>'d3'!F77-'d3-08'!F76</f>
        <v>0</v>
      </c>
      <c r="G77" s="665">
        <f>'d3'!G77-'d3-08'!G76</f>
        <v>0</v>
      </c>
      <c r="H77" s="665">
        <f>'d3'!H77-'d3-08'!H76</f>
        <v>0</v>
      </c>
      <c r="I77" s="665">
        <f>'d3'!I77-'d3-08'!I76</f>
        <v>0</v>
      </c>
      <c r="J77" s="665">
        <f>'d3'!J77-'d3-08'!J76</f>
        <v>0</v>
      </c>
      <c r="K77" s="665">
        <f>'d3'!K77-'d3-08'!K76</f>
        <v>0</v>
      </c>
      <c r="L77" s="665">
        <f>'d3'!L77-'d3-08'!L76</f>
        <v>0</v>
      </c>
      <c r="M77" s="665">
        <f>'d3'!M77-'d3-08'!M76</f>
        <v>0</v>
      </c>
      <c r="N77" s="665">
        <f>'d3'!N77-'d3-08'!N76</f>
        <v>0</v>
      </c>
      <c r="O77" s="665">
        <f>'d3'!O77-'d3-08'!O76</f>
        <v>0</v>
      </c>
      <c r="P77" s="665">
        <f>'d3'!P77-'d3-08'!P76</f>
        <v>0</v>
      </c>
      <c r="R77" s="335" t="b">
        <f>P76='d5'!J88</f>
        <v>0</v>
      </c>
    </row>
    <row r="78" spans="1:18" ht="409.5" x14ac:dyDescent="0.2">
      <c r="A78" s="566"/>
      <c r="B78" s="566"/>
      <c r="C78" s="566"/>
      <c r="D78" s="426" t="s">
        <v>958</v>
      </c>
      <c r="E78" s="665"/>
      <c r="F78" s="665">
        <f>'d3'!F78-'d3-08'!F77</f>
        <v>0</v>
      </c>
      <c r="G78" s="665">
        <f>'d3'!G78-'d3-08'!G77</f>
        <v>0</v>
      </c>
      <c r="H78" s="665">
        <f>'d3'!H78-'d3-08'!H77</f>
        <v>0</v>
      </c>
      <c r="I78" s="665">
        <f>'d3'!I78-'d3-08'!I77</f>
        <v>0</v>
      </c>
      <c r="J78" s="665">
        <f>'d3'!J78-'d3-08'!J77</f>
        <v>0</v>
      </c>
      <c r="K78" s="665">
        <f>'d3'!K78-'d3-08'!K77</f>
        <v>0</v>
      </c>
      <c r="L78" s="665">
        <f>'d3'!L78-'d3-08'!L77</f>
        <v>0</v>
      </c>
      <c r="M78" s="665">
        <f>'d3'!M78-'d3-08'!M77</f>
        <v>0</v>
      </c>
      <c r="N78" s="665">
        <f>'d3'!N78-'d3-08'!N77</f>
        <v>0</v>
      </c>
      <c r="O78" s="665">
        <f>'d3'!O78-'d3-08'!O77</f>
        <v>0</v>
      </c>
      <c r="P78" s="665">
        <f>'d3'!P78-'d3-08'!P77</f>
        <v>0</v>
      </c>
      <c r="R78" s="335"/>
    </row>
    <row r="79" spans="1:18" ht="321" customHeight="1" thickBot="1" x14ac:dyDescent="0.25">
      <c r="A79" s="567"/>
      <c r="B79" s="567"/>
      <c r="C79" s="567"/>
      <c r="D79" s="377" t="s">
        <v>959</v>
      </c>
      <c r="E79" s="652"/>
      <c r="F79" s="652">
        <f>'d3'!F79-'d3-08'!F78</f>
        <v>0</v>
      </c>
      <c r="G79" s="652">
        <f>'d3'!G79-'d3-08'!G78</f>
        <v>0</v>
      </c>
      <c r="H79" s="652">
        <f>'d3'!H79-'d3-08'!H78</f>
        <v>0</v>
      </c>
      <c r="I79" s="652">
        <f>'d3'!I79-'d3-08'!I78</f>
        <v>0</v>
      </c>
      <c r="J79" s="652">
        <f>'d3'!J79-'d3-08'!J78</f>
        <v>0</v>
      </c>
      <c r="K79" s="652">
        <f>'d3'!K79-'d3-08'!K78</f>
        <v>0</v>
      </c>
      <c r="L79" s="652">
        <f>'d3'!L79-'d3-08'!L78</f>
        <v>0</v>
      </c>
      <c r="M79" s="652">
        <f>'d3'!M79-'d3-08'!M78</f>
        <v>0</v>
      </c>
      <c r="N79" s="652">
        <f>'d3'!N79-'d3-08'!N78</f>
        <v>0</v>
      </c>
      <c r="O79" s="652">
        <f>'d3'!O79-'d3-08'!O78</f>
        <v>0</v>
      </c>
      <c r="P79" s="652">
        <f>'d3'!P79-'d3-08'!P78</f>
        <v>0</v>
      </c>
      <c r="R79" s="335"/>
    </row>
    <row r="80" spans="1:18" ht="409.6" thickTop="1" x14ac:dyDescent="0.2">
      <c r="A80" s="569" t="s">
        <v>960</v>
      </c>
      <c r="B80" s="569" t="s">
        <v>961</v>
      </c>
      <c r="C80" s="569" t="s">
        <v>60</v>
      </c>
      <c r="D80" s="504" t="s">
        <v>962</v>
      </c>
      <c r="E80" s="568">
        <f>'d3'!E80-'d3-08'!E79</f>
        <v>0</v>
      </c>
      <c r="F80" s="568">
        <f>'d3'!F80-'d3-08'!F79</f>
        <v>0</v>
      </c>
      <c r="G80" s="568">
        <f>'d3'!G80-'d3-08'!G79</f>
        <v>0</v>
      </c>
      <c r="H80" s="568">
        <f>'d3'!H80-'d3-08'!H79</f>
        <v>0</v>
      </c>
      <c r="I80" s="568">
        <f>'d3'!I80-'d3-08'!I79</f>
        <v>0</v>
      </c>
      <c r="J80" s="568">
        <f>'d3'!J80-'d3-08'!J79</f>
        <v>0</v>
      </c>
      <c r="K80" s="568">
        <f>'d3'!K80-'d3-08'!K79</f>
        <v>0</v>
      </c>
      <c r="L80" s="568">
        <f>'d3'!L80-'d3-08'!L79</f>
        <v>0</v>
      </c>
      <c r="M80" s="568">
        <f>'d3'!M80-'d3-08'!M79</f>
        <v>0</v>
      </c>
      <c r="N80" s="568">
        <f>'d3'!N80-'d3-08'!N79</f>
        <v>0</v>
      </c>
      <c r="O80" s="568">
        <f>'d3'!O80-'d3-08'!O79</f>
        <v>0</v>
      </c>
      <c r="P80" s="568">
        <f>'d3'!P80-'d3-08'!P79</f>
        <v>0</v>
      </c>
      <c r="R80" s="335"/>
    </row>
    <row r="81" spans="1:18" ht="409.5" x14ac:dyDescent="0.2">
      <c r="A81" s="566"/>
      <c r="B81" s="566"/>
      <c r="C81" s="566"/>
      <c r="D81" s="426" t="s">
        <v>963</v>
      </c>
      <c r="E81" s="665">
        <f>'d3'!E81-'d3-08'!E80</f>
        <v>0</v>
      </c>
      <c r="F81" s="665">
        <f>'d3'!F81-'d3-08'!F80</f>
        <v>0</v>
      </c>
      <c r="G81" s="665">
        <f>'d3'!G81-'d3-08'!G80</f>
        <v>0</v>
      </c>
      <c r="H81" s="665">
        <f>'d3'!H81-'d3-08'!H80</f>
        <v>0</v>
      </c>
      <c r="I81" s="665">
        <f>'d3'!I81-'d3-08'!I80</f>
        <v>0</v>
      </c>
      <c r="J81" s="665">
        <f>'d3'!J81-'d3-08'!J80</f>
        <v>0</v>
      </c>
      <c r="K81" s="665">
        <f>'d3'!K81-'d3-08'!K80</f>
        <v>0</v>
      </c>
      <c r="L81" s="665">
        <f>'d3'!L81-'d3-08'!L80</f>
        <v>0</v>
      </c>
      <c r="M81" s="665">
        <f>'d3'!M81-'d3-08'!M80</f>
        <v>0</v>
      </c>
      <c r="N81" s="665">
        <f>'d3'!N81-'d3-08'!N80</f>
        <v>0</v>
      </c>
      <c r="O81" s="665">
        <f>'d3'!O81-'d3-08'!O80</f>
        <v>0</v>
      </c>
      <c r="P81" s="665">
        <f>'d3'!P81-'d3-08'!P80</f>
        <v>0</v>
      </c>
      <c r="R81" s="335" t="b">
        <f>K80='d5'!J92</f>
        <v>0</v>
      </c>
    </row>
    <row r="82" spans="1:18" ht="46.5" thickBot="1" x14ac:dyDescent="0.25">
      <c r="A82" s="566"/>
      <c r="B82" s="566"/>
      <c r="C82" s="566"/>
      <c r="D82" s="377" t="s">
        <v>964</v>
      </c>
      <c r="E82" s="665">
        <f>'d3'!E82-'d3-08'!E81</f>
        <v>0</v>
      </c>
      <c r="F82" s="665">
        <f>'d3'!F82-'d3-08'!F81</f>
        <v>0</v>
      </c>
      <c r="G82" s="665">
        <f>'d3'!G82-'d3-08'!G81</f>
        <v>0</v>
      </c>
      <c r="H82" s="665">
        <f>'d3'!H82-'d3-08'!H81</f>
        <v>0</v>
      </c>
      <c r="I82" s="665">
        <f>'d3'!I82-'d3-08'!I81</f>
        <v>0</v>
      </c>
      <c r="J82" s="665">
        <f>'d3'!J82-'d3-08'!J81</f>
        <v>0</v>
      </c>
      <c r="K82" s="665">
        <f>'d3'!K82-'d3-08'!K81</f>
        <v>0</v>
      </c>
      <c r="L82" s="665">
        <f>'d3'!L82-'d3-08'!L81</f>
        <v>0</v>
      </c>
      <c r="M82" s="665">
        <f>'d3'!M82-'d3-08'!M81</f>
        <v>0</v>
      </c>
      <c r="N82" s="665">
        <f>'d3'!N82-'d3-08'!N81</f>
        <v>0</v>
      </c>
      <c r="O82" s="665">
        <f>'d3'!O82-'d3-08'!O81</f>
        <v>0</v>
      </c>
      <c r="P82" s="665">
        <f>'d3'!P82-'d3-08'!P81</f>
        <v>0</v>
      </c>
      <c r="R82" s="335"/>
    </row>
    <row r="83" spans="1:18" ht="184.5" thickTop="1" thickBot="1" x14ac:dyDescent="0.25">
      <c r="A83" s="501" t="s">
        <v>399</v>
      </c>
      <c r="B83" s="501" t="s">
        <v>401</v>
      </c>
      <c r="C83" s="501" t="s">
        <v>237</v>
      </c>
      <c r="D83" s="230" t="s">
        <v>403</v>
      </c>
      <c r="E83" s="228">
        <f>'d3'!E83-'d3-08'!E82</f>
        <v>-30000</v>
      </c>
      <c r="F83" s="228">
        <f>'d3'!F83-'d3-08'!F82</f>
        <v>-30000</v>
      </c>
      <c r="G83" s="228">
        <f>'d3'!G83-'d3-08'!G82</f>
        <v>0</v>
      </c>
      <c r="H83" s="228">
        <f>'d3'!H83-'d3-08'!H82</f>
        <v>-30000</v>
      </c>
      <c r="I83" s="228">
        <f>'d3'!I83-'d3-08'!I82</f>
        <v>0</v>
      </c>
      <c r="J83" s="228">
        <f>'d3'!J83-'d3-08'!J82</f>
        <v>27000</v>
      </c>
      <c r="K83" s="228">
        <f>'d3'!K83-'d3-08'!K82</f>
        <v>27000</v>
      </c>
      <c r="L83" s="228">
        <f>'d3'!L83-'d3-08'!L82</f>
        <v>0</v>
      </c>
      <c r="M83" s="228">
        <f>'d3'!M83-'d3-08'!M82</f>
        <v>0</v>
      </c>
      <c r="N83" s="228">
        <f>'d3'!N83-'d3-08'!N82</f>
        <v>0</v>
      </c>
      <c r="O83" s="228">
        <f>'d3'!O83-'d3-08'!O82</f>
        <v>27000</v>
      </c>
      <c r="P83" s="228">
        <f>'d3'!P83-'d3-08'!P82</f>
        <v>-3000</v>
      </c>
      <c r="R83" s="335" t="b">
        <f>K83='d5'!J95+'d5'!J97+'d5'!J98+'d5'!J99+'d5'!J96</f>
        <v>0</v>
      </c>
    </row>
    <row r="84" spans="1:18" ht="138.75" thickTop="1" thickBot="1" x14ac:dyDescent="0.25">
      <c r="A84" s="501" t="s">
        <v>400</v>
      </c>
      <c r="B84" s="501" t="s">
        <v>402</v>
      </c>
      <c r="C84" s="501" t="s">
        <v>237</v>
      </c>
      <c r="D84" s="230" t="s">
        <v>404</v>
      </c>
      <c r="E84" s="228">
        <f>'d3'!E84-'d3-08'!E83</f>
        <v>1500000</v>
      </c>
      <c r="F84" s="228">
        <f>'d3'!F84-'d3-08'!F83</f>
        <v>1500000</v>
      </c>
      <c r="G84" s="228">
        <f>'d3'!G84-'d3-08'!G83</f>
        <v>0</v>
      </c>
      <c r="H84" s="228">
        <f>'d3'!H84-'d3-08'!H83</f>
        <v>0</v>
      </c>
      <c r="I84" s="228">
        <f>'d3'!I84-'d3-08'!I83</f>
        <v>0</v>
      </c>
      <c r="J84" s="228">
        <f>'d3'!J84-'d3-08'!J83</f>
        <v>0</v>
      </c>
      <c r="K84" s="228">
        <f>'d3'!K84-'d3-08'!K83</f>
        <v>0</v>
      </c>
      <c r="L84" s="228">
        <f>'d3'!L84-'d3-08'!L83</f>
        <v>0</v>
      </c>
      <c r="M84" s="228">
        <f>'d3'!M84-'d3-08'!M83</f>
        <v>0</v>
      </c>
      <c r="N84" s="228">
        <f>'d3'!N84-'d3-08'!N83</f>
        <v>0</v>
      </c>
      <c r="O84" s="228">
        <f>'d3'!O84-'d3-08'!O83</f>
        <v>0</v>
      </c>
      <c r="P84" s="228">
        <f>'d3'!P84-'d3-08'!P83</f>
        <v>1500000</v>
      </c>
      <c r="R84" s="335" t="b">
        <f>K84='d5'!J100+'d5'!J101</f>
        <v>0</v>
      </c>
    </row>
    <row r="85" spans="1:18" ht="138.75" thickTop="1" thickBot="1" x14ac:dyDescent="0.25">
      <c r="A85" s="501" t="s">
        <v>447</v>
      </c>
      <c r="B85" s="501" t="s">
        <v>445</v>
      </c>
      <c r="C85" s="501" t="s">
        <v>415</v>
      </c>
      <c r="D85" s="230" t="s">
        <v>446</v>
      </c>
      <c r="E85" s="228">
        <f>'d3'!E85-'d3-08'!E84</f>
        <v>0</v>
      </c>
      <c r="F85" s="228">
        <f>'d3'!F85-'d3-08'!F84</f>
        <v>0</v>
      </c>
      <c r="G85" s="228">
        <f>'d3'!G85-'d3-08'!G84</f>
        <v>0</v>
      </c>
      <c r="H85" s="228">
        <f>'d3'!H85-'d3-08'!H84</f>
        <v>0</v>
      </c>
      <c r="I85" s="228">
        <f>'d3'!I85-'d3-08'!I84</f>
        <v>0</v>
      </c>
      <c r="J85" s="228">
        <f>'d3'!J85-'d3-08'!J84</f>
        <v>0</v>
      </c>
      <c r="K85" s="228">
        <f>'d3'!K85-'d3-08'!K84</f>
        <v>0</v>
      </c>
      <c r="L85" s="228">
        <f>'d3'!L85-'d3-08'!L84</f>
        <v>0</v>
      </c>
      <c r="M85" s="228">
        <f>'d3'!M85-'d3-08'!M84</f>
        <v>0</v>
      </c>
      <c r="N85" s="228">
        <f>'d3'!N85-'d3-08'!N84</f>
        <v>0</v>
      </c>
      <c r="O85" s="228">
        <f>'d3'!O85-'d3-08'!O84</f>
        <v>0</v>
      </c>
      <c r="P85" s="228">
        <f>'d3'!P85-'d3-08'!P84</f>
        <v>0</v>
      </c>
      <c r="R85" s="335" t="b">
        <f>K85='d5'!J102</f>
        <v>0</v>
      </c>
    </row>
    <row r="86" spans="1:18" ht="409.6" thickTop="1" thickBot="1" x14ac:dyDescent="0.25">
      <c r="A86" s="501" t="s">
        <v>934</v>
      </c>
      <c r="B86" s="501" t="s">
        <v>935</v>
      </c>
      <c r="C86" s="501" t="s">
        <v>415</v>
      </c>
      <c r="D86" s="230" t="s">
        <v>936</v>
      </c>
      <c r="E86" s="228">
        <f>'d3'!E86-'d3-08'!E85</f>
        <v>0</v>
      </c>
      <c r="F86" s="228">
        <f>'d3'!F86-'d3-08'!F85</f>
        <v>0</v>
      </c>
      <c r="G86" s="228">
        <f>'d3'!G86-'d3-08'!G85</f>
        <v>0</v>
      </c>
      <c r="H86" s="228">
        <f>'d3'!H86-'d3-08'!H85</f>
        <v>0</v>
      </c>
      <c r="I86" s="228">
        <f>'d3'!I86-'d3-08'!I85</f>
        <v>0</v>
      </c>
      <c r="J86" s="228">
        <f>'d3'!J86-'d3-08'!J85</f>
        <v>1955792</v>
      </c>
      <c r="K86" s="228">
        <f>'d3'!K86-'d3-08'!K85</f>
        <v>1955792</v>
      </c>
      <c r="L86" s="228">
        <f>'d3'!L86-'d3-08'!L85</f>
        <v>0</v>
      </c>
      <c r="M86" s="228">
        <f>'d3'!M86-'d3-08'!M85</f>
        <v>0</v>
      </c>
      <c r="N86" s="228">
        <f>'d3'!N86-'d3-08'!N85</f>
        <v>0</v>
      </c>
      <c r="O86" s="228">
        <f>'d3'!O86-'d3-08'!O85</f>
        <v>1955792</v>
      </c>
      <c r="P86" s="228">
        <f>'d3'!P86-'d3-08'!P85</f>
        <v>1955792</v>
      </c>
      <c r="R86" s="335" t="b">
        <f>K86='d5'!J103</f>
        <v>0</v>
      </c>
    </row>
    <row r="87" spans="1:18" ht="99.75" thickTop="1" thickBot="1" x14ac:dyDescent="0.25">
      <c r="A87" s="501" t="s">
        <v>500</v>
      </c>
      <c r="B87" s="501" t="s">
        <v>501</v>
      </c>
      <c r="C87" s="501" t="s">
        <v>359</v>
      </c>
      <c r="D87" s="501" t="s">
        <v>648</v>
      </c>
      <c r="E87" s="228">
        <f>'d3'!E87-'d3-08'!E86</f>
        <v>0</v>
      </c>
      <c r="F87" s="228">
        <f>'d3'!F87-'d3-08'!F86</f>
        <v>0</v>
      </c>
      <c r="G87" s="228">
        <f>'d3'!G87-'d3-08'!G86</f>
        <v>0</v>
      </c>
      <c r="H87" s="228">
        <f>'d3'!H87-'d3-08'!H86</f>
        <v>0</v>
      </c>
      <c r="I87" s="228">
        <f>'d3'!I87-'d3-08'!I86</f>
        <v>0</v>
      </c>
      <c r="J87" s="228">
        <f>'d3'!J87-'d3-08'!J86</f>
        <v>1000000</v>
      </c>
      <c r="K87" s="228">
        <f>'d3'!K87-'d3-08'!K86</f>
        <v>1000000</v>
      </c>
      <c r="L87" s="228">
        <f>'d3'!L87-'d3-08'!L86</f>
        <v>0</v>
      </c>
      <c r="M87" s="228">
        <f>'d3'!M87-'d3-08'!M86</f>
        <v>0</v>
      </c>
      <c r="N87" s="228">
        <f>'d3'!N87-'d3-08'!N86</f>
        <v>0</v>
      </c>
      <c r="O87" s="228">
        <f>'d3'!O87-'d3-08'!O86</f>
        <v>1000000</v>
      </c>
      <c r="P87" s="228">
        <f>'d3'!P87-'d3-08'!P86</f>
        <v>1000000</v>
      </c>
      <c r="R87" s="335" t="b">
        <f>K87='d5'!J104</f>
        <v>0</v>
      </c>
    </row>
    <row r="88" spans="1:18" ht="379.5" customHeight="1" thickTop="1" thickBot="1" x14ac:dyDescent="0.7">
      <c r="A88" s="554" t="s">
        <v>527</v>
      </c>
      <c r="B88" s="554" t="s">
        <v>412</v>
      </c>
      <c r="C88" s="554" t="s">
        <v>210</v>
      </c>
      <c r="D88" s="232" t="s">
        <v>585</v>
      </c>
      <c r="E88" s="568">
        <f>'d3'!E88-'d3-08'!E87</f>
        <v>0</v>
      </c>
      <c r="F88" s="568">
        <f>'d3'!F88-'d3-08'!F87</f>
        <v>0</v>
      </c>
      <c r="G88" s="568">
        <f>'d3'!G88-'d3-08'!G87</f>
        <v>0</v>
      </c>
      <c r="H88" s="568">
        <f>'d3'!H88-'d3-08'!H87</f>
        <v>0</v>
      </c>
      <c r="I88" s="568">
        <f>'d3'!I88-'d3-08'!I87</f>
        <v>0</v>
      </c>
      <c r="J88" s="568">
        <f>'d3'!J88-'d3-08'!J87</f>
        <v>43000</v>
      </c>
      <c r="K88" s="568">
        <f>'d3'!K88-'d3-08'!K87</f>
        <v>0</v>
      </c>
      <c r="L88" s="568">
        <f>'d3'!L88-'d3-08'!L87</f>
        <v>43000</v>
      </c>
      <c r="M88" s="568">
        <f>'d3'!M88-'d3-08'!M87</f>
        <v>0</v>
      </c>
      <c r="N88" s="568">
        <f>'d3'!N88-'d3-08'!N87</f>
        <v>0</v>
      </c>
      <c r="O88" s="568">
        <f>'d3'!O88-'d3-08'!O87</f>
        <v>0</v>
      </c>
      <c r="P88" s="568">
        <f>'d3'!P88-'d3-08'!P87</f>
        <v>43000</v>
      </c>
      <c r="Q88" s="337">
        <f>P88</f>
        <v>43000</v>
      </c>
      <c r="R88" s="335"/>
    </row>
    <row r="89" spans="1:18" ht="184.5" thickTop="1" thickBot="1" x14ac:dyDescent="0.25">
      <c r="A89" s="555"/>
      <c r="B89" s="555"/>
      <c r="C89" s="555"/>
      <c r="D89" s="233" t="s">
        <v>586</v>
      </c>
      <c r="E89" s="652"/>
      <c r="F89" s="652"/>
      <c r="G89" s="652"/>
      <c r="H89" s="652"/>
      <c r="I89" s="652"/>
      <c r="J89" s="652"/>
      <c r="K89" s="652"/>
      <c r="L89" s="652"/>
      <c r="M89" s="652"/>
      <c r="N89" s="652"/>
      <c r="O89" s="652"/>
      <c r="P89" s="652"/>
      <c r="R89" s="335"/>
    </row>
    <row r="90" spans="1:18" ht="93" hidden="1" thickTop="1" thickBot="1" x14ac:dyDescent="0.25">
      <c r="A90" s="406" t="s">
        <v>939</v>
      </c>
      <c r="B90" s="406" t="s">
        <v>308</v>
      </c>
      <c r="C90" s="406" t="s">
        <v>210</v>
      </c>
      <c r="D90" s="406" t="s">
        <v>306</v>
      </c>
      <c r="E90" s="407">
        <f t="shared" ref="E90" si="23">F90</f>
        <v>0</v>
      </c>
      <c r="F90" s="410"/>
      <c r="G90" s="410"/>
      <c r="H90" s="410"/>
      <c r="I90" s="410"/>
      <c r="J90" s="407">
        <f t="shared" ref="J90" si="24">L90+O90</f>
        <v>0</v>
      </c>
      <c r="K90" s="410"/>
      <c r="L90" s="410"/>
      <c r="M90" s="410"/>
      <c r="N90" s="410"/>
      <c r="O90" s="409">
        <f t="shared" ref="O90" si="25">K90</f>
        <v>0</v>
      </c>
      <c r="P90" s="407">
        <f t="shared" ref="P90" si="26">E90+J90</f>
        <v>0</v>
      </c>
      <c r="R90" s="335" t="b">
        <f>K90='d5'!J105</f>
        <v>1</v>
      </c>
    </row>
    <row r="91" spans="1:18" ht="181.5" thickTop="1" thickBot="1" x14ac:dyDescent="0.25">
      <c r="A91" s="451">
        <v>1000000</v>
      </c>
      <c r="B91" s="451"/>
      <c r="C91" s="451"/>
      <c r="D91" s="452" t="s">
        <v>29</v>
      </c>
      <c r="E91" s="453">
        <f>E92</f>
        <v>-1795013</v>
      </c>
      <c r="F91" s="454">
        <f t="shared" ref="F91:G91" si="27">F92</f>
        <v>-1795013</v>
      </c>
      <c r="G91" s="454">
        <f t="shared" si="27"/>
        <v>986310</v>
      </c>
      <c r="H91" s="454">
        <f>H92</f>
        <v>-394000</v>
      </c>
      <c r="I91" s="453">
        <f t="shared" ref="I91" si="28">I92</f>
        <v>0</v>
      </c>
      <c r="J91" s="453">
        <f>J92</f>
        <v>600000</v>
      </c>
      <c r="K91" s="454">
        <f>K92</f>
        <v>600000</v>
      </c>
      <c r="L91" s="454">
        <f>L92</f>
        <v>0</v>
      </c>
      <c r="M91" s="454">
        <f t="shared" ref="M91" si="29">M92</f>
        <v>0</v>
      </c>
      <c r="N91" s="453">
        <f>N92</f>
        <v>0</v>
      </c>
      <c r="O91" s="453">
        <f>O92</f>
        <v>600000</v>
      </c>
      <c r="P91" s="454">
        <f t="shared" ref="P91" si="30">P92</f>
        <v>-1195013</v>
      </c>
    </row>
    <row r="92" spans="1:18" ht="181.5" thickTop="1" thickBot="1" x14ac:dyDescent="0.25">
      <c r="A92" s="455">
        <v>1010000</v>
      </c>
      <c r="B92" s="455"/>
      <c r="C92" s="455"/>
      <c r="D92" s="456" t="s">
        <v>47</v>
      </c>
      <c r="E92" s="457">
        <f>F92</f>
        <v>-1795013</v>
      </c>
      <c r="F92" s="457">
        <f>SUM(F93:F99)</f>
        <v>-1795013</v>
      </c>
      <c r="G92" s="457">
        <f>SUM(G93:G99)</f>
        <v>986310</v>
      </c>
      <c r="H92" s="457">
        <f>SUM(H93:H99)</f>
        <v>-394000</v>
      </c>
      <c r="I92" s="457">
        <f>SUM(I93:I99)</f>
        <v>0</v>
      </c>
      <c r="J92" s="457">
        <f t="shared" ref="J92" si="31">L92+O92</f>
        <v>600000</v>
      </c>
      <c r="K92" s="457">
        <f>SUM(K93:K99)</f>
        <v>600000</v>
      </c>
      <c r="L92" s="457">
        <f>SUM(L93:L99)</f>
        <v>0</v>
      </c>
      <c r="M92" s="457">
        <f>SUM(M93:M99)</f>
        <v>0</v>
      </c>
      <c r="N92" s="457">
        <f>SUM(N93:N99)</f>
        <v>0</v>
      </c>
      <c r="O92" s="457">
        <f>SUM(O93:O99)</f>
        <v>600000</v>
      </c>
      <c r="P92" s="458">
        <f t="shared" ref="P92" si="32">E92+J92</f>
        <v>-1195013</v>
      </c>
      <c r="Q92" s="334" t="b">
        <f>P92=P93+P94+P95+P96+P97+P98+P99</f>
        <v>1</v>
      </c>
      <c r="R92" s="335" t="b">
        <f>K92='d5'!J107</f>
        <v>0</v>
      </c>
    </row>
    <row r="93" spans="1:18" ht="93" thickTop="1" thickBot="1" x14ac:dyDescent="0.25">
      <c r="A93" s="501" t="s">
        <v>20</v>
      </c>
      <c r="B93" s="501" t="s">
        <v>225</v>
      </c>
      <c r="C93" s="501" t="s">
        <v>226</v>
      </c>
      <c r="D93" s="501" t="s">
        <v>716</v>
      </c>
      <c r="E93" s="228">
        <f>'d3'!E93-'d3-08'!E92</f>
        <v>44000</v>
      </c>
      <c r="F93" s="228">
        <f>'d3'!F93-'d3-08'!F92</f>
        <v>44000</v>
      </c>
      <c r="G93" s="228">
        <f>'d3'!G93-'d3-08'!G92</f>
        <v>239700</v>
      </c>
      <c r="H93" s="228">
        <f>'d3'!H93-'d3-08'!H92</f>
        <v>-248000</v>
      </c>
      <c r="I93" s="228">
        <f>'d3'!I93-'d3-08'!I92</f>
        <v>0</v>
      </c>
      <c r="J93" s="228">
        <f>'d3'!J93-'d3-08'!J92</f>
        <v>0</v>
      </c>
      <c r="K93" s="228">
        <f>'d3'!K93-'d3-08'!K92</f>
        <v>0</v>
      </c>
      <c r="L93" s="228">
        <f>'d3'!L93-'d3-08'!L92</f>
        <v>0</v>
      </c>
      <c r="M93" s="228">
        <f>'d3'!M93-'d3-08'!M92</f>
        <v>0</v>
      </c>
      <c r="N93" s="228">
        <f>'d3'!N93-'d3-08'!N92</f>
        <v>0</v>
      </c>
      <c r="O93" s="228">
        <f>'d3'!O93-'d3-08'!O92</f>
        <v>0</v>
      </c>
      <c r="P93" s="228">
        <f>'d3'!P93-'d3-08'!P92</f>
        <v>44000</v>
      </c>
      <c r="R93" s="335" t="b">
        <f>K93='d5'!J110+'d5'!J111</f>
        <v>0</v>
      </c>
    </row>
    <row r="94" spans="1:18" ht="48" thickTop="1" thickBot="1" x14ac:dyDescent="0.25">
      <c r="A94" s="501" t="s">
        <v>211</v>
      </c>
      <c r="B94" s="501" t="s">
        <v>212</v>
      </c>
      <c r="C94" s="501" t="s">
        <v>214</v>
      </c>
      <c r="D94" s="501" t="s">
        <v>215</v>
      </c>
      <c r="E94" s="228">
        <f>'d3'!E94-'d3-08'!E93</f>
        <v>0</v>
      </c>
      <c r="F94" s="228">
        <f>'d3'!F94-'d3-08'!F93</f>
        <v>0</v>
      </c>
      <c r="G94" s="228">
        <f>'d3'!G94-'d3-08'!G93</f>
        <v>0</v>
      </c>
      <c r="H94" s="228">
        <f>'d3'!H94-'d3-08'!H93</f>
        <v>0</v>
      </c>
      <c r="I94" s="228">
        <f>'d3'!I94-'d3-08'!I93</f>
        <v>0</v>
      </c>
      <c r="J94" s="228">
        <f>'d3'!J94-'d3-08'!J93</f>
        <v>0</v>
      </c>
      <c r="K94" s="228">
        <f>'d3'!K94-'d3-08'!K93</f>
        <v>0</v>
      </c>
      <c r="L94" s="228">
        <f>'d3'!L94-'d3-08'!L93</f>
        <v>0</v>
      </c>
      <c r="M94" s="228">
        <f>'d3'!M94-'d3-08'!M93</f>
        <v>0</v>
      </c>
      <c r="N94" s="228">
        <f>'d3'!N94-'d3-08'!N93</f>
        <v>0</v>
      </c>
      <c r="O94" s="228">
        <f>'d3'!O94-'d3-08'!O93</f>
        <v>0</v>
      </c>
      <c r="P94" s="228">
        <f>'d3'!P94-'d3-08'!P93</f>
        <v>0</v>
      </c>
      <c r="R94" s="335"/>
    </row>
    <row r="95" spans="1:18" ht="93" thickTop="1" thickBot="1" x14ac:dyDescent="0.25">
      <c r="A95" s="501" t="s">
        <v>216</v>
      </c>
      <c r="B95" s="501" t="s">
        <v>217</v>
      </c>
      <c r="C95" s="501" t="s">
        <v>218</v>
      </c>
      <c r="D95" s="501" t="s">
        <v>219</v>
      </c>
      <c r="E95" s="228">
        <f>'d3'!E95-'d3-08'!E94</f>
        <v>172700</v>
      </c>
      <c r="F95" s="228">
        <f>'d3'!F95-'d3-08'!F94</f>
        <v>172700</v>
      </c>
      <c r="G95" s="228">
        <f>'d3'!G95-'d3-08'!G94</f>
        <v>200700</v>
      </c>
      <c r="H95" s="228">
        <f>'d3'!H95-'d3-08'!H94</f>
        <v>-28000</v>
      </c>
      <c r="I95" s="228">
        <f>'d3'!I95-'d3-08'!I94</f>
        <v>0</v>
      </c>
      <c r="J95" s="228">
        <f>'d3'!J95-'d3-08'!J94</f>
        <v>0</v>
      </c>
      <c r="K95" s="228">
        <f>'d3'!K95-'d3-08'!K94</f>
        <v>0</v>
      </c>
      <c r="L95" s="228">
        <f>'d3'!L95-'d3-08'!L94</f>
        <v>0</v>
      </c>
      <c r="M95" s="228">
        <f>'d3'!M95-'d3-08'!M94</f>
        <v>0</v>
      </c>
      <c r="N95" s="228">
        <f>'d3'!N95-'d3-08'!N94</f>
        <v>0</v>
      </c>
      <c r="O95" s="228">
        <f>'d3'!O95-'d3-08'!O94</f>
        <v>0</v>
      </c>
      <c r="P95" s="228">
        <f>'d3'!P95-'d3-08'!P94</f>
        <v>172700</v>
      </c>
      <c r="R95" s="335" t="b">
        <f>K95='d5'!J112</f>
        <v>0</v>
      </c>
    </row>
    <row r="96" spans="1:18" ht="93" thickTop="1" thickBot="1" x14ac:dyDescent="0.25">
      <c r="A96" s="501" t="s">
        <v>220</v>
      </c>
      <c r="B96" s="501" t="s">
        <v>221</v>
      </c>
      <c r="C96" s="501" t="s">
        <v>218</v>
      </c>
      <c r="D96" s="501" t="s">
        <v>630</v>
      </c>
      <c r="E96" s="228">
        <f>'d3'!E96-'d3-08'!E95</f>
        <v>153300</v>
      </c>
      <c r="F96" s="228">
        <f>'d3'!F96-'d3-08'!F95</f>
        <v>153300</v>
      </c>
      <c r="G96" s="228">
        <f>'d3'!G96-'d3-08'!G95</f>
        <v>158300</v>
      </c>
      <c r="H96" s="228">
        <f>'d3'!H96-'d3-08'!H95</f>
        <v>-38000</v>
      </c>
      <c r="I96" s="228">
        <f>'d3'!I96-'d3-08'!I95</f>
        <v>0</v>
      </c>
      <c r="J96" s="228">
        <f>'d3'!J96-'d3-08'!J95</f>
        <v>600000</v>
      </c>
      <c r="K96" s="228">
        <f>'d3'!K96-'d3-08'!K95</f>
        <v>600000</v>
      </c>
      <c r="L96" s="228">
        <f>'d3'!L96-'d3-08'!L95</f>
        <v>0</v>
      </c>
      <c r="M96" s="228">
        <f>'d3'!M96-'d3-08'!M95</f>
        <v>0</v>
      </c>
      <c r="N96" s="228">
        <f>'d3'!N96-'d3-08'!N95</f>
        <v>0</v>
      </c>
      <c r="O96" s="228">
        <f>'d3'!O96-'d3-08'!O95</f>
        <v>600000</v>
      </c>
      <c r="P96" s="228">
        <f>'d3'!P96-'d3-08'!P95</f>
        <v>753300</v>
      </c>
      <c r="R96" s="335" t="b">
        <f>K96='d5'!J113+'d5'!J114</f>
        <v>0</v>
      </c>
    </row>
    <row r="97" spans="1:18" ht="184.5" thickTop="1" thickBot="1" x14ac:dyDescent="0.25">
      <c r="A97" s="501" t="s">
        <v>222</v>
      </c>
      <c r="B97" s="501" t="s">
        <v>213</v>
      </c>
      <c r="C97" s="501" t="s">
        <v>223</v>
      </c>
      <c r="D97" s="501" t="s">
        <v>224</v>
      </c>
      <c r="E97" s="228">
        <f>'d3'!E97-'d3-08'!E96</f>
        <v>84965</v>
      </c>
      <c r="F97" s="228">
        <f>'d3'!F97-'d3-08'!F96</f>
        <v>84965</v>
      </c>
      <c r="G97" s="228">
        <f>'d3'!G97-'d3-08'!G96</f>
        <v>135500</v>
      </c>
      <c r="H97" s="228">
        <f>'d3'!H97-'d3-08'!H96</f>
        <v>-80000</v>
      </c>
      <c r="I97" s="228">
        <f>'d3'!I97-'d3-08'!I96</f>
        <v>0</v>
      </c>
      <c r="J97" s="228">
        <f>'d3'!J97-'d3-08'!J96</f>
        <v>0</v>
      </c>
      <c r="K97" s="228">
        <f>'d3'!K97-'d3-08'!K96</f>
        <v>0</v>
      </c>
      <c r="L97" s="228">
        <f>'d3'!L97-'d3-08'!L96</f>
        <v>0</v>
      </c>
      <c r="M97" s="228">
        <f>'d3'!M97-'d3-08'!M96</f>
        <v>0</v>
      </c>
      <c r="N97" s="228">
        <f>'d3'!N97-'d3-08'!N96</f>
        <v>0</v>
      </c>
      <c r="O97" s="228">
        <f>'d3'!O97-'d3-08'!O96</f>
        <v>0</v>
      </c>
      <c r="P97" s="228">
        <f>'d3'!P97-'d3-08'!P96</f>
        <v>84965</v>
      </c>
      <c r="R97" s="335" t="b">
        <f>K97='d5'!J115</f>
        <v>0</v>
      </c>
    </row>
    <row r="98" spans="1:18" ht="138.75" thickTop="1" thickBot="1" x14ac:dyDescent="0.25">
      <c r="A98" s="501" t="s">
        <v>405</v>
      </c>
      <c r="B98" s="501" t="s">
        <v>406</v>
      </c>
      <c r="C98" s="501" t="s">
        <v>227</v>
      </c>
      <c r="D98" s="501" t="s">
        <v>631</v>
      </c>
      <c r="E98" s="228">
        <f>'d3'!E98-'d3-08'!E97</f>
        <v>333422</v>
      </c>
      <c r="F98" s="228">
        <f>'d3'!F98-'d3-08'!F97</f>
        <v>333422</v>
      </c>
      <c r="G98" s="228">
        <f>'d3'!G98-'d3-08'!G97</f>
        <v>252110</v>
      </c>
      <c r="H98" s="228">
        <f>'d3'!H98-'d3-08'!H97</f>
        <v>0</v>
      </c>
      <c r="I98" s="228">
        <f>'d3'!I98-'d3-08'!I97</f>
        <v>0</v>
      </c>
      <c r="J98" s="228">
        <f>'d3'!J98-'d3-08'!J97</f>
        <v>0</v>
      </c>
      <c r="K98" s="228">
        <f>'d3'!K98-'d3-08'!K97</f>
        <v>0</v>
      </c>
      <c r="L98" s="228">
        <f>'d3'!L98-'d3-08'!L97</f>
        <v>0</v>
      </c>
      <c r="M98" s="228">
        <f>'d3'!M98-'d3-08'!M97</f>
        <v>0</v>
      </c>
      <c r="N98" s="228">
        <f>'d3'!N98-'d3-08'!N97</f>
        <v>0</v>
      </c>
      <c r="O98" s="228">
        <f>'d3'!O98-'d3-08'!O97</f>
        <v>0</v>
      </c>
      <c r="P98" s="228">
        <f>'d3'!P98-'d3-08'!P97</f>
        <v>333422</v>
      </c>
      <c r="R98" s="335"/>
    </row>
    <row r="99" spans="1:18" ht="93" thickTop="1" thickBot="1" x14ac:dyDescent="0.25">
      <c r="A99" s="501" t="s">
        <v>407</v>
      </c>
      <c r="B99" s="501" t="s">
        <v>408</v>
      </c>
      <c r="C99" s="501" t="s">
        <v>227</v>
      </c>
      <c r="D99" s="501" t="s">
        <v>632</v>
      </c>
      <c r="E99" s="228">
        <f>'d3'!E99-'d3-08'!E98</f>
        <v>-2583400</v>
      </c>
      <c r="F99" s="228">
        <f>'d3'!F99-'d3-08'!F98</f>
        <v>-2583400</v>
      </c>
      <c r="G99" s="228">
        <f>'d3'!G99-'d3-08'!G98</f>
        <v>0</v>
      </c>
      <c r="H99" s="228">
        <f>'d3'!H99-'d3-08'!H98</f>
        <v>0</v>
      </c>
      <c r="I99" s="228">
        <f>'d3'!I99-'d3-08'!I98</f>
        <v>0</v>
      </c>
      <c r="J99" s="228">
        <f>'d3'!J99-'d3-08'!J98</f>
        <v>0</v>
      </c>
      <c r="K99" s="228">
        <f>'d3'!K99-'d3-08'!K98</f>
        <v>0</v>
      </c>
      <c r="L99" s="228">
        <f>'d3'!L99-'d3-08'!L98</f>
        <v>0</v>
      </c>
      <c r="M99" s="228">
        <f>'d3'!M99-'d3-08'!M98</f>
        <v>0</v>
      </c>
      <c r="N99" s="228">
        <f>'d3'!N99-'d3-08'!N98</f>
        <v>0</v>
      </c>
      <c r="O99" s="228">
        <f>'d3'!O99-'d3-08'!O98</f>
        <v>0</v>
      </c>
      <c r="P99" s="228">
        <f>'d3'!P99-'d3-08'!P98</f>
        <v>-2583400</v>
      </c>
      <c r="R99" s="335"/>
    </row>
    <row r="100" spans="1:18" ht="136.5" thickTop="1" thickBot="1" x14ac:dyDescent="0.25">
      <c r="A100" s="451" t="s">
        <v>26</v>
      </c>
      <c r="B100" s="451"/>
      <c r="C100" s="451"/>
      <c r="D100" s="452" t="s">
        <v>27</v>
      </c>
      <c r="E100" s="453">
        <f>E101</f>
        <v>3424906</v>
      </c>
      <c r="F100" s="454">
        <f t="shared" ref="F100:G100" si="33">F101</f>
        <v>3424906</v>
      </c>
      <c r="G100" s="454">
        <f t="shared" si="33"/>
        <v>2148915</v>
      </c>
      <c r="H100" s="454">
        <f>H101</f>
        <v>-39060</v>
      </c>
      <c r="I100" s="453">
        <f t="shared" ref="I100" si="34">I101</f>
        <v>0</v>
      </c>
      <c r="J100" s="453">
        <f>J101</f>
        <v>124421</v>
      </c>
      <c r="K100" s="454">
        <f>K101</f>
        <v>124421</v>
      </c>
      <c r="L100" s="454">
        <f>L101</f>
        <v>-10500</v>
      </c>
      <c r="M100" s="454">
        <f t="shared" ref="M100" si="35">M101</f>
        <v>38000</v>
      </c>
      <c r="N100" s="453">
        <f>N101</f>
        <v>560</v>
      </c>
      <c r="O100" s="453">
        <f>O101</f>
        <v>134921</v>
      </c>
      <c r="P100" s="454">
        <f t="shared" ref="P100" si="36">P101</f>
        <v>3549327</v>
      </c>
    </row>
    <row r="101" spans="1:18" ht="136.5" thickTop="1" thickBot="1" x14ac:dyDescent="0.25">
      <c r="A101" s="455" t="s">
        <v>25</v>
      </c>
      <c r="B101" s="455"/>
      <c r="C101" s="455"/>
      <c r="D101" s="456" t="s">
        <v>43</v>
      </c>
      <c r="E101" s="457">
        <f>SUM(E102:E114)</f>
        <v>3424906</v>
      </c>
      <c r="F101" s="457">
        <f>SUM(F102:F114)</f>
        <v>3424906</v>
      </c>
      <c r="G101" s="457">
        <f>SUM(G102:G114)</f>
        <v>2148915</v>
      </c>
      <c r="H101" s="457">
        <f>SUM(H102:H114)</f>
        <v>-39060</v>
      </c>
      <c r="I101" s="457">
        <f>SUM(I102:I114)</f>
        <v>0</v>
      </c>
      <c r="J101" s="457">
        <f>L101+O101</f>
        <v>124421</v>
      </c>
      <c r="K101" s="457">
        <f>SUM(K102:K114)</f>
        <v>124421</v>
      </c>
      <c r="L101" s="457">
        <f>SUM(L102:L114)</f>
        <v>-10500</v>
      </c>
      <c r="M101" s="457">
        <f>SUM(M102:M114)</f>
        <v>38000</v>
      </c>
      <c r="N101" s="457">
        <f>SUM(N102:N114)</f>
        <v>560</v>
      </c>
      <c r="O101" s="457">
        <f>SUM(O102:O114)</f>
        <v>134921</v>
      </c>
      <c r="P101" s="458">
        <f>E101+J101</f>
        <v>3549327</v>
      </c>
      <c r="Q101" s="334" t="b">
        <f>P101=P102+P103+P104+P105+P106+P107+P108+P109+P110+P112+P114+P113+P111</f>
        <v>1</v>
      </c>
      <c r="R101" s="335" t="b">
        <f>K101='d5'!J117</f>
        <v>0</v>
      </c>
    </row>
    <row r="102" spans="1:18" ht="138.75" thickTop="1" thickBot="1" x14ac:dyDescent="0.25">
      <c r="A102" s="501" t="s">
        <v>228</v>
      </c>
      <c r="B102" s="501" t="s">
        <v>229</v>
      </c>
      <c r="C102" s="501" t="s">
        <v>230</v>
      </c>
      <c r="D102" s="501" t="s">
        <v>231</v>
      </c>
      <c r="E102" s="228">
        <f>'d3'!E102-'d3-08'!E101</f>
        <v>0</v>
      </c>
      <c r="F102" s="228">
        <f>'d3'!F102-'d3-08'!F101</f>
        <v>0</v>
      </c>
      <c r="G102" s="228">
        <f>'d3'!G102-'d3-08'!G101</f>
        <v>0</v>
      </c>
      <c r="H102" s="228">
        <f>'d3'!H102-'d3-08'!H101</f>
        <v>0</v>
      </c>
      <c r="I102" s="228">
        <f>'d3'!I102-'d3-08'!I101</f>
        <v>0</v>
      </c>
      <c r="J102" s="228">
        <f>'d3'!J102-'d3-08'!J101</f>
        <v>0</v>
      </c>
      <c r="K102" s="228">
        <f>'d3'!K102-'d3-08'!K101</f>
        <v>0</v>
      </c>
      <c r="L102" s="228">
        <f>'d3'!L102-'d3-08'!L101</f>
        <v>0</v>
      </c>
      <c r="M102" s="228">
        <f>'d3'!M102-'d3-08'!M101</f>
        <v>0</v>
      </c>
      <c r="N102" s="228">
        <f>'d3'!N102-'d3-08'!N101</f>
        <v>0</v>
      </c>
      <c r="O102" s="228">
        <f>'d3'!O102-'d3-08'!O101</f>
        <v>0</v>
      </c>
      <c r="P102" s="228">
        <f>'d3'!P102-'d3-08'!P101</f>
        <v>0</v>
      </c>
      <c r="Q102" s="335"/>
      <c r="R102" s="335" t="b">
        <f>K102='d5'!J119</f>
        <v>0</v>
      </c>
    </row>
    <row r="103" spans="1:18" ht="93" thickTop="1" thickBot="1" x14ac:dyDescent="0.25">
      <c r="A103" s="501" t="s">
        <v>235</v>
      </c>
      <c r="B103" s="501" t="s">
        <v>236</v>
      </c>
      <c r="C103" s="501" t="s">
        <v>230</v>
      </c>
      <c r="D103" s="501" t="s">
        <v>12</v>
      </c>
      <c r="E103" s="228">
        <f>'d3'!E103-'d3-08'!E102</f>
        <v>102200</v>
      </c>
      <c r="F103" s="228">
        <f>'d3'!F103-'d3-08'!F102</f>
        <v>102200</v>
      </c>
      <c r="G103" s="228">
        <f>'d3'!G103-'d3-08'!G102</f>
        <v>97200</v>
      </c>
      <c r="H103" s="228">
        <f>'d3'!H103-'d3-08'!H102</f>
        <v>-10000</v>
      </c>
      <c r="I103" s="228">
        <f>'d3'!I103-'d3-08'!I102</f>
        <v>0</v>
      </c>
      <c r="J103" s="228">
        <f>'d3'!J103-'d3-08'!J102</f>
        <v>0</v>
      </c>
      <c r="K103" s="228">
        <f>'d3'!K103-'d3-08'!K102</f>
        <v>0</v>
      </c>
      <c r="L103" s="228">
        <f>'d3'!L103-'d3-08'!L102</f>
        <v>0</v>
      </c>
      <c r="M103" s="228">
        <f>'d3'!M103-'d3-08'!M102</f>
        <v>0</v>
      </c>
      <c r="N103" s="228">
        <f>'d3'!N103-'d3-08'!N102</f>
        <v>560</v>
      </c>
      <c r="O103" s="228">
        <f>'d3'!O103-'d3-08'!O102</f>
        <v>0</v>
      </c>
      <c r="P103" s="228">
        <f>'d3'!P103-'d3-08'!P102</f>
        <v>102200</v>
      </c>
      <c r="R103" s="335" t="b">
        <f>K103='d5'!J120</f>
        <v>0</v>
      </c>
    </row>
    <row r="104" spans="1:18" ht="93" thickTop="1" thickBot="1" x14ac:dyDescent="0.25">
      <c r="A104" s="501" t="s">
        <v>429</v>
      </c>
      <c r="B104" s="501" t="s">
        <v>430</v>
      </c>
      <c r="C104" s="501" t="s">
        <v>230</v>
      </c>
      <c r="D104" s="501" t="s">
        <v>431</v>
      </c>
      <c r="E104" s="228">
        <f>'d3'!E104-'d3-08'!E103</f>
        <v>78416</v>
      </c>
      <c r="F104" s="228">
        <f>'d3'!F104-'d3-08'!F103</f>
        <v>78416</v>
      </c>
      <c r="G104" s="228">
        <f>'d3'!G104-'d3-08'!G103</f>
        <v>70217</v>
      </c>
      <c r="H104" s="228">
        <f>'d3'!H104-'d3-08'!H103</f>
        <v>0</v>
      </c>
      <c r="I104" s="228">
        <f>'d3'!I104-'d3-08'!I103</f>
        <v>0</v>
      </c>
      <c r="J104" s="228">
        <f>'d3'!J104-'d3-08'!J103</f>
        <v>0</v>
      </c>
      <c r="K104" s="228">
        <f>'d3'!K104-'d3-08'!K103</f>
        <v>0</v>
      </c>
      <c r="L104" s="228">
        <f>'d3'!L104-'d3-08'!L103</f>
        <v>0</v>
      </c>
      <c r="M104" s="228">
        <f>'d3'!M104-'d3-08'!M103</f>
        <v>0</v>
      </c>
      <c r="N104" s="228">
        <f>'d3'!N104-'d3-08'!N103</f>
        <v>0</v>
      </c>
      <c r="O104" s="228">
        <f>'d3'!O104-'d3-08'!O103</f>
        <v>0</v>
      </c>
      <c r="P104" s="228">
        <f>'d3'!P104-'d3-08'!P103</f>
        <v>78416</v>
      </c>
      <c r="R104" s="335" t="b">
        <f>K104='d5'!J121+'d5'!J122</f>
        <v>0</v>
      </c>
    </row>
    <row r="105" spans="1:18" ht="138.75" thickTop="1" thickBot="1" x14ac:dyDescent="0.25">
      <c r="A105" s="501" t="s">
        <v>54</v>
      </c>
      <c r="B105" s="501" t="s">
        <v>232</v>
      </c>
      <c r="C105" s="501" t="s">
        <v>241</v>
      </c>
      <c r="D105" s="501" t="s">
        <v>55</v>
      </c>
      <c r="E105" s="228">
        <f>'d3'!E105-'d3-08'!E104</f>
        <v>780000</v>
      </c>
      <c r="F105" s="228">
        <f>'d3'!F105-'d3-08'!F104</f>
        <v>780000</v>
      </c>
      <c r="G105" s="228">
        <f>'d3'!G105-'d3-08'!G104</f>
        <v>0</v>
      </c>
      <c r="H105" s="228">
        <f>'d3'!H105-'d3-08'!H104</f>
        <v>0</v>
      </c>
      <c r="I105" s="228">
        <f>'d3'!I105-'d3-08'!I104</f>
        <v>0</v>
      </c>
      <c r="J105" s="228">
        <f>'d3'!J105-'d3-08'!J104</f>
        <v>0</v>
      </c>
      <c r="K105" s="228">
        <f>'d3'!K105-'d3-08'!K104</f>
        <v>0</v>
      </c>
      <c r="L105" s="228">
        <f>'d3'!L105-'d3-08'!L104</f>
        <v>0</v>
      </c>
      <c r="M105" s="228">
        <f>'d3'!M105-'d3-08'!M104</f>
        <v>0</v>
      </c>
      <c r="N105" s="228">
        <f>'d3'!N105-'d3-08'!N104</f>
        <v>0</v>
      </c>
      <c r="O105" s="228">
        <f>'d3'!O105-'d3-08'!O104</f>
        <v>0</v>
      </c>
      <c r="P105" s="228">
        <f>'d3'!P105-'d3-08'!P104</f>
        <v>780000</v>
      </c>
      <c r="R105" s="335"/>
    </row>
    <row r="106" spans="1:18" ht="138.75" thickTop="1" thickBot="1" x14ac:dyDescent="0.25">
      <c r="A106" s="501" t="s">
        <v>56</v>
      </c>
      <c r="B106" s="501" t="s">
        <v>233</v>
      </c>
      <c r="C106" s="501" t="s">
        <v>241</v>
      </c>
      <c r="D106" s="501" t="s">
        <v>5</v>
      </c>
      <c r="E106" s="228">
        <f>'d3'!E106-'d3-08'!E105</f>
        <v>0</v>
      </c>
      <c r="F106" s="228">
        <f>'d3'!F106-'d3-08'!F105</f>
        <v>0</v>
      </c>
      <c r="G106" s="228">
        <f>'d3'!G106-'d3-08'!G105</f>
        <v>0</v>
      </c>
      <c r="H106" s="228">
        <f>'d3'!H106-'d3-08'!H105</f>
        <v>0</v>
      </c>
      <c r="I106" s="228">
        <f>'d3'!I106-'d3-08'!I105</f>
        <v>0</v>
      </c>
      <c r="J106" s="228">
        <f>'d3'!J106-'d3-08'!J105</f>
        <v>0</v>
      </c>
      <c r="K106" s="228">
        <f>'d3'!K106-'d3-08'!K105</f>
        <v>0</v>
      </c>
      <c r="L106" s="228">
        <f>'d3'!L106-'d3-08'!L105</f>
        <v>0</v>
      </c>
      <c r="M106" s="228">
        <f>'d3'!M106-'d3-08'!M105</f>
        <v>0</v>
      </c>
      <c r="N106" s="228">
        <f>'d3'!N106-'d3-08'!N105</f>
        <v>0</v>
      </c>
      <c r="O106" s="228">
        <f>'d3'!O106-'d3-08'!O105</f>
        <v>0</v>
      </c>
      <c r="P106" s="228">
        <f>'d3'!P106-'d3-08'!P105</f>
        <v>0</v>
      </c>
      <c r="R106" s="335"/>
    </row>
    <row r="107" spans="1:18" ht="184.5" thickTop="1" thickBot="1" x14ac:dyDescent="0.25">
      <c r="A107" s="501" t="s">
        <v>57</v>
      </c>
      <c r="B107" s="501" t="s">
        <v>234</v>
      </c>
      <c r="C107" s="501" t="s">
        <v>241</v>
      </c>
      <c r="D107" s="501" t="s">
        <v>426</v>
      </c>
      <c r="E107" s="228">
        <f>'d3'!E107-'d3-08'!E106</f>
        <v>0</v>
      </c>
      <c r="F107" s="228">
        <f>'d3'!F107-'d3-08'!F106</f>
        <v>0</v>
      </c>
      <c r="G107" s="228">
        <f>'d3'!G107-'d3-08'!G106</f>
        <v>0</v>
      </c>
      <c r="H107" s="228">
        <f>'d3'!H107-'d3-08'!H106</f>
        <v>0</v>
      </c>
      <c r="I107" s="228">
        <f>'d3'!I107-'d3-08'!I106</f>
        <v>0</v>
      </c>
      <c r="J107" s="228">
        <f>'d3'!J107-'d3-08'!J106</f>
        <v>0</v>
      </c>
      <c r="K107" s="228">
        <f>'d3'!K107-'d3-08'!K106</f>
        <v>0</v>
      </c>
      <c r="L107" s="228">
        <f>'d3'!L107-'d3-08'!L106</f>
        <v>0</v>
      </c>
      <c r="M107" s="228">
        <f>'d3'!M107-'d3-08'!M106</f>
        <v>0</v>
      </c>
      <c r="N107" s="228">
        <f>'d3'!N107-'d3-08'!N106</f>
        <v>0</v>
      </c>
      <c r="O107" s="228">
        <f>'d3'!O107-'d3-08'!O106</f>
        <v>0</v>
      </c>
      <c r="P107" s="228">
        <f>'d3'!P107-'d3-08'!P106</f>
        <v>0</v>
      </c>
      <c r="R107" s="335"/>
    </row>
    <row r="108" spans="1:18" ht="184.5" thickTop="1" thickBot="1" x14ac:dyDescent="0.25">
      <c r="A108" s="501" t="s">
        <v>34</v>
      </c>
      <c r="B108" s="501" t="s">
        <v>238</v>
      </c>
      <c r="C108" s="501" t="s">
        <v>241</v>
      </c>
      <c r="D108" s="501" t="s">
        <v>58</v>
      </c>
      <c r="E108" s="228">
        <f>'d3'!E108-'d3-08'!E107</f>
        <v>2334421</v>
      </c>
      <c r="F108" s="228">
        <f>'d3'!F108-'d3-08'!F107</f>
        <v>2334421</v>
      </c>
      <c r="G108" s="228">
        <f>'d3'!G108-'d3-08'!G107</f>
        <v>1981498</v>
      </c>
      <c r="H108" s="228">
        <f>'d3'!H108-'d3-08'!H107</f>
        <v>-29060</v>
      </c>
      <c r="I108" s="228">
        <f>'d3'!I108-'d3-08'!I107</f>
        <v>0</v>
      </c>
      <c r="J108" s="228">
        <f>'d3'!J108-'d3-08'!J107</f>
        <v>124421</v>
      </c>
      <c r="K108" s="228">
        <f>'d3'!K108-'d3-08'!K107</f>
        <v>124421</v>
      </c>
      <c r="L108" s="228">
        <f>'d3'!L108-'d3-08'!L107</f>
        <v>-10500</v>
      </c>
      <c r="M108" s="228">
        <f>'d3'!M108-'d3-08'!M107</f>
        <v>38000</v>
      </c>
      <c r="N108" s="228">
        <f>'d3'!N108-'d3-08'!N107</f>
        <v>0</v>
      </c>
      <c r="O108" s="228">
        <f>'d3'!O108-'d3-08'!O107</f>
        <v>134921</v>
      </c>
      <c r="P108" s="228">
        <f>'d3'!P108-'d3-08'!P107</f>
        <v>2458842</v>
      </c>
      <c r="R108" s="335" t="b">
        <f>K108='d5'!J126+'d5'!J125+'d5'!J124+'d5'!J123</f>
        <v>0</v>
      </c>
    </row>
    <row r="109" spans="1:18" ht="184.5" thickTop="1" thickBot="1" x14ac:dyDescent="0.25">
      <c r="A109" s="501" t="s">
        <v>35</v>
      </c>
      <c r="B109" s="501" t="s">
        <v>239</v>
      </c>
      <c r="C109" s="501" t="s">
        <v>241</v>
      </c>
      <c r="D109" s="501" t="s">
        <v>59</v>
      </c>
      <c r="E109" s="228">
        <f>'d3'!E109-'d3-08'!E108</f>
        <v>409869</v>
      </c>
      <c r="F109" s="228">
        <f>'d3'!F109-'d3-08'!F108</f>
        <v>409869</v>
      </c>
      <c r="G109" s="228">
        <f>'d3'!G109-'d3-08'!G108</f>
        <v>0</v>
      </c>
      <c r="H109" s="228">
        <f>'d3'!H109-'d3-08'!H108</f>
        <v>0</v>
      </c>
      <c r="I109" s="228">
        <f>'d3'!I109-'d3-08'!I108</f>
        <v>0</v>
      </c>
      <c r="J109" s="228">
        <f>'d3'!J109-'d3-08'!J108</f>
        <v>0</v>
      </c>
      <c r="K109" s="228">
        <f>'d3'!K109-'d3-08'!K108</f>
        <v>0</v>
      </c>
      <c r="L109" s="228">
        <f>'d3'!L109-'d3-08'!L108</f>
        <v>0</v>
      </c>
      <c r="M109" s="228">
        <f>'d3'!M109-'d3-08'!M108</f>
        <v>0</v>
      </c>
      <c r="N109" s="228">
        <f>'d3'!N109-'d3-08'!N108</f>
        <v>0</v>
      </c>
      <c r="O109" s="228">
        <f>'d3'!O109-'d3-08'!O108</f>
        <v>0</v>
      </c>
      <c r="P109" s="228">
        <f>'d3'!P109-'d3-08'!P108</f>
        <v>409869</v>
      </c>
      <c r="R109" s="335" t="b">
        <f>K109='d5'!J128+'d5'!J127</f>
        <v>0</v>
      </c>
    </row>
    <row r="110" spans="1:18" ht="276" thickTop="1" thickBot="1" x14ac:dyDescent="0.25">
      <c r="A110" s="225" t="s">
        <v>36</v>
      </c>
      <c r="B110" s="225" t="s">
        <v>240</v>
      </c>
      <c r="C110" s="225" t="s">
        <v>241</v>
      </c>
      <c r="D110" s="501" t="s">
        <v>37</v>
      </c>
      <c r="E110" s="228">
        <f>'d3'!E110-'d3-08'!E109</f>
        <v>-280000</v>
      </c>
      <c r="F110" s="228">
        <f>'d3'!F110-'d3-08'!F109</f>
        <v>-280000</v>
      </c>
      <c r="G110" s="228">
        <f>'d3'!G110-'d3-08'!G109</f>
        <v>0</v>
      </c>
      <c r="H110" s="228">
        <f>'d3'!H110-'d3-08'!H109</f>
        <v>0</v>
      </c>
      <c r="I110" s="228">
        <f>'d3'!I110-'d3-08'!I109</f>
        <v>0</v>
      </c>
      <c r="J110" s="228">
        <f>'d3'!J110-'d3-08'!J109</f>
        <v>0</v>
      </c>
      <c r="K110" s="228">
        <f>'d3'!K110-'d3-08'!K109</f>
        <v>0</v>
      </c>
      <c r="L110" s="228">
        <f>'d3'!L110-'d3-08'!L109</f>
        <v>0</v>
      </c>
      <c r="M110" s="228">
        <f>'d3'!M110-'d3-08'!M109</f>
        <v>0</v>
      </c>
      <c r="N110" s="228">
        <f>'d3'!N110-'d3-08'!N109</f>
        <v>0</v>
      </c>
      <c r="O110" s="228">
        <f>'d3'!O110-'d3-08'!O109</f>
        <v>0</v>
      </c>
      <c r="P110" s="228">
        <f>'d3'!P110-'d3-08'!P109</f>
        <v>-280000</v>
      </c>
      <c r="R110" s="335"/>
    </row>
    <row r="111" spans="1:18" ht="184.5" hidden="1" thickTop="1" thickBot="1" x14ac:dyDescent="0.25">
      <c r="A111" s="423" t="s">
        <v>730</v>
      </c>
      <c r="B111" s="423" t="s">
        <v>728</v>
      </c>
      <c r="C111" s="423" t="s">
        <v>241</v>
      </c>
      <c r="D111" s="406" t="s">
        <v>729</v>
      </c>
      <c r="E111" s="422"/>
      <c r="F111" s="408"/>
      <c r="G111" s="410"/>
      <c r="H111" s="410"/>
      <c r="I111" s="410"/>
      <c r="J111" s="502"/>
      <c r="K111" s="228"/>
      <c r="L111" s="228"/>
      <c r="M111" s="228"/>
      <c r="N111" s="228"/>
      <c r="O111" s="503"/>
      <c r="P111" s="502"/>
      <c r="R111" s="335"/>
    </row>
    <row r="112" spans="1:18" ht="93" thickTop="1" thickBot="1" x14ac:dyDescent="0.25">
      <c r="A112" s="225" t="s">
        <v>38</v>
      </c>
      <c r="B112" s="225" t="s">
        <v>242</v>
      </c>
      <c r="C112" s="225" t="s">
        <v>241</v>
      </c>
      <c r="D112" s="501" t="s">
        <v>39</v>
      </c>
      <c r="E112" s="228">
        <f>'d3'!E112-'d3-08'!E111</f>
        <v>0</v>
      </c>
      <c r="F112" s="228">
        <f>'d3'!F112-'d3-08'!F111</f>
        <v>0</v>
      </c>
      <c r="G112" s="228">
        <f>'d3'!G112-'d3-08'!G111</f>
        <v>0</v>
      </c>
      <c r="H112" s="228">
        <f>'d3'!H112-'d3-08'!H111</f>
        <v>0</v>
      </c>
      <c r="I112" s="228">
        <f>'d3'!I112-'d3-08'!I111</f>
        <v>0</v>
      </c>
      <c r="J112" s="228">
        <f>'d3'!J112-'d3-08'!J111</f>
        <v>0</v>
      </c>
      <c r="K112" s="228">
        <f>'d3'!K112-'d3-08'!K111</f>
        <v>0</v>
      </c>
      <c r="L112" s="228">
        <f>'d3'!L112-'d3-08'!L111</f>
        <v>0</v>
      </c>
      <c r="M112" s="228">
        <f>'d3'!M112-'d3-08'!M111</f>
        <v>0</v>
      </c>
      <c r="N112" s="228">
        <f>'d3'!N112-'d3-08'!N111</f>
        <v>0</v>
      </c>
      <c r="O112" s="228">
        <f>'d3'!O112-'d3-08'!O111</f>
        <v>0</v>
      </c>
      <c r="P112" s="228">
        <f>'d3'!P112-'d3-08'!P111</f>
        <v>0</v>
      </c>
      <c r="R112" s="335"/>
    </row>
    <row r="113" spans="1:18" ht="276" thickTop="1" thickBot="1" x14ac:dyDescent="0.25">
      <c r="A113" s="225" t="s">
        <v>417</v>
      </c>
      <c r="B113" s="225" t="s">
        <v>416</v>
      </c>
      <c r="C113" s="225" t="s">
        <v>415</v>
      </c>
      <c r="D113" s="501" t="s">
        <v>414</v>
      </c>
      <c r="E113" s="228">
        <f>'d3'!E113-'d3-08'!E112</f>
        <v>0</v>
      </c>
      <c r="F113" s="228">
        <f>'d3'!F113-'d3-08'!F112</f>
        <v>0</v>
      </c>
      <c r="G113" s="228">
        <f>'d3'!G113-'d3-08'!G112</f>
        <v>0</v>
      </c>
      <c r="H113" s="228">
        <f>'d3'!H113-'d3-08'!H112</f>
        <v>0</v>
      </c>
      <c r="I113" s="228">
        <f>'d3'!I113-'d3-08'!I112</f>
        <v>0</v>
      </c>
      <c r="J113" s="228">
        <f>'d3'!J113-'d3-08'!J112</f>
        <v>0</v>
      </c>
      <c r="K113" s="228">
        <f>'d3'!K113-'d3-08'!K112</f>
        <v>0</v>
      </c>
      <c r="L113" s="228">
        <f>'d3'!L113-'d3-08'!L112</f>
        <v>0</v>
      </c>
      <c r="M113" s="228">
        <f>'d3'!M113-'d3-08'!M112</f>
        <v>0</v>
      </c>
      <c r="N113" s="228">
        <f>'d3'!N113-'d3-08'!N112</f>
        <v>0</v>
      </c>
      <c r="O113" s="228">
        <f>'d3'!O113-'d3-08'!O112</f>
        <v>0</v>
      </c>
      <c r="P113" s="228">
        <f>'d3'!P113-'d3-08'!P112</f>
        <v>0</v>
      </c>
      <c r="R113" s="335"/>
    </row>
    <row r="114" spans="1:18" ht="93" thickTop="1" thickBot="1" x14ac:dyDescent="0.25">
      <c r="A114" s="501" t="s">
        <v>463</v>
      </c>
      <c r="B114" s="501" t="s">
        <v>443</v>
      </c>
      <c r="C114" s="501" t="s">
        <v>53</v>
      </c>
      <c r="D114" s="501" t="s">
        <v>444</v>
      </c>
      <c r="E114" s="228">
        <f>'d3'!E114-'d3-08'!E113</f>
        <v>0</v>
      </c>
      <c r="F114" s="228">
        <f>'d3'!F114-'d3-08'!F113</f>
        <v>0</v>
      </c>
      <c r="G114" s="228">
        <f>'d3'!G114-'d3-08'!G113</f>
        <v>0</v>
      </c>
      <c r="H114" s="228">
        <f>'d3'!H114-'d3-08'!H113</f>
        <v>0</v>
      </c>
      <c r="I114" s="228">
        <f>'d3'!I114-'d3-08'!I113</f>
        <v>0</v>
      </c>
      <c r="J114" s="228">
        <f>'d3'!J114-'d3-08'!J113</f>
        <v>0</v>
      </c>
      <c r="K114" s="228">
        <f>'d3'!K114-'d3-08'!K113</f>
        <v>0</v>
      </c>
      <c r="L114" s="228">
        <f>'d3'!L114-'d3-08'!L113</f>
        <v>0</v>
      </c>
      <c r="M114" s="228">
        <f>'d3'!M114-'d3-08'!M113</f>
        <v>0</v>
      </c>
      <c r="N114" s="228">
        <f>'d3'!N114-'d3-08'!N113</f>
        <v>0</v>
      </c>
      <c r="O114" s="228">
        <f>'d3'!O114-'d3-08'!O113</f>
        <v>0</v>
      </c>
      <c r="P114" s="228">
        <f>'d3'!P114-'d3-08'!P113</f>
        <v>0</v>
      </c>
      <c r="R114" s="335" t="b">
        <f>K114='d5'!J129</f>
        <v>0</v>
      </c>
    </row>
    <row r="115" spans="1:18" ht="181.5" thickTop="1" thickBot="1" x14ac:dyDescent="0.25">
      <c r="A115" s="451" t="s">
        <v>198</v>
      </c>
      <c r="B115" s="451"/>
      <c r="C115" s="451"/>
      <c r="D115" s="452" t="s">
        <v>28</v>
      </c>
      <c r="E115" s="453">
        <f>E116</f>
        <v>3533269</v>
      </c>
      <c r="F115" s="454">
        <f t="shared" ref="F115:G115" si="37">F116</f>
        <v>3533269</v>
      </c>
      <c r="G115" s="454">
        <f t="shared" si="37"/>
        <v>16820</v>
      </c>
      <c r="H115" s="454">
        <f>H116</f>
        <v>0</v>
      </c>
      <c r="I115" s="453">
        <f t="shared" ref="I115" si="38">I116</f>
        <v>0</v>
      </c>
      <c r="J115" s="453">
        <f>J116</f>
        <v>3000653</v>
      </c>
      <c r="K115" s="454">
        <f>K116</f>
        <v>3000653</v>
      </c>
      <c r="L115" s="454">
        <f>L116</f>
        <v>0</v>
      </c>
      <c r="M115" s="454">
        <f t="shared" ref="M115" si="39">M116</f>
        <v>0</v>
      </c>
      <c r="N115" s="453">
        <f>N116</f>
        <v>0</v>
      </c>
      <c r="O115" s="453">
        <f>O116</f>
        <v>3000653</v>
      </c>
      <c r="P115" s="454">
        <f>P116</f>
        <v>6533922</v>
      </c>
    </row>
    <row r="116" spans="1:18" ht="181.5" thickTop="1" thickBot="1" x14ac:dyDescent="0.25">
      <c r="A116" s="455" t="s">
        <v>199</v>
      </c>
      <c r="B116" s="455"/>
      <c r="C116" s="455"/>
      <c r="D116" s="456" t="s">
        <v>48</v>
      </c>
      <c r="E116" s="457">
        <f>SUM(E117:E134)</f>
        <v>3533269</v>
      </c>
      <c r="F116" s="457">
        <f>SUM(F117:F134)</f>
        <v>3533269</v>
      </c>
      <c r="G116" s="457">
        <f>SUM(G117:G134)</f>
        <v>16820</v>
      </c>
      <c r="H116" s="457">
        <f>SUM(H117:H134)</f>
        <v>0</v>
      </c>
      <c r="I116" s="457">
        <f>SUM(I117:I134)</f>
        <v>0</v>
      </c>
      <c r="J116" s="457">
        <f t="shared" ref="J116" si="40">L116+O116</f>
        <v>3000653</v>
      </c>
      <c r="K116" s="457">
        <f>SUM(K117:K134)</f>
        <v>3000653</v>
      </c>
      <c r="L116" s="457">
        <f>SUM(L117:L134)</f>
        <v>0</v>
      </c>
      <c r="M116" s="457">
        <f>SUM(M117:M134)</f>
        <v>0</v>
      </c>
      <c r="N116" s="457">
        <f>SUM(N117:N134)</f>
        <v>0</v>
      </c>
      <c r="O116" s="457">
        <f>SUM(O117:O134)</f>
        <v>3000653</v>
      </c>
      <c r="P116" s="458">
        <f>E116+J116</f>
        <v>6533922</v>
      </c>
      <c r="Q116" s="334" t="b">
        <f>P116=P119+P121+P122+P123+P124+P125+P126+P128+P129+P130+P134+P120+P117+P131+P118+P127+P133</f>
        <v>1</v>
      </c>
      <c r="R116" s="335" t="b">
        <f>K116='d5'!J130</f>
        <v>0</v>
      </c>
    </row>
    <row r="117" spans="1:18" ht="230.25" thickTop="1" thickBot="1" x14ac:dyDescent="0.25">
      <c r="A117" s="501" t="s">
        <v>522</v>
      </c>
      <c r="B117" s="501" t="s">
        <v>286</v>
      </c>
      <c r="C117" s="501" t="s">
        <v>284</v>
      </c>
      <c r="D117" s="501" t="s">
        <v>285</v>
      </c>
      <c r="E117" s="228">
        <f>'d3'!E117-'d3-08'!E116</f>
        <v>0</v>
      </c>
      <c r="F117" s="228">
        <f>'d3'!F117-'d3-08'!F116</f>
        <v>0</v>
      </c>
      <c r="G117" s="228">
        <f>'d3'!G117-'d3-08'!G116</f>
        <v>0</v>
      </c>
      <c r="H117" s="228">
        <f>'d3'!H117-'d3-08'!H116</f>
        <v>0</v>
      </c>
      <c r="I117" s="228">
        <f>'d3'!I117-'d3-08'!I116</f>
        <v>0</v>
      </c>
      <c r="J117" s="228">
        <f>'d3'!J117-'d3-08'!J116</f>
        <v>0</v>
      </c>
      <c r="K117" s="228">
        <f>'d3'!K117-'d3-08'!K116</f>
        <v>0</v>
      </c>
      <c r="L117" s="228">
        <f>'d3'!L117-'d3-08'!L116</f>
        <v>0</v>
      </c>
      <c r="M117" s="228">
        <f>'d3'!M117-'d3-08'!M116</f>
        <v>0</v>
      </c>
      <c r="N117" s="228">
        <f>'d3'!N117-'d3-08'!N116</f>
        <v>0</v>
      </c>
      <c r="O117" s="228">
        <f>'d3'!O117-'d3-08'!O116</f>
        <v>0</v>
      </c>
      <c r="P117" s="228">
        <f>'d3'!P117-'d3-08'!P116</f>
        <v>0</v>
      </c>
      <c r="Q117" s="334"/>
      <c r="R117" s="335" t="b">
        <f>K117='d5'!J132</f>
        <v>0</v>
      </c>
    </row>
    <row r="118" spans="1:18" ht="93" thickTop="1" thickBot="1" x14ac:dyDescent="0.25">
      <c r="A118" s="501" t="s">
        <v>552</v>
      </c>
      <c r="B118" s="501" t="s">
        <v>53</v>
      </c>
      <c r="C118" s="501" t="s">
        <v>52</v>
      </c>
      <c r="D118" s="501" t="s">
        <v>298</v>
      </c>
      <c r="E118" s="228">
        <f>'d3'!E118-'d3-08'!E117</f>
        <v>0</v>
      </c>
      <c r="F118" s="228">
        <f>'d3'!F118-'d3-08'!F117</f>
        <v>0</v>
      </c>
      <c r="G118" s="228">
        <f>'d3'!G118-'d3-08'!G117</f>
        <v>0</v>
      </c>
      <c r="H118" s="228">
        <f>'d3'!H118-'d3-08'!H117</f>
        <v>0</v>
      </c>
      <c r="I118" s="228">
        <f>'d3'!I118-'d3-08'!I117</f>
        <v>0</v>
      </c>
      <c r="J118" s="228">
        <f>'d3'!J118-'d3-08'!J117</f>
        <v>0</v>
      </c>
      <c r="K118" s="228">
        <f>'d3'!K118-'d3-08'!K117</f>
        <v>0</v>
      </c>
      <c r="L118" s="228">
        <f>'d3'!L118-'d3-08'!L117</f>
        <v>0</v>
      </c>
      <c r="M118" s="228">
        <f>'d3'!M118-'d3-08'!M117</f>
        <v>0</v>
      </c>
      <c r="N118" s="228">
        <f>'d3'!N118-'d3-08'!N117</f>
        <v>0</v>
      </c>
      <c r="O118" s="228">
        <f>'d3'!O118-'d3-08'!O117</f>
        <v>0</v>
      </c>
      <c r="P118" s="228">
        <f>'d3'!P118-'d3-08'!P117</f>
        <v>0</v>
      </c>
      <c r="Q118" s="334"/>
      <c r="R118" s="335"/>
    </row>
    <row r="119" spans="1:18" ht="138.75" thickTop="1" thickBot="1" x14ac:dyDescent="0.25">
      <c r="A119" s="501" t="s">
        <v>331</v>
      </c>
      <c r="B119" s="501" t="s">
        <v>332</v>
      </c>
      <c r="C119" s="501" t="s">
        <v>415</v>
      </c>
      <c r="D119" s="501" t="s">
        <v>333</v>
      </c>
      <c r="E119" s="228">
        <f>'d3'!E119-'d3-08'!E118</f>
        <v>500000</v>
      </c>
      <c r="F119" s="228">
        <f>'d3'!F119-'d3-08'!F118</f>
        <v>500000</v>
      </c>
      <c r="G119" s="228">
        <f>'d3'!G119-'d3-08'!G118</f>
        <v>0</v>
      </c>
      <c r="H119" s="228">
        <f>'d3'!H119-'d3-08'!H118</f>
        <v>0</v>
      </c>
      <c r="I119" s="228">
        <f>'d3'!I119-'d3-08'!I118</f>
        <v>0</v>
      </c>
      <c r="J119" s="228">
        <f>'d3'!J119-'d3-08'!J118</f>
        <v>1000000</v>
      </c>
      <c r="K119" s="228">
        <f>'d3'!K119-'d3-08'!K118</f>
        <v>1000000</v>
      </c>
      <c r="L119" s="228">
        <f>'d3'!L119-'d3-08'!L118</f>
        <v>0</v>
      </c>
      <c r="M119" s="228">
        <f>'d3'!M119-'d3-08'!M118</f>
        <v>0</v>
      </c>
      <c r="N119" s="228">
        <f>'d3'!N119-'d3-08'!N118</f>
        <v>0</v>
      </c>
      <c r="O119" s="228">
        <f>'d3'!O119-'d3-08'!O118</f>
        <v>1000000</v>
      </c>
      <c r="P119" s="228">
        <f>'d3'!P119-'d3-08'!P118</f>
        <v>1500000</v>
      </c>
    </row>
    <row r="120" spans="1:18" ht="138.75" thickTop="1" thickBot="1" x14ac:dyDescent="0.25">
      <c r="A120" s="501" t="s">
        <v>464</v>
      </c>
      <c r="B120" s="501" t="s">
        <v>465</v>
      </c>
      <c r="C120" s="501" t="s">
        <v>334</v>
      </c>
      <c r="D120" s="501" t="s">
        <v>466</v>
      </c>
      <c r="E120" s="228">
        <f>'d3'!E120-'d3-08'!E119</f>
        <v>10000000</v>
      </c>
      <c r="F120" s="228">
        <f>'d3'!F120-'d3-08'!F119</f>
        <v>10000000</v>
      </c>
      <c r="G120" s="228">
        <f>'d3'!G120-'d3-08'!G119</f>
        <v>0</v>
      </c>
      <c r="H120" s="228">
        <f>'d3'!H120-'d3-08'!H119</f>
        <v>0</v>
      </c>
      <c r="I120" s="228">
        <f>'d3'!I120-'d3-08'!I119</f>
        <v>0</v>
      </c>
      <c r="J120" s="228">
        <f>'d3'!J120-'d3-08'!J119</f>
        <v>0</v>
      </c>
      <c r="K120" s="228">
        <f>'d3'!K120-'d3-08'!K119</f>
        <v>0</v>
      </c>
      <c r="L120" s="228">
        <f>'d3'!L120-'d3-08'!L119</f>
        <v>0</v>
      </c>
      <c r="M120" s="228">
        <f>'d3'!M120-'d3-08'!M119</f>
        <v>0</v>
      </c>
      <c r="N120" s="228">
        <f>'d3'!N120-'d3-08'!N119</f>
        <v>0</v>
      </c>
      <c r="O120" s="228">
        <f>'d3'!O120-'d3-08'!O119</f>
        <v>0</v>
      </c>
      <c r="P120" s="228">
        <f>'d3'!P120-'d3-08'!P119</f>
        <v>10000000</v>
      </c>
    </row>
    <row r="121" spans="1:18" ht="138.75" thickTop="1" thickBot="1" x14ac:dyDescent="0.25">
      <c r="A121" s="501" t="s">
        <v>337</v>
      </c>
      <c r="B121" s="501" t="s">
        <v>338</v>
      </c>
      <c r="C121" s="501" t="s">
        <v>334</v>
      </c>
      <c r="D121" s="501" t="s">
        <v>339</v>
      </c>
      <c r="E121" s="228">
        <f>'d3'!E121-'d3-08'!E120</f>
        <v>0</v>
      </c>
      <c r="F121" s="228">
        <f>'d3'!F121-'d3-08'!F120</f>
        <v>0</v>
      </c>
      <c r="G121" s="228">
        <f>'d3'!G121-'d3-08'!G120</f>
        <v>0</v>
      </c>
      <c r="H121" s="228">
        <f>'d3'!H121-'d3-08'!H120</f>
        <v>0</v>
      </c>
      <c r="I121" s="228">
        <f>'d3'!I121-'d3-08'!I120</f>
        <v>0</v>
      </c>
      <c r="J121" s="228">
        <f>'d3'!J121-'d3-08'!J120</f>
        <v>0</v>
      </c>
      <c r="K121" s="228">
        <f>'d3'!K121-'d3-08'!K120</f>
        <v>0</v>
      </c>
      <c r="L121" s="228">
        <f>'d3'!L121-'d3-08'!L120</f>
        <v>0</v>
      </c>
      <c r="M121" s="228">
        <f>'d3'!M121-'d3-08'!M120</f>
        <v>0</v>
      </c>
      <c r="N121" s="228">
        <f>'d3'!N121-'d3-08'!N120</f>
        <v>0</v>
      </c>
      <c r="O121" s="228">
        <f>'d3'!O121-'d3-08'!O120</f>
        <v>0</v>
      </c>
      <c r="P121" s="228">
        <f>'d3'!P121-'d3-08'!P120</f>
        <v>0</v>
      </c>
    </row>
    <row r="122" spans="1:18" ht="138.75" thickTop="1" thickBot="1" x14ac:dyDescent="0.25">
      <c r="A122" s="501" t="s">
        <v>356</v>
      </c>
      <c r="B122" s="501" t="s">
        <v>357</v>
      </c>
      <c r="C122" s="501" t="s">
        <v>334</v>
      </c>
      <c r="D122" s="501" t="s">
        <v>358</v>
      </c>
      <c r="E122" s="228">
        <f>'d3'!E122-'d3-08'!E121</f>
        <v>0</v>
      </c>
      <c r="F122" s="228">
        <f>'d3'!F122-'d3-08'!F121</f>
        <v>0</v>
      </c>
      <c r="G122" s="228">
        <f>'d3'!G122-'d3-08'!G121</f>
        <v>0</v>
      </c>
      <c r="H122" s="228">
        <f>'d3'!H122-'d3-08'!H121</f>
        <v>0</v>
      </c>
      <c r="I122" s="228">
        <f>'d3'!I122-'d3-08'!I121</f>
        <v>0</v>
      </c>
      <c r="J122" s="228">
        <f>'d3'!J122-'d3-08'!J121</f>
        <v>1000000</v>
      </c>
      <c r="K122" s="228">
        <f>'d3'!K122-'d3-08'!K121</f>
        <v>1000000</v>
      </c>
      <c r="L122" s="228">
        <f>'d3'!L122-'d3-08'!L121</f>
        <v>0</v>
      </c>
      <c r="M122" s="228">
        <f>'d3'!M122-'d3-08'!M121</f>
        <v>0</v>
      </c>
      <c r="N122" s="228">
        <f>'d3'!N122-'d3-08'!N121</f>
        <v>0</v>
      </c>
      <c r="O122" s="228">
        <f>'d3'!O122-'d3-08'!O121</f>
        <v>1000000</v>
      </c>
      <c r="P122" s="228">
        <f>'d3'!P122-'d3-08'!P121</f>
        <v>1000000</v>
      </c>
    </row>
    <row r="123" spans="1:18" ht="184.5" thickTop="1" thickBot="1" x14ac:dyDescent="0.25">
      <c r="A123" s="501" t="s">
        <v>335</v>
      </c>
      <c r="B123" s="501" t="s">
        <v>336</v>
      </c>
      <c r="C123" s="501" t="s">
        <v>334</v>
      </c>
      <c r="D123" s="501" t="s">
        <v>633</v>
      </c>
      <c r="E123" s="228">
        <f>'d3'!E123-'d3-08'!E122</f>
        <v>0</v>
      </c>
      <c r="F123" s="228">
        <f>'d3'!F123-'d3-08'!F122</f>
        <v>0</v>
      </c>
      <c r="G123" s="228">
        <f>'d3'!G123-'d3-08'!G122</f>
        <v>0</v>
      </c>
      <c r="H123" s="228">
        <f>'d3'!H123-'d3-08'!H122</f>
        <v>0</v>
      </c>
      <c r="I123" s="228">
        <f>'d3'!I123-'d3-08'!I122</f>
        <v>0</v>
      </c>
      <c r="J123" s="228">
        <f>'d3'!J123-'d3-08'!J122</f>
        <v>0</v>
      </c>
      <c r="K123" s="228">
        <f>'d3'!K123-'d3-08'!K122</f>
        <v>0</v>
      </c>
      <c r="L123" s="228">
        <f>'d3'!L123-'d3-08'!L122</f>
        <v>0</v>
      </c>
      <c r="M123" s="228">
        <f>'d3'!M123-'d3-08'!M122</f>
        <v>0</v>
      </c>
      <c r="N123" s="228">
        <f>'d3'!N123-'d3-08'!N122</f>
        <v>0</v>
      </c>
      <c r="O123" s="228">
        <f>'d3'!O123-'d3-08'!O122</f>
        <v>0</v>
      </c>
      <c r="P123" s="228">
        <f>'d3'!P123-'d3-08'!P122</f>
        <v>0</v>
      </c>
    </row>
    <row r="124" spans="1:18" ht="230.25" thickTop="1" thickBot="1" x14ac:dyDescent="0.25">
      <c r="A124" s="501" t="s">
        <v>351</v>
      </c>
      <c r="B124" s="501" t="s">
        <v>352</v>
      </c>
      <c r="C124" s="501" t="s">
        <v>334</v>
      </c>
      <c r="D124" s="501" t="s">
        <v>353</v>
      </c>
      <c r="E124" s="228">
        <f>'d3'!E124-'d3-08'!E123</f>
        <v>0</v>
      </c>
      <c r="F124" s="228">
        <f>'d3'!F124-'d3-08'!F123</f>
        <v>0</v>
      </c>
      <c r="G124" s="228">
        <f>'d3'!G124-'d3-08'!G123</f>
        <v>0</v>
      </c>
      <c r="H124" s="228">
        <f>'d3'!H124-'d3-08'!H123</f>
        <v>0</v>
      </c>
      <c r="I124" s="228">
        <f>'d3'!I124-'d3-08'!I123</f>
        <v>0</v>
      </c>
      <c r="J124" s="228">
        <f>'d3'!J124-'d3-08'!J123</f>
        <v>0</v>
      </c>
      <c r="K124" s="228">
        <f>'d3'!K124-'d3-08'!K123</f>
        <v>0</v>
      </c>
      <c r="L124" s="228">
        <f>'d3'!L124-'d3-08'!L123</f>
        <v>0</v>
      </c>
      <c r="M124" s="228">
        <f>'d3'!M124-'d3-08'!M123</f>
        <v>0</v>
      </c>
      <c r="N124" s="228">
        <f>'d3'!N124-'d3-08'!N123</f>
        <v>0</v>
      </c>
      <c r="O124" s="228">
        <f>'d3'!O124-'d3-08'!O123</f>
        <v>0</v>
      </c>
      <c r="P124" s="228">
        <f>'d3'!P124-'d3-08'!P123</f>
        <v>0</v>
      </c>
    </row>
    <row r="125" spans="1:18" ht="93" thickTop="1" thickBot="1" x14ac:dyDescent="0.25">
      <c r="A125" s="501" t="s">
        <v>340</v>
      </c>
      <c r="B125" s="501" t="s">
        <v>341</v>
      </c>
      <c r="C125" s="501" t="s">
        <v>334</v>
      </c>
      <c r="D125" s="501" t="s">
        <v>342</v>
      </c>
      <c r="E125" s="228">
        <f>'d3'!E125-'d3-08'!E124</f>
        <v>2595165</v>
      </c>
      <c r="F125" s="228">
        <f>'d3'!F125-'d3-08'!F124</f>
        <v>2595165</v>
      </c>
      <c r="G125" s="228">
        <f>'d3'!G125-'d3-08'!G124</f>
        <v>0</v>
      </c>
      <c r="H125" s="228">
        <f>'d3'!H125-'d3-08'!H124</f>
        <v>0</v>
      </c>
      <c r="I125" s="228">
        <f>'d3'!I125-'d3-08'!I124</f>
        <v>0</v>
      </c>
      <c r="J125" s="228">
        <f>'d3'!J125-'d3-08'!J124</f>
        <v>668000</v>
      </c>
      <c r="K125" s="228">
        <f>'d3'!K125-'d3-08'!K124</f>
        <v>668000</v>
      </c>
      <c r="L125" s="228">
        <f>'d3'!L125-'d3-08'!L124</f>
        <v>0</v>
      </c>
      <c r="M125" s="228">
        <f>'d3'!M125-'d3-08'!M124</f>
        <v>0</v>
      </c>
      <c r="N125" s="228">
        <f>'d3'!N125-'d3-08'!N124</f>
        <v>0</v>
      </c>
      <c r="O125" s="228">
        <f>'d3'!O125-'d3-08'!O124</f>
        <v>668000</v>
      </c>
      <c r="P125" s="228">
        <f>'d3'!P125-'d3-08'!P124</f>
        <v>3263165</v>
      </c>
    </row>
    <row r="126" spans="1:18" ht="99.75" thickTop="1" thickBot="1" x14ac:dyDescent="0.25">
      <c r="A126" s="501" t="s">
        <v>360</v>
      </c>
      <c r="B126" s="501" t="s">
        <v>361</v>
      </c>
      <c r="C126" s="501" t="s">
        <v>359</v>
      </c>
      <c r="D126" s="501" t="s">
        <v>649</v>
      </c>
      <c r="E126" s="228">
        <f>'d3'!E126-'d3-08'!E125</f>
        <v>0</v>
      </c>
      <c r="F126" s="228">
        <f>'d3'!F126-'d3-08'!F125</f>
        <v>0</v>
      </c>
      <c r="G126" s="228">
        <f>'d3'!G126-'d3-08'!G125</f>
        <v>0</v>
      </c>
      <c r="H126" s="228">
        <f>'d3'!H126-'d3-08'!H125</f>
        <v>0</v>
      </c>
      <c r="I126" s="228">
        <f>'d3'!I126-'d3-08'!I125</f>
        <v>0</v>
      </c>
      <c r="J126" s="228">
        <f>'d3'!J126-'d3-08'!J125</f>
        <v>-1166025</v>
      </c>
      <c r="K126" s="228">
        <f>'d3'!K126-'d3-08'!K125</f>
        <v>-1166025</v>
      </c>
      <c r="L126" s="228">
        <f>'d3'!L126-'d3-08'!L125</f>
        <v>0</v>
      </c>
      <c r="M126" s="228">
        <f>'d3'!M126-'d3-08'!M125</f>
        <v>0</v>
      </c>
      <c r="N126" s="228">
        <f>'d3'!N126-'d3-08'!N125</f>
        <v>0</v>
      </c>
      <c r="O126" s="228">
        <f>'d3'!O126-'d3-08'!O125</f>
        <v>-1166025</v>
      </c>
      <c r="P126" s="228">
        <f>'d3'!P126-'d3-08'!P125</f>
        <v>-1166025</v>
      </c>
    </row>
    <row r="127" spans="1:18" ht="138.75" thickTop="1" thickBot="1" x14ac:dyDescent="0.25">
      <c r="A127" s="501" t="s">
        <v>558</v>
      </c>
      <c r="B127" s="501" t="s">
        <v>428</v>
      </c>
      <c r="C127" s="501" t="s">
        <v>210</v>
      </c>
      <c r="D127" s="501" t="s">
        <v>313</v>
      </c>
      <c r="E127" s="228">
        <f>'d3'!E127-'d3-08'!E126</f>
        <v>0</v>
      </c>
      <c r="F127" s="228">
        <f>'d3'!F127-'d3-08'!F126</f>
        <v>0</v>
      </c>
      <c r="G127" s="228">
        <f>'d3'!G127-'d3-08'!G126</f>
        <v>0</v>
      </c>
      <c r="H127" s="228">
        <f>'d3'!H127-'d3-08'!H126</f>
        <v>0</v>
      </c>
      <c r="I127" s="228">
        <f>'d3'!I127-'d3-08'!I126</f>
        <v>0</v>
      </c>
      <c r="J127" s="228">
        <f>'d3'!J127-'d3-08'!J126</f>
        <v>0</v>
      </c>
      <c r="K127" s="228">
        <f>'d3'!K127-'d3-08'!K126</f>
        <v>0</v>
      </c>
      <c r="L127" s="228">
        <f>'d3'!L127-'d3-08'!L126</f>
        <v>0</v>
      </c>
      <c r="M127" s="228">
        <f>'d3'!M127-'d3-08'!M126</f>
        <v>0</v>
      </c>
      <c r="N127" s="228">
        <f>'d3'!N127-'d3-08'!N126</f>
        <v>0</v>
      </c>
      <c r="O127" s="228">
        <f>'d3'!O127-'d3-08'!O126</f>
        <v>0</v>
      </c>
      <c r="P127" s="228">
        <f>'d3'!P127-'d3-08'!P126</f>
        <v>0</v>
      </c>
      <c r="R127" s="327"/>
    </row>
    <row r="128" spans="1:18" ht="230.25" thickTop="1" thickBot="1" x14ac:dyDescent="0.25">
      <c r="A128" s="501" t="s">
        <v>346</v>
      </c>
      <c r="B128" s="501" t="s">
        <v>347</v>
      </c>
      <c r="C128" s="501" t="s">
        <v>349</v>
      </c>
      <c r="D128" s="501" t="s">
        <v>348</v>
      </c>
      <c r="E128" s="228">
        <f>'d3'!E128-'d3-08'!E127</f>
        <v>-9561896</v>
      </c>
      <c r="F128" s="228">
        <f>'d3'!F128-'d3-08'!F127</f>
        <v>-9561896</v>
      </c>
      <c r="G128" s="228">
        <f>'d3'!G128-'d3-08'!G127</f>
        <v>0</v>
      </c>
      <c r="H128" s="228">
        <f>'d3'!H128-'d3-08'!H127</f>
        <v>0</v>
      </c>
      <c r="I128" s="228">
        <f>'d3'!I128-'d3-08'!I127</f>
        <v>0</v>
      </c>
      <c r="J128" s="228">
        <f>'d3'!J128-'d3-08'!J127</f>
        <v>266025</v>
      </c>
      <c r="K128" s="228">
        <f>'d3'!K128-'d3-08'!K127</f>
        <v>266025</v>
      </c>
      <c r="L128" s="228">
        <f>'d3'!L128-'d3-08'!L127</f>
        <v>0</v>
      </c>
      <c r="M128" s="228">
        <f>'d3'!M128-'d3-08'!M127</f>
        <v>0</v>
      </c>
      <c r="N128" s="228">
        <f>'d3'!N128-'d3-08'!N127</f>
        <v>0</v>
      </c>
      <c r="O128" s="228">
        <f>'d3'!O128-'d3-08'!O127</f>
        <v>266025</v>
      </c>
      <c r="P128" s="228">
        <f>'d3'!P128-'d3-08'!P127</f>
        <v>-9295871</v>
      </c>
    </row>
    <row r="129" spans="1:18" ht="48" thickTop="1" thickBot="1" x14ac:dyDescent="0.25">
      <c r="A129" s="501" t="s">
        <v>350</v>
      </c>
      <c r="B129" s="501" t="s">
        <v>262</v>
      </c>
      <c r="C129" s="501" t="s">
        <v>263</v>
      </c>
      <c r="D129" s="501" t="s">
        <v>51</v>
      </c>
      <c r="E129" s="228">
        <f>'d3'!E129-'d3-08'!E128</f>
        <v>0</v>
      </c>
      <c r="F129" s="228">
        <f>'d3'!F129-'d3-08'!F128</f>
        <v>0</v>
      </c>
      <c r="G129" s="228">
        <f>'d3'!G129-'d3-08'!G128</f>
        <v>0</v>
      </c>
      <c r="H129" s="228">
        <f>'d3'!H129-'d3-08'!H128</f>
        <v>0</v>
      </c>
      <c r="I129" s="228">
        <f>'d3'!I129-'d3-08'!I128</f>
        <v>0</v>
      </c>
      <c r="J129" s="228">
        <f>'d3'!J129-'d3-08'!J128</f>
        <v>167475</v>
      </c>
      <c r="K129" s="228">
        <f>'d3'!K129-'d3-08'!K128</f>
        <v>167475</v>
      </c>
      <c r="L129" s="228">
        <f>'d3'!L129-'d3-08'!L128</f>
        <v>0</v>
      </c>
      <c r="M129" s="228">
        <f>'d3'!M129-'d3-08'!M128</f>
        <v>0</v>
      </c>
      <c r="N129" s="228">
        <f>'d3'!N129-'d3-08'!N128</f>
        <v>0</v>
      </c>
      <c r="O129" s="228">
        <f>'d3'!O129-'d3-08'!O128</f>
        <v>167475</v>
      </c>
      <c r="P129" s="228">
        <f>'d3'!P129-'d3-08'!P128</f>
        <v>167475</v>
      </c>
    </row>
    <row r="130" spans="1:18" ht="93" thickTop="1" thickBot="1" x14ac:dyDescent="0.7">
      <c r="A130" s="501" t="s">
        <v>362</v>
      </c>
      <c r="B130" s="501" t="s">
        <v>243</v>
      </c>
      <c r="C130" s="501" t="s">
        <v>210</v>
      </c>
      <c r="D130" s="501" t="s">
        <v>42</v>
      </c>
      <c r="E130" s="228">
        <f>'d3'!E130-'d3-08'!E129</f>
        <v>0</v>
      </c>
      <c r="F130" s="228">
        <f>'d3'!F130-'d3-08'!F129</f>
        <v>0</v>
      </c>
      <c r="G130" s="228">
        <f>'d3'!G130-'d3-08'!G129</f>
        <v>0</v>
      </c>
      <c r="H130" s="228">
        <f>'d3'!H130-'d3-08'!H129</f>
        <v>0</v>
      </c>
      <c r="I130" s="228">
        <f>'d3'!I130-'d3-08'!I129</f>
        <v>0</v>
      </c>
      <c r="J130" s="228">
        <f>'d3'!J130-'d3-08'!J129</f>
        <v>1065178</v>
      </c>
      <c r="K130" s="228">
        <f>'d3'!K130-'d3-08'!K129</f>
        <v>1065178</v>
      </c>
      <c r="L130" s="228">
        <f>'d3'!L130-'d3-08'!L129</f>
        <v>0</v>
      </c>
      <c r="M130" s="228">
        <f>'d3'!M130-'d3-08'!M129</f>
        <v>0</v>
      </c>
      <c r="N130" s="228">
        <f>'d3'!N130-'d3-08'!N129</f>
        <v>0</v>
      </c>
      <c r="O130" s="228">
        <f>'d3'!O130-'d3-08'!O129</f>
        <v>1065178</v>
      </c>
      <c r="P130" s="228">
        <f>'d3'!P130-'d3-08'!P129</f>
        <v>1065178</v>
      </c>
      <c r="Q130" s="112"/>
    </row>
    <row r="131" spans="1:18" ht="358.5" customHeight="1" thickTop="1" thickBot="1" x14ac:dyDescent="0.7">
      <c r="A131" s="554" t="s">
        <v>528</v>
      </c>
      <c r="B131" s="554" t="s">
        <v>412</v>
      </c>
      <c r="C131" s="554" t="s">
        <v>210</v>
      </c>
      <c r="D131" s="232" t="s">
        <v>585</v>
      </c>
      <c r="E131" s="568">
        <f>'d3'!E131-'d3-08'!E130</f>
        <v>0</v>
      </c>
      <c r="F131" s="568">
        <f>'d3'!F131-'d3-08'!F130</f>
        <v>0</v>
      </c>
      <c r="G131" s="568">
        <f>'d3'!G131-'d3-08'!G130</f>
        <v>0</v>
      </c>
      <c r="H131" s="568">
        <f>'d3'!H131-'d3-08'!H130</f>
        <v>0</v>
      </c>
      <c r="I131" s="568">
        <f>'d3'!I131-'d3-08'!I130</f>
        <v>0</v>
      </c>
      <c r="J131" s="568">
        <f>'d3'!J131-'d3-08'!J130</f>
        <v>0</v>
      </c>
      <c r="K131" s="568">
        <f>'d3'!K131-'d3-08'!K130</f>
        <v>0</v>
      </c>
      <c r="L131" s="568">
        <f>'d3'!L131-'d3-08'!L130</f>
        <v>0</v>
      </c>
      <c r="M131" s="568">
        <f>'d3'!M131-'d3-08'!M130</f>
        <v>0</v>
      </c>
      <c r="N131" s="568">
        <f>'d3'!N131-'d3-08'!N130</f>
        <v>0</v>
      </c>
      <c r="O131" s="568">
        <f>'d3'!O131-'d3-08'!O130</f>
        <v>0</v>
      </c>
      <c r="P131" s="568">
        <f>'d3'!P131-'d3-08'!P130</f>
        <v>0</v>
      </c>
      <c r="Q131" s="339">
        <f>P131</f>
        <v>0</v>
      </c>
    </row>
    <row r="132" spans="1:18" ht="184.5" thickTop="1" thickBot="1" x14ac:dyDescent="0.7">
      <c r="A132" s="554"/>
      <c r="B132" s="554"/>
      <c r="C132" s="554"/>
      <c r="D132" s="233" t="s">
        <v>586</v>
      </c>
      <c r="E132" s="652"/>
      <c r="F132" s="652"/>
      <c r="G132" s="652"/>
      <c r="H132" s="652"/>
      <c r="I132" s="652"/>
      <c r="J132" s="652"/>
      <c r="K132" s="652"/>
      <c r="L132" s="652"/>
      <c r="M132" s="652"/>
      <c r="N132" s="652"/>
      <c r="O132" s="652"/>
      <c r="P132" s="652"/>
      <c r="Q132" s="112"/>
    </row>
    <row r="133" spans="1:18" ht="184.5" thickTop="1" thickBot="1" x14ac:dyDescent="0.7">
      <c r="A133" s="501" t="s">
        <v>752</v>
      </c>
      <c r="B133" s="501" t="s">
        <v>750</v>
      </c>
      <c r="C133" s="501" t="s">
        <v>302</v>
      </c>
      <c r="D133" s="243" t="s">
        <v>751</v>
      </c>
      <c r="E133" s="228">
        <f>'d3'!E133-'d3-08'!E132</f>
        <v>0</v>
      </c>
      <c r="F133" s="228">
        <f>'d3'!F133-'d3-08'!F132</f>
        <v>0</v>
      </c>
      <c r="G133" s="228">
        <f>'d3'!G133-'d3-08'!G132</f>
        <v>0</v>
      </c>
      <c r="H133" s="228">
        <f>'d3'!H133-'d3-08'!H132</f>
        <v>0</v>
      </c>
      <c r="I133" s="228">
        <f>'d3'!I133-'d3-08'!I132</f>
        <v>0</v>
      </c>
      <c r="J133" s="228">
        <f>'d3'!J133-'d3-08'!J132</f>
        <v>0</v>
      </c>
      <c r="K133" s="228">
        <f>'d3'!K133-'d3-08'!K132</f>
        <v>0</v>
      </c>
      <c r="L133" s="228">
        <f>'d3'!L133-'d3-08'!L132</f>
        <v>0</v>
      </c>
      <c r="M133" s="228">
        <f>'d3'!M133-'d3-08'!M132</f>
        <v>0</v>
      </c>
      <c r="N133" s="228">
        <f>'d3'!N133-'d3-08'!N132</f>
        <v>0</v>
      </c>
      <c r="O133" s="228">
        <f>'d3'!O133-'d3-08'!O132</f>
        <v>0</v>
      </c>
      <c r="P133" s="228">
        <f>'d3'!P133-'d3-08'!P132</f>
        <v>0</v>
      </c>
      <c r="Q133" s="112"/>
    </row>
    <row r="134" spans="1:18" ht="93" thickTop="1" thickBot="1" x14ac:dyDescent="0.25">
      <c r="A134" s="501" t="s">
        <v>300</v>
      </c>
      <c r="B134" s="501" t="s">
        <v>301</v>
      </c>
      <c r="C134" s="501" t="s">
        <v>302</v>
      </c>
      <c r="D134" s="501" t="s">
        <v>299</v>
      </c>
      <c r="E134" s="228">
        <f>'d3'!E134-'d3-08'!E133</f>
        <v>0</v>
      </c>
      <c r="F134" s="228">
        <f>'d3'!F134-'d3-08'!F133</f>
        <v>0</v>
      </c>
      <c r="G134" s="228">
        <f>'d3'!G134-'d3-08'!G133</f>
        <v>16820</v>
      </c>
      <c r="H134" s="228">
        <f>'d3'!H134-'d3-08'!H133</f>
        <v>0</v>
      </c>
      <c r="I134" s="228">
        <f>'d3'!I134-'d3-08'!I133</f>
        <v>0</v>
      </c>
      <c r="J134" s="228">
        <f>'d3'!J134-'d3-08'!J133</f>
        <v>0</v>
      </c>
      <c r="K134" s="228">
        <f>'d3'!K134-'d3-08'!K133</f>
        <v>0</v>
      </c>
      <c r="L134" s="228">
        <f>'d3'!L134-'d3-08'!L133</f>
        <v>0</v>
      </c>
      <c r="M134" s="228">
        <f>'d3'!M134-'d3-08'!M133</f>
        <v>0</v>
      </c>
      <c r="N134" s="228">
        <f>'d3'!N134-'d3-08'!N133</f>
        <v>0</v>
      </c>
      <c r="O134" s="228">
        <f>'d3'!O134-'d3-08'!O133</f>
        <v>0</v>
      </c>
      <c r="P134" s="228">
        <f>'d3'!P134-'d3-08'!P133</f>
        <v>0</v>
      </c>
      <c r="R134" s="335" t="b">
        <f>K134='d5'!J205</f>
        <v>0</v>
      </c>
    </row>
    <row r="135" spans="1:18" ht="316.5" thickTop="1" thickBot="1" x14ac:dyDescent="0.25">
      <c r="A135" s="451" t="s">
        <v>30</v>
      </c>
      <c r="B135" s="451"/>
      <c r="C135" s="451"/>
      <c r="D135" s="452" t="s">
        <v>459</v>
      </c>
      <c r="E135" s="453">
        <f>E136</f>
        <v>-167177</v>
      </c>
      <c r="F135" s="454">
        <f t="shared" ref="F135:G135" si="41">F136</f>
        <v>-167177</v>
      </c>
      <c r="G135" s="454">
        <f t="shared" si="41"/>
        <v>-167177</v>
      </c>
      <c r="H135" s="454">
        <f>H136</f>
        <v>0</v>
      </c>
      <c r="I135" s="453">
        <f t="shared" ref="I135" si="42">I136</f>
        <v>0</v>
      </c>
      <c r="J135" s="453">
        <f>J136</f>
        <v>4000000</v>
      </c>
      <c r="K135" s="454">
        <f>K136</f>
        <v>4000000</v>
      </c>
      <c r="L135" s="454">
        <f>L136</f>
        <v>0</v>
      </c>
      <c r="M135" s="454">
        <f t="shared" ref="M135" si="43">M136</f>
        <v>0</v>
      </c>
      <c r="N135" s="453">
        <f>N136</f>
        <v>0</v>
      </c>
      <c r="O135" s="453">
        <f>O136</f>
        <v>4000000</v>
      </c>
      <c r="P135" s="454">
        <f t="shared" ref="P135" si="44">P136</f>
        <v>3832823</v>
      </c>
    </row>
    <row r="136" spans="1:18" ht="271.5" thickTop="1" thickBot="1" x14ac:dyDescent="0.25">
      <c r="A136" s="455" t="s">
        <v>31</v>
      </c>
      <c r="B136" s="455"/>
      <c r="C136" s="455"/>
      <c r="D136" s="456" t="s">
        <v>458</v>
      </c>
      <c r="E136" s="457">
        <f>SUM(E137:E144)</f>
        <v>-167177</v>
      </c>
      <c r="F136" s="457">
        <f t="shared" ref="F136:O136" si="45">SUM(F137:F144)</f>
        <v>-167177</v>
      </c>
      <c r="G136" s="457">
        <f t="shared" si="45"/>
        <v>-167177</v>
      </c>
      <c r="H136" s="457">
        <f t="shared" si="45"/>
        <v>0</v>
      </c>
      <c r="I136" s="457">
        <f t="shared" si="45"/>
        <v>0</v>
      </c>
      <c r="J136" s="457">
        <f t="shared" ref="J136" si="46">L136+O136</f>
        <v>4000000</v>
      </c>
      <c r="K136" s="457">
        <f t="shared" si="45"/>
        <v>4000000</v>
      </c>
      <c r="L136" s="457">
        <f t="shared" si="45"/>
        <v>0</v>
      </c>
      <c r="M136" s="457">
        <f t="shared" si="45"/>
        <v>0</v>
      </c>
      <c r="N136" s="457">
        <f t="shared" si="45"/>
        <v>0</v>
      </c>
      <c r="O136" s="457">
        <f t="shared" si="45"/>
        <v>4000000</v>
      </c>
      <c r="P136" s="458">
        <f t="shared" ref="P136" si="47">E136+J136</f>
        <v>3832823</v>
      </c>
      <c r="Q136" s="334" t="b">
        <f>P136=P140+P142+P143+P137+P138+P144+P139+P141</f>
        <v>1</v>
      </c>
      <c r="R136" s="335" t="b">
        <f>K136='d5'!J206</f>
        <v>0</v>
      </c>
    </row>
    <row r="137" spans="1:18" ht="230.25" thickTop="1" thickBot="1" x14ac:dyDescent="0.25">
      <c r="A137" s="501" t="s">
        <v>518</v>
      </c>
      <c r="B137" s="501" t="s">
        <v>286</v>
      </c>
      <c r="C137" s="501" t="s">
        <v>284</v>
      </c>
      <c r="D137" s="501" t="s">
        <v>285</v>
      </c>
      <c r="E137" s="228">
        <f>'d3'!E137-'d3-08'!E136</f>
        <v>-167177</v>
      </c>
      <c r="F137" s="228">
        <f>'d3'!F137-'d3-08'!F136</f>
        <v>-167177</v>
      </c>
      <c r="G137" s="228">
        <f>'d3'!G137-'d3-08'!G136</f>
        <v>-167177</v>
      </c>
      <c r="H137" s="228">
        <f>'d3'!H137-'d3-08'!H136</f>
        <v>0</v>
      </c>
      <c r="I137" s="228">
        <f>'d3'!I137-'d3-08'!I136</f>
        <v>0</v>
      </c>
      <c r="J137" s="228">
        <f>'d3'!J137-'d3-08'!J136</f>
        <v>0</v>
      </c>
      <c r="K137" s="228">
        <f>'d3'!K137-'d3-08'!K136</f>
        <v>0</v>
      </c>
      <c r="L137" s="228">
        <f>'d3'!L137-'d3-08'!L136</f>
        <v>0</v>
      </c>
      <c r="M137" s="228">
        <f>'d3'!M137-'d3-08'!M136</f>
        <v>0</v>
      </c>
      <c r="N137" s="228">
        <f>'d3'!N137-'d3-08'!N136</f>
        <v>0</v>
      </c>
      <c r="O137" s="228">
        <f>'d3'!O137-'d3-08'!O136</f>
        <v>0</v>
      </c>
      <c r="P137" s="228">
        <f>'d3'!P137-'d3-08'!P136</f>
        <v>-167177</v>
      </c>
      <c r="Q137" s="334"/>
      <c r="R137" s="335"/>
    </row>
    <row r="138" spans="1:18" ht="93" thickTop="1" thickBot="1" x14ac:dyDescent="0.25">
      <c r="A138" s="501" t="s">
        <v>550</v>
      </c>
      <c r="B138" s="501" t="s">
        <v>53</v>
      </c>
      <c r="C138" s="501" t="s">
        <v>52</v>
      </c>
      <c r="D138" s="501" t="s">
        <v>298</v>
      </c>
      <c r="E138" s="228">
        <f>'d3'!E138-'d3-08'!E137</f>
        <v>0</v>
      </c>
      <c r="F138" s="228">
        <f>'d3'!F138-'d3-08'!F137</f>
        <v>0</v>
      </c>
      <c r="G138" s="228">
        <f>'d3'!G138-'d3-08'!G137</f>
        <v>0</v>
      </c>
      <c r="H138" s="228">
        <f>'d3'!H138-'d3-08'!H137</f>
        <v>0</v>
      </c>
      <c r="I138" s="228">
        <f>'d3'!I138-'d3-08'!I137</f>
        <v>0</v>
      </c>
      <c r="J138" s="228">
        <f>'d3'!J138-'d3-08'!J137</f>
        <v>0</v>
      </c>
      <c r="K138" s="228">
        <f>'d3'!K138-'d3-08'!K137</f>
        <v>0</v>
      </c>
      <c r="L138" s="228">
        <f>'d3'!L138-'d3-08'!L137</f>
        <v>0</v>
      </c>
      <c r="M138" s="228">
        <f>'d3'!M138-'d3-08'!M137</f>
        <v>0</v>
      </c>
      <c r="N138" s="228">
        <f>'d3'!N138-'d3-08'!N137</f>
        <v>0</v>
      </c>
      <c r="O138" s="228">
        <f>'d3'!O138-'d3-08'!O137</f>
        <v>0</v>
      </c>
      <c r="P138" s="228">
        <f>'d3'!P138-'d3-08'!P137</f>
        <v>0</v>
      </c>
      <c r="Q138" s="334"/>
      <c r="R138" s="335"/>
    </row>
    <row r="139" spans="1:18" ht="321.75" thickTop="1" thickBot="1" x14ac:dyDescent="0.25">
      <c r="A139" s="501" t="s">
        <v>553</v>
      </c>
      <c r="B139" s="501" t="s">
        <v>555</v>
      </c>
      <c r="C139" s="501" t="s">
        <v>241</v>
      </c>
      <c r="D139" s="501" t="s">
        <v>554</v>
      </c>
      <c r="E139" s="228">
        <f>'d3'!E139-'d3-08'!E138</f>
        <v>0</v>
      </c>
      <c r="F139" s="228">
        <f>'d3'!F139-'d3-08'!F138</f>
        <v>0</v>
      </c>
      <c r="G139" s="228">
        <f>'d3'!G139-'d3-08'!G138</f>
        <v>0</v>
      </c>
      <c r="H139" s="228">
        <f>'d3'!H139-'d3-08'!H138</f>
        <v>0</v>
      </c>
      <c r="I139" s="228">
        <f>'d3'!I139-'d3-08'!I138</f>
        <v>0</v>
      </c>
      <c r="J139" s="228">
        <f>'d3'!J139-'d3-08'!J138</f>
        <v>0</v>
      </c>
      <c r="K139" s="228">
        <f>'d3'!K139-'d3-08'!K138</f>
        <v>0</v>
      </c>
      <c r="L139" s="228">
        <f>'d3'!L139-'d3-08'!L138</f>
        <v>0</v>
      </c>
      <c r="M139" s="228">
        <f>'d3'!M139-'d3-08'!M138</f>
        <v>0</v>
      </c>
      <c r="N139" s="228">
        <f>'d3'!N139-'d3-08'!N138</f>
        <v>0</v>
      </c>
      <c r="O139" s="228">
        <f>'d3'!O139-'d3-08'!O138</f>
        <v>0</v>
      </c>
      <c r="P139" s="228">
        <f>'d3'!P139-'d3-08'!P138</f>
        <v>0</v>
      </c>
      <c r="Q139" s="334"/>
      <c r="R139" s="335"/>
    </row>
    <row r="140" spans="1:18" ht="99.75" thickTop="1" thickBot="1" x14ac:dyDescent="0.25">
      <c r="A140" s="501" t="s">
        <v>371</v>
      </c>
      <c r="B140" s="501" t="s">
        <v>372</v>
      </c>
      <c r="C140" s="501" t="s">
        <v>359</v>
      </c>
      <c r="D140" s="501" t="s">
        <v>647</v>
      </c>
      <c r="E140" s="228">
        <f>'d3'!E140-'d3-08'!E139</f>
        <v>0</v>
      </c>
      <c r="F140" s="228">
        <f>'d3'!F140-'d3-08'!F139</f>
        <v>0</v>
      </c>
      <c r="G140" s="228">
        <f>'d3'!G140-'d3-08'!G139</f>
        <v>0</v>
      </c>
      <c r="H140" s="228">
        <f>'d3'!H140-'d3-08'!H139</f>
        <v>0</v>
      </c>
      <c r="I140" s="228">
        <f>'d3'!I140-'d3-08'!I139</f>
        <v>0</v>
      </c>
      <c r="J140" s="228">
        <f>'d3'!J140-'d3-08'!J139</f>
        <v>2300000</v>
      </c>
      <c r="K140" s="228">
        <f>'d3'!K140-'d3-08'!K139</f>
        <v>2300000</v>
      </c>
      <c r="L140" s="228">
        <f>'d3'!L140-'d3-08'!L139</f>
        <v>0</v>
      </c>
      <c r="M140" s="228">
        <f>'d3'!M140-'d3-08'!M139</f>
        <v>0</v>
      </c>
      <c r="N140" s="228">
        <f>'d3'!N140-'d3-08'!N139</f>
        <v>0</v>
      </c>
      <c r="O140" s="228">
        <f>'d3'!O140-'d3-08'!O139</f>
        <v>2300000</v>
      </c>
      <c r="P140" s="228">
        <f>'d3'!P140-'d3-08'!P139</f>
        <v>2300000</v>
      </c>
      <c r="Q140" s="327"/>
    </row>
    <row r="141" spans="1:18" ht="99.75" thickTop="1" thickBot="1" x14ac:dyDescent="0.25">
      <c r="A141" s="501" t="s">
        <v>748</v>
      </c>
      <c r="B141" s="501" t="s">
        <v>749</v>
      </c>
      <c r="C141" s="501" t="s">
        <v>359</v>
      </c>
      <c r="D141" s="501" t="s">
        <v>747</v>
      </c>
      <c r="E141" s="228">
        <f>'d3'!E141-'d3-08'!E140</f>
        <v>0</v>
      </c>
      <c r="F141" s="228">
        <f>'d3'!F141-'d3-08'!F140</f>
        <v>0</v>
      </c>
      <c r="G141" s="228">
        <f>'d3'!G141-'d3-08'!G140</f>
        <v>0</v>
      </c>
      <c r="H141" s="228">
        <f>'d3'!H141-'d3-08'!H140</f>
        <v>0</v>
      </c>
      <c r="I141" s="228">
        <f>'d3'!I141-'d3-08'!I140</f>
        <v>0</v>
      </c>
      <c r="J141" s="228">
        <f>'d3'!J141-'d3-08'!J140</f>
        <v>0</v>
      </c>
      <c r="K141" s="228">
        <f>'d3'!K141-'d3-08'!K140</f>
        <v>0</v>
      </c>
      <c r="L141" s="228">
        <f>'d3'!L141-'d3-08'!L140</f>
        <v>0</v>
      </c>
      <c r="M141" s="228">
        <f>'d3'!M141-'d3-08'!M140</f>
        <v>0</v>
      </c>
      <c r="N141" s="228">
        <f>'d3'!N141-'d3-08'!N140</f>
        <v>0</v>
      </c>
      <c r="O141" s="228">
        <f>'d3'!O141-'d3-08'!O140</f>
        <v>0</v>
      </c>
      <c r="P141" s="228">
        <f>'d3'!P141-'d3-08'!P140</f>
        <v>0</v>
      </c>
      <c r="Q141" s="327"/>
    </row>
    <row r="142" spans="1:18" ht="145.5" thickTop="1" thickBot="1" x14ac:dyDescent="0.25">
      <c r="A142" s="501" t="s">
        <v>373</v>
      </c>
      <c r="B142" s="501" t="s">
        <v>374</v>
      </c>
      <c r="C142" s="501" t="s">
        <v>359</v>
      </c>
      <c r="D142" s="501" t="s">
        <v>646</v>
      </c>
      <c r="E142" s="228">
        <f>'d3'!E142-'d3-08'!E141</f>
        <v>0</v>
      </c>
      <c r="F142" s="228">
        <f>'d3'!F142-'d3-08'!F141</f>
        <v>0</v>
      </c>
      <c r="G142" s="228">
        <f>'d3'!G142-'d3-08'!G141</f>
        <v>0</v>
      </c>
      <c r="H142" s="228">
        <f>'d3'!H142-'d3-08'!H141</f>
        <v>0</v>
      </c>
      <c r="I142" s="228">
        <f>'d3'!I142-'d3-08'!I141</f>
        <v>0</v>
      </c>
      <c r="J142" s="228">
        <f>'d3'!J142-'d3-08'!J141</f>
        <v>0</v>
      </c>
      <c r="K142" s="228">
        <f>'d3'!K142-'d3-08'!K141</f>
        <v>0</v>
      </c>
      <c r="L142" s="228">
        <f>'d3'!L142-'d3-08'!L141</f>
        <v>0</v>
      </c>
      <c r="M142" s="228">
        <f>'d3'!M142-'d3-08'!M141</f>
        <v>0</v>
      </c>
      <c r="N142" s="228">
        <f>'d3'!N142-'d3-08'!N141</f>
        <v>0</v>
      </c>
      <c r="O142" s="228">
        <f>'d3'!O142-'d3-08'!O141</f>
        <v>0</v>
      </c>
      <c r="P142" s="228">
        <f>'d3'!P142-'d3-08'!P141</f>
        <v>0</v>
      </c>
      <c r="Q142" s="327"/>
    </row>
    <row r="143" spans="1:18" ht="99.75" thickTop="1" thickBot="1" x14ac:dyDescent="0.3">
      <c r="A143" s="501" t="s">
        <v>376</v>
      </c>
      <c r="B143" s="501" t="s">
        <v>377</v>
      </c>
      <c r="C143" s="501" t="s">
        <v>359</v>
      </c>
      <c r="D143" s="501" t="s">
        <v>645</v>
      </c>
      <c r="E143" s="228">
        <f>'d3'!E143-'d3-08'!E142</f>
        <v>0</v>
      </c>
      <c r="F143" s="228">
        <f>'d3'!F143-'d3-08'!F142</f>
        <v>0</v>
      </c>
      <c r="G143" s="228">
        <f>'d3'!G143-'d3-08'!G142</f>
        <v>0</v>
      </c>
      <c r="H143" s="228">
        <f>'d3'!H143-'d3-08'!H142</f>
        <v>0</v>
      </c>
      <c r="I143" s="228">
        <f>'d3'!I143-'d3-08'!I142</f>
        <v>0</v>
      </c>
      <c r="J143" s="228">
        <f>'d3'!J143-'d3-08'!J142</f>
        <v>1700000</v>
      </c>
      <c r="K143" s="228">
        <f>'d3'!K143-'d3-08'!K142</f>
        <v>1700000</v>
      </c>
      <c r="L143" s="228">
        <f>'d3'!L143-'d3-08'!L142</f>
        <v>0</v>
      </c>
      <c r="M143" s="228">
        <f>'d3'!M143-'d3-08'!M142</f>
        <v>0</v>
      </c>
      <c r="N143" s="228">
        <f>'d3'!N143-'d3-08'!N142</f>
        <v>0</v>
      </c>
      <c r="O143" s="228">
        <f>'d3'!O143-'d3-08'!O142</f>
        <v>1700000</v>
      </c>
      <c r="P143" s="228">
        <f>'d3'!P143-'d3-08'!P142</f>
        <v>1700000</v>
      </c>
      <c r="Q143" s="160"/>
    </row>
    <row r="144" spans="1:18" ht="138.75" thickTop="1" thickBot="1" x14ac:dyDescent="0.25">
      <c r="A144" s="501" t="s">
        <v>572</v>
      </c>
      <c r="B144" s="501" t="s">
        <v>428</v>
      </c>
      <c r="C144" s="501" t="s">
        <v>210</v>
      </c>
      <c r="D144" s="501" t="s">
        <v>313</v>
      </c>
      <c r="E144" s="228">
        <f>'d3'!E144-'d3-08'!E143</f>
        <v>0</v>
      </c>
      <c r="F144" s="228">
        <f>'d3'!F144-'d3-08'!F143</f>
        <v>0</v>
      </c>
      <c r="G144" s="228">
        <f>'d3'!G144-'d3-08'!G143</f>
        <v>0</v>
      </c>
      <c r="H144" s="228">
        <f>'d3'!H144-'d3-08'!H143</f>
        <v>0</v>
      </c>
      <c r="I144" s="228">
        <f>'d3'!I144-'d3-08'!I143</f>
        <v>0</v>
      </c>
      <c r="J144" s="228">
        <f>'d3'!J144-'d3-08'!J143</f>
        <v>0</v>
      </c>
      <c r="K144" s="228">
        <f>'d3'!K144-'d3-08'!K143</f>
        <v>0</v>
      </c>
      <c r="L144" s="228">
        <f>'d3'!L144-'d3-08'!L143</f>
        <v>0</v>
      </c>
      <c r="M144" s="228">
        <f>'d3'!M144-'d3-08'!M143</f>
        <v>0</v>
      </c>
      <c r="N144" s="228">
        <f>'d3'!N144-'d3-08'!N143</f>
        <v>0</v>
      </c>
      <c r="O144" s="228">
        <f>'d3'!O144-'d3-08'!O143</f>
        <v>0</v>
      </c>
      <c r="P144" s="228">
        <f>'d3'!P144-'d3-08'!P143</f>
        <v>0</v>
      </c>
    </row>
    <row r="145" spans="1:18" ht="271.5" thickTop="1" thickBot="1" x14ac:dyDescent="0.25">
      <c r="A145" s="451" t="s">
        <v>200</v>
      </c>
      <c r="B145" s="451"/>
      <c r="C145" s="451"/>
      <c r="D145" s="452" t="s">
        <v>928</v>
      </c>
      <c r="E145" s="453">
        <f>E146</f>
        <v>0</v>
      </c>
      <c r="F145" s="454">
        <f t="shared" ref="F145:G145" si="48">F146</f>
        <v>0</v>
      </c>
      <c r="G145" s="454">
        <f t="shared" si="48"/>
        <v>0</v>
      </c>
      <c r="H145" s="454">
        <f>H146</f>
        <v>0</v>
      </c>
      <c r="I145" s="453">
        <f t="shared" ref="I145" si="49">I146</f>
        <v>0</v>
      </c>
      <c r="J145" s="453">
        <f>J146</f>
        <v>0</v>
      </c>
      <c r="K145" s="454">
        <f>K146</f>
        <v>0</v>
      </c>
      <c r="L145" s="454">
        <f>L146</f>
        <v>0</v>
      </c>
      <c r="M145" s="454">
        <f t="shared" ref="M145" si="50">M146</f>
        <v>0</v>
      </c>
      <c r="N145" s="453">
        <f>N146</f>
        <v>0</v>
      </c>
      <c r="O145" s="453">
        <f>O146</f>
        <v>0</v>
      </c>
      <c r="P145" s="454">
        <f t="shared" ref="P145" si="51">P146</f>
        <v>0</v>
      </c>
    </row>
    <row r="146" spans="1:18" ht="271.5" thickTop="1" thickBot="1" x14ac:dyDescent="0.25">
      <c r="A146" s="455" t="s">
        <v>201</v>
      </c>
      <c r="B146" s="455"/>
      <c r="C146" s="455"/>
      <c r="D146" s="456" t="s">
        <v>929</v>
      </c>
      <c r="E146" s="457">
        <f>SUM(E147:E148)</f>
        <v>0</v>
      </c>
      <c r="F146" s="457">
        <f>SUM(F147:F148)</f>
        <v>0</v>
      </c>
      <c r="G146" s="457">
        <f>SUM(G147:G148)</f>
        <v>0</v>
      </c>
      <c r="H146" s="457">
        <f>SUM(H147:H148)</f>
        <v>0</v>
      </c>
      <c r="I146" s="457">
        <f>SUM(I147:I148)</f>
        <v>0</v>
      </c>
      <c r="J146" s="457">
        <f>L146+O146</f>
        <v>0</v>
      </c>
      <c r="K146" s="457">
        <f>SUM(K147:K148)</f>
        <v>0</v>
      </c>
      <c r="L146" s="457">
        <f>SUM(L147:L148)</f>
        <v>0</v>
      </c>
      <c r="M146" s="457">
        <f>SUM(M147:M148)</f>
        <v>0</v>
      </c>
      <c r="N146" s="457">
        <f>SUM(N147:N148)</f>
        <v>0</v>
      </c>
      <c r="O146" s="457">
        <f>SUM(O147:O148)</f>
        <v>0</v>
      </c>
      <c r="P146" s="458">
        <f>E146+J146</f>
        <v>0</v>
      </c>
      <c r="Q146" s="334" t="b">
        <f>P146=P147+P148</f>
        <v>1</v>
      </c>
      <c r="R146" s="335" t="b">
        <f>K146='d5'!J227</f>
        <v>0</v>
      </c>
    </row>
    <row r="147" spans="1:18" ht="230.25" thickTop="1" thickBot="1" x14ac:dyDescent="0.25">
      <c r="A147" s="501" t="s">
        <v>520</v>
      </c>
      <c r="B147" s="501" t="s">
        <v>286</v>
      </c>
      <c r="C147" s="501" t="s">
        <v>284</v>
      </c>
      <c r="D147" s="501" t="s">
        <v>285</v>
      </c>
      <c r="E147" s="228">
        <f>'d3'!E147-'d3-08'!E146</f>
        <v>0</v>
      </c>
      <c r="F147" s="228">
        <f>'d3'!F147-'d3-08'!F146</f>
        <v>0</v>
      </c>
      <c r="G147" s="228">
        <f>'d3'!G147-'d3-08'!G146</f>
        <v>0</v>
      </c>
      <c r="H147" s="228">
        <f>'d3'!H147-'d3-08'!H146</f>
        <v>0</v>
      </c>
      <c r="I147" s="228">
        <f>'d3'!I147-'d3-08'!I146</f>
        <v>0</v>
      </c>
      <c r="J147" s="228">
        <f>'d3'!J147-'d3-08'!J146</f>
        <v>0</v>
      </c>
      <c r="K147" s="228">
        <f>'d3'!K147-'d3-08'!K146</f>
        <v>0</v>
      </c>
      <c r="L147" s="228">
        <f>'d3'!L147-'d3-08'!L146</f>
        <v>0</v>
      </c>
      <c r="M147" s="228">
        <f>'d3'!M147-'d3-08'!M146</f>
        <v>0</v>
      </c>
      <c r="N147" s="228">
        <f>'d3'!N147-'d3-08'!N146</f>
        <v>0</v>
      </c>
      <c r="O147" s="228">
        <f>'d3'!O147-'d3-08'!O146</f>
        <v>0</v>
      </c>
      <c r="P147" s="228">
        <f>'d3'!P147-'d3-08'!P146</f>
        <v>0</v>
      </c>
      <c r="Q147" s="334"/>
      <c r="R147" s="335"/>
    </row>
    <row r="148" spans="1:18" ht="138.75" thickTop="1" thickBot="1" x14ac:dyDescent="0.25">
      <c r="A148" s="501" t="s">
        <v>754</v>
      </c>
      <c r="B148" s="501" t="s">
        <v>755</v>
      </c>
      <c r="C148" s="501" t="s">
        <v>359</v>
      </c>
      <c r="D148" s="501" t="s">
        <v>756</v>
      </c>
      <c r="E148" s="228">
        <f>'d3'!E148-'d3-08'!E147</f>
        <v>0</v>
      </c>
      <c r="F148" s="228">
        <f>'d3'!F148-'d3-08'!F147</f>
        <v>0</v>
      </c>
      <c r="G148" s="228">
        <f>'d3'!G148-'d3-08'!G147</f>
        <v>0</v>
      </c>
      <c r="H148" s="228">
        <f>'d3'!H148-'d3-08'!H147</f>
        <v>0</v>
      </c>
      <c r="I148" s="228">
        <f>'d3'!I148-'d3-08'!I147</f>
        <v>0</v>
      </c>
      <c r="J148" s="228">
        <f>'d3'!J148-'d3-08'!J147</f>
        <v>0</v>
      </c>
      <c r="K148" s="228">
        <f>'d3'!K148-'d3-08'!K147</f>
        <v>0</v>
      </c>
      <c r="L148" s="228">
        <f>'d3'!L148-'d3-08'!L147</f>
        <v>0</v>
      </c>
      <c r="M148" s="228">
        <f>'d3'!M148-'d3-08'!M147</f>
        <v>0</v>
      </c>
      <c r="N148" s="228">
        <f>'d3'!N148-'d3-08'!N147</f>
        <v>0</v>
      </c>
      <c r="O148" s="228">
        <f>'d3'!O148-'d3-08'!O147</f>
        <v>0</v>
      </c>
      <c r="P148" s="228">
        <f>'d3'!P148-'d3-08'!P147</f>
        <v>0</v>
      </c>
      <c r="Q148" s="334"/>
      <c r="R148" s="335"/>
    </row>
    <row r="149" spans="1:18" ht="136.5" thickTop="1" thickBot="1" x14ac:dyDescent="0.25">
      <c r="A149" s="451" t="s">
        <v>591</v>
      </c>
      <c r="B149" s="451"/>
      <c r="C149" s="451"/>
      <c r="D149" s="452" t="s">
        <v>593</v>
      </c>
      <c r="E149" s="453">
        <f>E150</f>
        <v>6656000</v>
      </c>
      <c r="F149" s="454">
        <f t="shared" ref="F149:G149" si="52">F150</f>
        <v>6656000</v>
      </c>
      <c r="G149" s="454">
        <f t="shared" si="52"/>
        <v>-103170</v>
      </c>
      <c r="H149" s="454">
        <f>H150</f>
        <v>0</v>
      </c>
      <c r="I149" s="453">
        <f t="shared" ref="I149" si="53">I150</f>
        <v>0</v>
      </c>
      <c r="J149" s="453">
        <f>J150</f>
        <v>0</v>
      </c>
      <c r="K149" s="454">
        <f>K150</f>
        <v>0</v>
      </c>
      <c r="L149" s="454">
        <f>L150</f>
        <v>0</v>
      </c>
      <c r="M149" s="454">
        <f t="shared" ref="M149" si="54">M150</f>
        <v>0</v>
      </c>
      <c r="N149" s="453">
        <f>N150</f>
        <v>0</v>
      </c>
      <c r="O149" s="453">
        <f>O150</f>
        <v>0</v>
      </c>
      <c r="P149" s="454">
        <f t="shared" ref="P149" si="55">P150</f>
        <v>6656000</v>
      </c>
    </row>
    <row r="150" spans="1:18" ht="181.5" thickTop="1" thickBot="1" x14ac:dyDescent="0.25">
      <c r="A150" s="455" t="s">
        <v>592</v>
      </c>
      <c r="B150" s="455"/>
      <c r="C150" s="455"/>
      <c r="D150" s="456" t="s">
        <v>594</v>
      </c>
      <c r="E150" s="457">
        <f>SUM(E151:E153)</f>
        <v>6656000</v>
      </c>
      <c r="F150" s="457">
        <f t="shared" ref="F150:O150" si="56">SUM(F151:F153)</f>
        <v>6656000</v>
      </c>
      <c r="G150" s="457">
        <f t="shared" si="56"/>
        <v>-103170</v>
      </c>
      <c r="H150" s="457">
        <f t="shared" si="56"/>
        <v>0</v>
      </c>
      <c r="I150" s="457">
        <f t="shared" si="56"/>
        <v>0</v>
      </c>
      <c r="J150" s="457">
        <f>L150+O150</f>
        <v>0</v>
      </c>
      <c r="K150" s="457">
        <f t="shared" si="56"/>
        <v>0</v>
      </c>
      <c r="L150" s="457">
        <f t="shared" si="56"/>
        <v>0</v>
      </c>
      <c r="M150" s="457">
        <f t="shared" si="56"/>
        <v>0</v>
      </c>
      <c r="N150" s="457">
        <f t="shared" si="56"/>
        <v>0</v>
      </c>
      <c r="O150" s="457">
        <f t="shared" si="56"/>
        <v>0</v>
      </c>
      <c r="P150" s="458">
        <f>E150+J150</f>
        <v>6656000</v>
      </c>
      <c r="Q150" s="334" t="b">
        <f>P150=P151+P152+P153</f>
        <v>1</v>
      </c>
      <c r="R150" s="335" t="b">
        <f>K150='d5'!J230</f>
        <v>0</v>
      </c>
    </row>
    <row r="151" spans="1:18" ht="230.25" thickTop="1" thickBot="1" x14ac:dyDescent="0.25">
      <c r="A151" s="501" t="s">
        <v>595</v>
      </c>
      <c r="B151" s="501" t="s">
        <v>286</v>
      </c>
      <c r="C151" s="501" t="s">
        <v>284</v>
      </c>
      <c r="D151" s="501" t="s">
        <v>285</v>
      </c>
      <c r="E151" s="228">
        <f>'d3'!E151-'d3-08'!E150</f>
        <v>-149000</v>
      </c>
      <c r="F151" s="228">
        <f>'d3'!F151-'d3-08'!F150</f>
        <v>-149000</v>
      </c>
      <c r="G151" s="228">
        <f>'d3'!G151-'d3-08'!G150</f>
        <v>-103170</v>
      </c>
      <c r="H151" s="228">
        <f>'d3'!H151-'d3-08'!H150</f>
        <v>0</v>
      </c>
      <c r="I151" s="228">
        <f>'d3'!I151-'d3-08'!I150</f>
        <v>0</v>
      </c>
      <c r="J151" s="228">
        <f>'d3'!J151-'d3-08'!J150</f>
        <v>0</v>
      </c>
      <c r="K151" s="228">
        <f>'d3'!K151-'d3-08'!K150</f>
        <v>0</v>
      </c>
      <c r="L151" s="228">
        <f>'d3'!L151-'d3-08'!L150</f>
        <v>0</v>
      </c>
      <c r="M151" s="228">
        <f>'d3'!M151-'d3-08'!M150</f>
        <v>0</v>
      </c>
      <c r="N151" s="228">
        <f>'d3'!N151-'d3-08'!N150</f>
        <v>0</v>
      </c>
      <c r="O151" s="228">
        <f>'d3'!O151-'d3-08'!O150</f>
        <v>0</v>
      </c>
      <c r="P151" s="228">
        <f>'d3'!P151-'d3-08'!P150</f>
        <v>-149000</v>
      </c>
      <c r="Q151" s="334"/>
      <c r="R151" s="335" t="b">
        <f>K151='d5'!J232</f>
        <v>0</v>
      </c>
    </row>
    <row r="152" spans="1:18" ht="93" hidden="1" thickTop="1" thickBot="1" x14ac:dyDescent="0.25">
      <c r="A152" s="501" t="s">
        <v>634</v>
      </c>
      <c r="B152" s="501" t="s">
        <v>510</v>
      </c>
      <c r="C152" s="501" t="s">
        <v>511</v>
      </c>
      <c r="D152" s="501" t="s">
        <v>512</v>
      </c>
      <c r="E152" s="502"/>
      <c r="F152" s="228"/>
      <c r="G152" s="228"/>
      <c r="H152" s="228"/>
      <c r="I152" s="228"/>
      <c r="J152" s="502"/>
      <c r="K152" s="228"/>
      <c r="L152" s="228"/>
      <c r="M152" s="228"/>
      <c r="N152" s="228"/>
      <c r="O152" s="503"/>
      <c r="P152" s="502"/>
      <c r="Q152" s="334"/>
      <c r="R152" s="335"/>
    </row>
    <row r="153" spans="1:18" ht="93" thickTop="1" thickBot="1" x14ac:dyDescent="0.25">
      <c r="A153" s="501" t="s">
        <v>635</v>
      </c>
      <c r="B153" s="501" t="s">
        <v>343</v>
      </c>
      <c r="C153" s="501" t="s">
        <v>345</v>
      </c>
      <c r="D153" s="501" t="s">
        <v>344</v>
      </c>
      <c r="E153" s="228">
        <f>'d3'!E153-'d3-08'!E152</f>
        <v>6805000</v>
      </c>
      <c r="F153" s="228">
        <f>'d3'!F153-'d3-08'!F152</f>
        <v>6805000</v>
      </c>
      <c r="G153" s="228">
        <f>'d3'!G153-'d3-08'!G152</f>
        <v>0</v>
      </c>
      <c r="H153" s="228">
        <f>'d3'!H153-'d3-08'!H152</f>
        <v>0</v>
      </c>
      <c r="I153" s="228">
        <f>'d3'!I153-'d3-08'!I152</f>
        <v>0</v>
      </c>
      <c r="J153" s="228">
        <f>'d3'!J153-'d3-08'!J152</f>
        <v>0</v>
      </c>
      <c r="K153" s="228">
        <f>'d3'!K153-'d3-08'!K152</f>
        <v>0</v>
      </c>
      <c r="L153" s="228">
        <f>'d3'!L153-'d3-08'!L152</f>
        <v>0</v>
      </c>
      <c r="M153" s="228">
        <f>'d3'!M153-'d3-08'!M152</f>
        <v>0</v>
      </c>
      <c r="N153" s="228">
        <f>'d3'!N153-'d3-08'!N152</f>
        <v>0</v>
      </c>
      <c r="O153" s="228">
        <f>'d3'!O153-'d3-08'!O152</f>
        <v>0</v>
      </c>
      <c r="P153" s="228">
        <f>'d3'!P153-'d3-08'!P152</f>
        <v>6805000</v>
      </c>
      <c r="Q153" s="334"/>
      <c r="R153" s="335"/>
    </row>
    <row r="154" spans="1:18" ht="136.5" thickTop="1" thickBot="1" x14ac:dyDescent="0.25">
      <c r="A154" s="451" t="s">
        <v>206</v>
      </c>
      <c r="B154" s="451"/>
      <c r="C154" s="451"/>
      <c r="D154" s="452" t="s">
        <v>432</v>
      </c>
      <c r="E154" s="453">
        <f>E155</f>
        <v>-27853</v>
      </c>
      <c r="F154" s="454">
        <f t="shared" ref="F154:G154" si="57">F155</f>
        <v>-27853</v>
      </c>
      <c r="G154" s="454">
        <f t="shared" si="57"/>
        <v>0</v>
      </c>
      <c r="H154" s="454">
        <f>H155</f>
        <v>0</v>
      </c>
      <c r="I154" s="453">
        <f t="shared" ref="I154" si="58">I155</f>
        <v>0</v>
      </c>
      <c r="J154" s="453">
        <f>J155</f>
        <v>404064</v>
      </c>
      <c r="K154" s="454">
        <f>K155</f>
        <v>404064</v>
      </c>
      <c r="L154" s="454">
        <f>L155</f>
        <v>0</v>
      </c>
      <c r="M154" s="454">
        <f t="shared" ref="M154" si="59">M155</f>
        <v>0</v>
      </c>
      <c r="N154" s="453">
        <f>N155</f>
        <v>0</v>
      </c>
      <c r="O154" s="453">
        <f>O155</f>
        <v>404064</v>
      </c>
      <c r="P154" s="454">
        <f t="shared" ref="P154" si="60">P155</f>
        <v>376211</v>
      </c>
    </row>
    <row r="155" spans="1:18" ht="136.5" thickTop="1" thickBot="1" x14ac:dyDescent="0.25">
      <c r="A155" s="455" t="s">
        <v>207</v>
      </c>
      <c r="B155" s="455"/>
      <c r="C155" s="455"/>
      <c r="D155" s="456" t="s">
        <v>433</v>
      </c>
      <c r="E155" s="457">
        <f>SUM(E156:E160)</f>
        <v>-27853</v>
      </c>
      <c r="F155" s="457">
        <f>SUM(F156:F160)</f>
        <v>-27853</v>
      </c>
      <c r="G155" s="457">
        <f>SUM(G156:G160)</f>
        <v>0</v>
      </c>
      <c r="H155" s="457">
        <f>SUM(H156:H160)</f>
        <v>0</v>
      </c>
      <c r="I155" s="457">
        <f>SUM(I156:I160)</f>
        <v>0</v>
      </c>
      <c r="J155" s="457">
        <f t="shared" ref="J155:J156" si="61">L155+O155</f>
        <v>404064</v>
      </c>
      <c r="K155" s="457">
        <f>SUM(K156:K160)</f>
        <v>404064</v>
      </c>
      <c r="L155" s="457">
        <f>SUM(L156:L160)</f>
        <v>0</v>
      </c>
      <c r="M155" s="457">
        <f>SUM(M156:M160)</f>
        <v>0</v>
      </c>
      <c r="N155" s="457">
        <f>SUM(N156:N160)</f>
        <v>0</v>
      </c>
      <c r="O155" s="457">
        <f>SUM(O156:O160)</f>
        <v>404064</v>
      </c>
      <c r="P155" s="458">
        <f t="shared" ref="P155:P156" si="62">E155+J155</f>
        <v>376211</v>
      </c>
      <c r="Q155" s="334" t="b">
        <f>P155=P156+P157+P158+P159+P160</f>
        <v>1</v>
      </c>
      <c r="R155" s="335" t="b">
        <f>K155='d5'!J234</f>
        <v>0</v>
      </c>
    </row>
    <row r="156" spans="1:18" ht="138.75" hidden="1" thickTop="1" thickBot="1" x14ac:dyDescent="0.25">
      <c r="A156" s="406" t="s">
        <v>427</v>
      </c>
      <c r="B156" s="406" t="s">
        <v>428</v>
      </c>
      <c r="C156" s="406" t="s">
        <v>210</v>
      </c>
      <c r="D156" s="406" t="s">
        <v>313</v>
      </c>
      <c r="E156" s="407">
        <f>F156</f>
        <v>0</v>
      </c>
      <c r="F156" s="410"/>
      <c r="G156" s="410"/>
      <c r="H156" s="410"/>
      <c r="I156" s="410"/>
      <c r="J156" s="407">
        <f t="shared" si="61"/>
        <v>0</v>
      </c>
      <c r="K156" s="410">
        <f>(3000000)-3000000</f>
        <v>0</v>
      </c>
      <c r="L156" s="410"/>
      <c r="M156" s="410"/>
      <c r="N156" s="410"/>
      <c r="O156" s="409">
        <f>K156</f>
        <v>0</v>
      </c>
      <c r="P156" s="407">
        <f t="shared" si="62"/>
        <v>0</v>
      </c>
      <c r="R156" s="335" t="b">
        <f>K156='d5'!J235</f>
        <v>1</v>
      </c>
    </row>
    <row r="157" spans="1:18" ht="93" thickTop="1" thickBot="1" x14ac:dyDescent="0.25">
      <c r="A157" s="501" t="s">
        <v>311</v>
      </c>
      <c r="B157" s="501" t="s">
        <v>312</v>
      </c>
      <c r="C157" s="501" t="s">
        <v>310</v>
      </c>
      <c r="D157" s="501" t="s">
        <v>309</v>
      </c>
      <c r="E157" s="228">
        <f>'d3'!E157-'d3-08'!E156</f>
        <v>16555</v>
      </c>
      <c r="F157" s="228">
        <f>'d3'!F157-'d3-08'!F156</f>
        <v>16555</v>
      </c>
      <c r="G157" s="228">
        <f>'d3'!G157-'d3-08'!G156</f>
        <v>0</v>
      </c>
      <c r="H157" s="228">
        <f>'d3'!H157-'d3-08'!H156</f>
        <v>0</v>
      </c>
      <c r="I157" s="228">
        <f>'d3'!I157-'d3-08'!I156</f>
        <v>0</v>
      </c>
      <c r="J157" s="228">
        <f>'d3'!J157-'d3-08'!J156</f>
        <v>0</v>
      </c>
      <c r="K157" s="228">
        <f>'d3'!K157-'d3-08'!K156</f>
        <v>0</v>
      </c>
      <c r="L157" s="228">
        <f>'d3'!L157-'d3-08'!L156</f>
        <v>0</v>
      </c>
      <c r="M157" s="228">
        <f>'d3'!M157-'d3-08'!M156</f>
        <v>0</v>
      </c>
      <c r="N157" s="228">
        <f>'d3'!N157-'d3-08'!N156</f>
        <v>0</v>
      </c>
      <c r="O157" s="228">
        <f>'d3'!O157-'d3-08'!O156</f>
        <v>0</v>
      </c>
      <c r="P157" s="228">
        <f>'d3'!P157-'d3-08'!P156</f>
        <v>16555</v>
      </c>
      <c r="R157" s="335"/>
    </row>
    <row r="158" spans="1:18" ht="138.75" thickTop="1" thickBot="1" x14ac:dyDescent="0.25">
      <c r="A158" s="501" t="s">
        <v>303</v>
      </c>
      <c r="B158" s="501" t="s">
        <v>305</v>
      </c>
      <c r="C158" s="501" t="s">
        <v>263</v>
      </c>
      <c r="D158" s="501" t="s">
        <v>304</v>
      </c>
      <c r="E158" s="228">
        <f>'d3'!E158-'d3-08'!E157</f>
        <v>0</v>
      </c>
      <c r="F158" s="228">
        <f>'d3'!F158-'d3-08'!F157</f>
        <v>0</v>
      </c>
      <c r="G158" s="228">
        <f>'d3'!G158-'d3-08'!G157</f>
        <v>0</v>
      </c>
      <c r="H158" s="228">
        <f>'d3'!H158-'d3-08'!H157</f>
        <v>0</v>
      </c>
      <c r="I158" s="228">
        <f>'d3'!I158-'d3-08'!I157</f>
        <v>0</v>
      </c>
      <c r="J158" s="228">
        <f>'d3'!J158-'d3-08'!J157</f>
        <v>0</v>
      </c>
      <c r="K158" s="228">
        <f>'d3'!K158-'d3-08'!K157</f>
        <v>0</v>
      </c>
      <c r="L158" s="228">
        <f>'d3'!L158-'d3-08'!L157</f>
        <v>0</v>
      </c>
      <c r="M158" s="228">
        <f>'d3'!M158-'d3-08'!M157</f>
        <v>0</v>
      </c>
      <c r="N158" s="228">
        <f>'d3'!N158-'d3-08'!N157</f>
        <v>0</v>
      </c>
      <c r="O158" s="228">
        <f>'d3'!O158-'d3-08'!O157</f>
        <v>0</v>
      </c>
      <c r="P158" s="228">
        <f>'d3'!P158-'d3-08'!P157</f>
        <v>0</v>
      </c>
      <c r="R158" s="335"/>
    </row>
    <row r="159" spans="1:18" ht="93" thickTop="1" thickBot="1" x14ac:dyDescent="0.25">
      <c r="A159" s="501" t="s">
        <v>307</v>
      </c>
      <c r="B159" s="501" t="s">
        <v>308</v>
      </c>
      <c r="C159" s="501" t="s">
        <v>210</v>
      </c>
      <c r="D159" s="501" t="s">
        <v>306</v>
      </c>
      <c r="E159" s="228">
        <f>'d3'!E159-'d3-08'!E158</f>
        <v>-44408</v>
      </c>
      <c r="F159" s="228">
        <f>'d3'!F159-'d3-08'!F158</f>
        <v>-44408</v>
      </c>
      <c r="G159" s="228">
        <f>'d3'!G159-'d3-08'!G158</f>
        <v>0</v>
      </c>
      <c r="H159" s="228">
        <f>'d3'!H159-'d3-08'!H158</f>
        <v>0</v>
      </c>
      <c r="I159" s="228">
        <f>'d3'!I159-'d3-08'!I158</f>
        <v>0</v>
      </c>
      <c r="J159" s="228">
        <f>'d3'!J159-'d3-08'!J158</f>
        <v>-95936</v>
      </c>
      <c r="K159" s="228">
        <f>'d3'!K159-'d3-08'!K158</f>
        <v>-95936</v>
      </c>
      <c r="L159" s="228">
        <f>'d3'!L159-'d3-08'!L158</f>
        <v>0</v>
      </c>
      <c r="M159" s="228">
        <f>'d3'!M159-'d3-08'!M158</f>
        <v>0</v>
      </c>
      <c r="N159" s="228">
        <f>'d3'!N159-'d3-08'!N158</f>
        <v>0</v>
      </c>
      <c r="O159" s="228">
        <f>'d3'!O159-'d3-08'!O158</f>
        <v>-95936</v>
      </c>
      <c r="P159" s="228">
        <f>'d3'!P159-'d3-08'!P158</f>
        <v>-140344</v>
      </c>
      <c r="R159" s="335" t="b">
        <f>K159='d5'!J236</f>
        <v>0</v>
      </c>
    </row>
    <row r="160" spans="1:18" ht="93" thickTop="1" thickBot="1" x14ac:dyDescent="0.25">
      <c r="A160" s="501" t="s">
        <v>996</v>
      </c>
      <c r="B160" s="501" t="s">
        <v>443</v>
      </c>
      <c r="C160" s="501" t="s">
        <v>53</v>
      </c>
      <c r="D160" s="501" t="s">
        <v>444</v>
      </c>
      <c r="E160" s="228">
        <f>'d3'!E160-0</f>
        <v>0</v>
      </c>
      <c r="F160" s="228">
        <f>'d3'!F160-0</f>
        <v>0</v>
      </c>
      <c r="G160" s="228">
        <f>'d3'!G160-0</f>
        <v>0</v>
      </c>
      <c r="H160" s="228">
        <f>'d3'!H160-0</f>
        <v>0</v>
      </c>
      <c r="I160" s="228">
        <f>'d3'!I160-0</f>
        <v>0</v>
      </c>
      <c r="J160" s="228">
        <f>'d3'!J160-0</f>
        <v>500000</v>
      </c>
      <c r="K160" s="228">
        <f>'d3'!K160-0</f>
        <v>500000</v>
      </c>
      <c r="L160" s="228">
        <f>'d3'!L160-0</f>
        <v>0</v>
      </c>
      <c r="M160" s="228">
        <f>'d3'!M160-0</f>
        <v>0</v>
      </c>
      <c r="N160" s="228">
        <f>'d3'!N160-0</f>
        <v>0</v>
      </c>
      <c r="O160" s="228">
        <f>'d3'!O160-0</f>
        <v>500000</v>
      </c>
      <c r="P160" s="228">
        <f>'d3'!P160-0</f>
        <v>500000</v>
      </c>
      <c r="R160" s="335" t="b">
        <f>K160='d5'!J237</f>
        <v>1</v>
      </c>
    </row>
    <row r="161" spans="1:18" ht="181.5" thickTop="1" thickBot="1" x14ac:dyDescent="0.25">
      <c r="A161" s="451" t="s">
        <v>204</v>
      </c>
      <c r="B161" s="451"/>
      <c r="C161" s="451"/>
      <c r="D161" s="452" t="s">
        <v>32</v>
      </c>
      <c r="E161" s="453">
        <f>E162</f>
        <v>38800</v>
      </c>
      <c r="F161" s="454">
        <f t="shared" ref="F161:G161" si="63">F162</f>
        <v>38800</v>
      </c>
      <c r="G161" s="454">
        <f t="shared" si="63"/>
        <v>0</v>
      </c>
      <c r="H161" s="454">
        <f>H162</f>
        <v>2500</v>
      </c>
      <c r="I161" s="453">
        <f t="shared" ref="I161" si="64">I162</f>
        <v>0</v>
      </c>
      <c r="J161" s="453">
        <f>J162</f>
        <v>0</v>
      </c>
      <c r="K161" s="454">
        <f>K162</f>
        <v>0</v>
      </c>
      <c r="L161" s="454">
        <f>L162</f>
        <v>0</v>
      </c>
      <c r="M161" s="454">
        <f t="shared" ref="M161" si="65">M162</f>
        <v>0</v>
      </c>
      <c r="N161" s="453">
        <f>N162</f>
        <v>0</v>
      </c>
      <c r="O161" s="453">
        <f>O162</f>
        <v>0</v>
      </c>
      <c r="P161" s="454">
        <f t="shared" ref="P161" si="66">P162</f>
        <v>38800</v>
      </c>
    </row>
    <row r="162" spans="1:18" ht="181.5" thickTop="1" thickBot="1" x14ac:dyDescent="0.25">
      <c r="A162" s="455" t="s">
        <v>205</v>
      </c>
      <c r="B162" s="455"/>
      <c r="C162" s="455"/>
      <c r="D162" s="456" t="s">
        <v>49</v>
      </c>
      <c r="E162" s="457">
        <f>SUM(E163:E168)</f>
        <v>38800</v>
      </c>
      <c r="F162" s="457">
        <f>SUM(F163:F168)</f>
        <v>38800</v>
      </c>
      <c r="G162" s="457">
        <f>SUM(G163:G168)</f>
        <v>0</v>
      </c>
      <c r="H162" s="457">
        <f>SUM(H163:H168)</f>
        <v>2500</v>
      </c>
      <c r="I162" s="457">
        <f>SUM(I163:I168)</f>
        <v>0</v>
      </c>
      <c r="J162" s="457">
        <f t="shared" ref="J162" si="67">L162+O162</f>
        <v>0</v>
      </c>
      <c r="K162" s="457">
        <f>SUM(K163:K168)</f>
        <v>0</v>
      </c>
      <c r="L162" s="457">
        <f>SUM(L163:L168)</f>
        <v>0</v>
      </c>
      <c r="M162" s="457">
        <f>SUM(M163:M168)</f>
        <v>0</v>
      </c>
      <c r="N162" s="457">
        <f>SUM(N163:N168)</f>
        <v>0</v>
      </c>
      <c r="O162" s="457">
        <f>SUM(O163:O168)</f>
        <v>0</v>
      </c>
      <c r="P162" s="458">
        <f t="shared" ref="P162" si="68">E162+J162</f>
        <v>38800</v>
      </c>
      <c r="Q162" s="334" t="b">
        <f>P162=P165+P168+P163+P166+P167+P164</f>
        <v>1</v>
      </c>
      <c r="R162" s="335"/>
    </row>
    <row r="163" spans="1:18" s="222" customFormat="1" ht="230.25" thickTop="1" thickBot="1" x14ac:dyDescent="0.25">
      <c r="A163" s="501" t="s">
        <v>523</v>
      </c>
      <c r="B163" s="501" t="s">
        <v>286</v>
      </c>
      <c r="C163" s="501" t="s">
        <v>284</v>
      </c>
      <c r="D163" s="501" t="s">
        <v>285</v>
      </c>
      <c r="E163" s="228">
        <f>'d3'!E163-'d3-08'!E161</f>
        <v>0</v>
      </c>
      <c r="F163" s="228">
        <f>'d3'!F163-'d3-08'!F161</f>
        <v>0</v>
      </c>
      <c r="G163" s="228">
        <f>'d3'!G163-'d3-08'!G161</f>
        <v>0</v>
      </c>
      <c r="H163" s="228">
        <f>'d3'!H163-'d3-08'!H161</f>
        <v>2500</v>
      </c>
      <c r="I163" s="228">
        <f>'d3'!I163-'d3-08'!I161</f>
        <v>0</v>
      </c>
      <c r="J163" s="228">
        <f>'d3'!J163-'d3-08'!J161</f>
        <v>0</v>
      </c>
      <c r="K163" s="228">
        <f>'d3'!K163-'d3-08'!K161</f>
        <v>0</v>
      </c>
      <c r="L163" s="228">
        <f>'d3'!L163-'d3-08'!L161</f>
        <v>0</v>
      </c>
      <c r="M163" s="228">
        <f>'d3'!M163-'d3-08'!M161</f>
        <v>0</v>
      </c>
      <c r="N163" s="228">
        <f>'d3'!N163-'d3-08'!N161</f>
        <v>0</v>
      </c>
      <c r="O163" s="228">
        <f>'d3'!O163-'d3-08'!O161</f>
        <v>0</v>
      </c>
      <c r="P163" s="228">
        <f>'d3'!P163-'d3-08'!P161</f>
        <v>0</v>
      </c>
      <c r="Q163" s="220"/>
      <c r="R163" s="221"/>
    </row>
    <row r="164" spans="1:18" s="222" customFormat="1" ht="93" thickTop="1" thickBot="1" x14ac:dyDescent="0.25">
      <c r="A164" s="501" t="s">
        <v>938</v>
      </c>
      <c r="B164" s="501" t="s">
        <v>308</v>
      </c>
      <c r="C164" s="501" t="s">
        <v>210</v>
      </c>
      <c r="D164" s="501" t="s">
        <v>306</v>
      </c>
      <c r="E164" s="228">
        <f>'d3'!E164-'d3-08'!E162</f>
        <v>38800</v>
      </c>
      <c r="F164" s="228">
        <f>'d3'!F164-'d3-08'!F162</f>
        <v>38800</v>
      </c>
      <c r="G164" s="228">
        <f>'d3'!G164-'d3-08'!G162</f>
        <v>0</v>
      </c>
      <c r="H164" s="228">
        <f>'d3'!H164-'d3-08'!H162</f>
        <v>0</v>
      </c>
      <c r="I164" s="228">
        <f>'d3'!I164-'d3-08'!I162</f>
        <v>0</v>
      </c>
      <c r="J164" s="228">
        <f>'d3'!J164-'d3-08'!J162</f>
        <v>0</v>
      </c>
      <c r="K164" s="228">
        <f>'d3'!K164-'d3-08'!K162</f>
        <v>0</v>
      </c>
      <c r="L164" s="228">
        <f>'d3'!L164-'d3-08'!L162</f>
        <v>0</v>
      </c>
      <c r="M164" s="228">
        <f>'d3'!M164-'d3-08'!M162</f>
        <v>0</v>
      </c>
      <c r="N164" s="228">
        <f>'d3'!N164-'d3-08'!N162</f>
        <v>0</v>
      </c>
      <c r="O164" s="228">
        <f>'d3'!O164-'d3-08'!O162</f>
        <v>0</v>
      </c>
      <c r="P164" s="228">
        <f>'d3'!P164-'d3-08'!P162</f>
        <v>38800</v>
      </c>
      <c r="Q164" s="220"/>
      <c r="R164" s="221"/>
    </row>
    <row r="165" spans="1:18" s="222" customFormat="1" ht="138.75" thickTop="1" thickBot="1" x14ac:dyDescent="0.25">
      <c r="A165" s="501" t="s">
        <v>366</v>
      </c>
      <c r="B165" s="501" t="s">
        <v>367</v>
      </c>
      <c r="C165" s="501" t="s">
        <v>62</v>
      </c>
      <c r="D165" s="501" t="s">
        <v>63</v>
      </c>
      <c r="E165" s="228">
        <f>'d3'!E165-'d3-08'!E163</f>
        <v>0</v>
      </c>
      <c r="F165" s="228">
        <f>'d3'!F165-'d3-08'!F163</f>
        <v>0</v>
      </c>
      <c r="G165" s="228">
        <f>'d3'!G165-'d3-08'!G163</f>
        <v>0</v>
      </c>
      <c r="H165" s="228">
        <f>'d3'!H165-'d3-08'!H163</f>
        <v>0</v>
      </c>
      <c r="I165" s="228">
        <f>'d3'!I165-'d3-08'!I163</f>
        <v>0</v>
      </c>
      <c r="J165" s="228">
        <f>'d3'!J165-'d3-08'!J163</f>
        <v>0</v>
      </c>
      <c r="K165" s="228">
        <f>'d3'!K165-'d3-08'!K163</f>
        <v>0</v>
      </c>
      <c r="L165" s="228">
        <f>'d3'!L165-'d3-08'!L163</f>
        <v>0</v>
      </c>
      <c r="M165" s="228">
        <f>'d3'!M165-'d3-08'!M163</f>
        <v>0</v>
      </c>
      <c r="N165" s="228">
        <f>'d3'!N165-'d3-08'!N163</f>
        <v>0</v>
      </c>
      <c r="O165" s="228">
        <f>'d3'!O165-'d3-08'!O163</f>
        <v>0</v>
      </c>
      <c r="P165" s="228">
        <f>'d3'!P165-'d3-08'!P163</f>
        <v>0</v>
      </c>
    </row>
    <row r="166" spans="1:18" s="222" customFormat="1" ht="48" thickTop="1" thickBot="1" x14ac:dyDescent="0.25">
      <c r="A166" s="501" t="s">
        <v>650</v>
      </c>
      <c r="B166" s="501" t="s">
        <v>651</v>
      </c>
      <c r="C166" s="501" t="s">
        <v>644</v>
      </c>
      <c r="D166" s="501" t="s">
        <v>652</v>
      </c>
      <c r="E166" s="228">
        <f>'d3'!E166-'d3-08'!E164</f>
        <v>0</v>
      </c>
      <c r="F166" s="228">
        <f>'d3'!F166-'d3-08'!F164</f>
        <v>0</v>
      </c>
      <c r="G166" s="228">
        <f>'d3'!G166-'d3-08'!G164</f>
        <v>0</v>
      </c>
      <c r="H166" s="228">
        <f>'d3'!H166-'d3-08'!H164</f>
        <v>0</v>
      </c>
      <c r="I166" s="228">
        <f>'d3'!I166-'d3-08'!I164</f>
        <v>0</v>
      </c>
      <c r="J166" s="228">
        <f>'d3'!J166-'d3-08'!J164</f>
        <v>0</v>
      </c>
      <c r="K166" s="228">
        <f>'d3'!K166-'d3-08'!K164</f>
        <v>0</v>
      </c>
      <c r="L166" s="228">
        <f>'d3'!L166-'d3-08'!L164</f>
        <v>0</v>
      </c>
      <c r="M166" s="228">
        <f>'d3'!M166-'d3-08'!M164</f>
        <v>0</v>
      </c>
      <c r="N166" s="228">
        <f>'d3'!N166-'d3-08'!N164</f>
        <v>0</v>
      </c>
      <c r="O166" s="228">
        <f>'d3'!O166-'d3-08'!O164</f>
        <v>0</v>
      </c>
      <c r="P166" s="228">
        <f>'d3'!P166-'d3-08'!P164</f>
        <v>0</v>
      </c>
    </row>
    <row r="167" spans="1:18" s="222" customFormat="1" ht="93" thickTop="1" thickBot="1" x14ac:dyDescent="0.25">
      <c r="A167" s="501" t="s">
        <v>759</v>
      </c>
      <c r="B167" s="501" t="s">
        <v>757</v>
      </c>
      <c r="C167" s="501" t="s">
        <v>760</v>
      </c>
      <c r="D167" s="501" t="s">
        <v>758</v>
      </c>
      <c r="E167" s="228">
        <f>'d3'!E167-'d3-08'!E165</f>
        <v>0</v>
      </c>
      <c r="F167" s="228">
        <f>'d3'!F167-'d3-08'!F165</f>
        <v>0</v>
      </c>
      <c r="G167" s="228">
        <f>'d3'!G167-'d3-08'!G165</f>
        <v>0</v>
      </c>
      <c r="H167" s="228">
        <f>'d3'!H167-'d3-08'!H165</f>
        <v>0</v>
      </c>
      <c r="I167" s="228">
        <f>'d3'!I167-'d3-08'!I165</f>
        <v>0</v>
      </c>
      <c r="J167" s="228">
        <f>'d3'!J167-'d3-08'!J165</f>
        <v>0</v>
      </c>
      <c r="K167" s="228">
        <f>'d3'!K167-'d3-08'!K165</f>
        <v>0</v>
      </c>
      <c r="L167" s="228">
        <f>'d3'!L167-'d3-08'!L165</f>
        <v>0</v>
      </c>
      <c r="M167" s="228">
        <f>'d3'!M167-'d3-08'!M165</f>
        <v>0</v>
      </c>
      <c r="N167" s="228">
        <f>'d3'!N167-'d3-08'!N165</f>
        <v>0</v>
      </c>
      <c r="O167" s="228">
        <f>'d3'!O167-'d3-08'!O165</f>
        <v>0</v>
      </c>
      <c r="P167" s="228">
        <f>'d3'!P167-'d3-08'!P165</f>
        <v>0</v>
      </c>
    </row>
    <row r="168" spans="1:18" s="222" customFormat="1" ht="93" thickTop="1" thickBot="1" x14ac:dyDescent="0.25">
      <c r="A168" s="501" t="s">
        <v>368</v>
      </c>
      <c r="B168" s="501" t="s">
        <v>369</v>
      </c>
      <c r="C168" s="501" t="s">
        <v>64</v>
      </c>
      <c r="D168" s="501" t="s">
        <v>653</v>
      </c>
      <c r="E168" s="228">
        <f>'d3'!E168-'d3-08'!E166</f>
        <v>0</v>
      </c>
      <c r="F168" s="228">
        <f>'d3'!F168-'d3-08'!F166</f>
        <v>0</v>
      </c>
      <c r="G168" s="228">
        <f>'d3'!G168-'d3-08'!G166</f>
        <v>0</v>
      </c>
      <c r="H168" s="228">
        <f>'d3'!H168-'d3-08'!H166</f>
        <v>0</v>
      </c>
      <c r="I168" s="228">
        <f>'d3'!I168-'d3-08'!I166</f>
        <v>0</v>
      </c>
      <c r="J168" s="228">
        <f>'d3'!J168-'d3-08'!J166</f>
        <v>0</v>
      </c>
      <c r="K168" s="228">
        <f>'d3'!K168-'d3-08'!K166</f>
        <v>0</v>
      </c>
      <c r="L168" s="228">
        <f>'d3'!L168-'d3-08'!L166</f>
        <v>0</v>
      </c>
      <c r="M168" s="228">
        <f>'d3'!M168-'d3-08'!M166</f>
        <v>0</v>
      </c>
      <c r="N168" s="228">
        <f>'d3'!N168-'d3-08'!N166</f>
        <v>0</v>
      </c>
      <c r="O168" s="228">
        <f>'d3'!O168-'d3-08'!O166</f>
        <v>0</v>
      </c>
      <c r="P168" s="228">
        <f>'d3'!P168-'d3-08'!P166</f>
        <v>0</v>
      </c>
    </row>
    <row r="169" spans="1:18" ht="316.5" thickTop="1" thickBot="1" x14ac:dyDescent="0.25">
      <c r="A169" s="451" t="s">
        <v>202</v>
      </c>
      <c r="B169" s="451"/>
      <c r="C169" s="451"/>
      <c r="D169" s="452" t="s">
        <v>930</v>
      </c>
      <c r="E169" s="453">
        <f>E170</f>
        <v>-721000</v>
      </c>
      <c r="F169" s="454">
        <f t="shared" ref="F169:G169" si="69">F170</f>
        <v>-721000</v>
      </c>
      <c r="G169" s="454">
        <f t="shared" si="69"/>
        <v>-661000</v>
      </c>
      <c r="H169" s="454">
        <f>H170</f>
        <v>0</v>
      </c>
      <c r="I169" s="453">
        <f t="shared" ref="I169" si="70">I170</f>
        <v>0</v>
      </c>
      <c r="J169" s="453">
        <f>J170</f>
        <v>0</v>
      </c>
      <c r="K169" s="454">
        <f>K170</f>
        <v>0</v>
      </c>
      <c r="L169" s="454">
        <f>L170</f>
        <v>0</v>
      </c>
      <c r="M169" s="454">
        <f t="shared" ref="M169" si="71">M170</f>
        <v>0</v>
      </c>
      <c r="N169" s="453">
        <f>N170</f>
        <v>0</v>
      </c>
      <c r="O169" s="453">
        <f>O170</f>
        <v>0</v>
      </c>
      <c r="P169" s="454">
        <f t="shared" ref="P169" si="72">P170</f>
        <v>-721000</v>
      </c>
    </row>
    <row r="170" spans="1:18" ht="316.5" thickTop="1" thickBot="1" x14ac:dyDescent="0.25">
      <c r="A170" s="455" t="s">
        <v>203</v>
      </c>
      <c r="B170" s="455"/>
      <c r="C170" s="455"/>
      <c r="D170" s="456" t="s">
        <v>931</v>
      </c>
      <c r="E170" s="457">
        <f>SUM(E171:E173)</f>
        <v>-721000</v>
      </c>
      <c r="F170" s="457">
        <f t="shared" ref="F170:N170" si="73">SUM(F171:F173)</f>
        <v>-721000</v>
      </c>
      <c r="G170" s="457">
        <f t="shared" si="73"/>
        <v>-661000</v>
      </c>
      <c r="H170" s="457">
        <f t="shared" si="73"/>
        <v>0</v>
      </c>
      <c r="I170" s="457">
        <f t="shared" si="73"/>
        <v>0</v>
      </c>
      <c r="J170" s="457">
        <f>L170+O170</f>
        <v>0</v>
      </c>
      <c r="K170" s="457">
        <f t="shared" si="73"/>
        <v>0</v>
      </c>
      <c r="L170" s="457">
        <f t="shared" si="73"/>
        <v>0</v>
      </c>
      <c r="M170" s="457">
        <f t="shared" si="73"/>
        <v>0</v>
      </c>
      <c r="N170" s="457">
        <f t="shared" si="73"/>
        <v>0</v>
      </c>
      <c r="O170" s="457">
        <f>SUM(O171:O173)</f>
        <v>0</v>
      </c>
      <c r="P170" s="458">
        <f>E170+J170</f>
        <v>-721000</v>
      </c>
      <c r="Q170" s="334" t="b">
        <f>P170=P172+P173+P171</f>
        <v>1</v>
      </c>
      <c r="R170" s="334" t="b">
        <f>K170='d5'!J238</f>
        <v>0</v>
      </c>
    </row>
    <row r="171" spans="1:18" ht="230.25" thickTop="1" thickBot="1" x14ac:dyDescent="0.25">
      <c r="A171" s="501" t="s">
        <v>519</v>
      </c>
      <c r="B171" s="501" t="s">
        <v>286</v>
      </c>
      <c r="C171" s="501" t="s">
        <v>284</v>
      </c>
      <c r="D171" s="501" t="s">
        <v>285</v>
      </c>
      <c r="E171" s="228">
        <f>'d3'!E171-'d3-08'!E169</f>
        <v>-721000</v>
      </c>
      <c r="F171" s="228">
        <f>'d3'!F171-'d3-08'!F169</f>
        <v>-721000</v>
      </c>
      <c r="G171" s="228">
        <f>'d3'!G171-'d3-08'!G169</f>
        <v>-661000</v>
      </c>
      <c r="H171" s="228">
        <f>'d3'!H171-'d3-08'!H169</f>
        <v>0</v>
      </c>
      <c r="I171" s="228">
        <f>'d3'!I171-'d3-08'!I169</f>
        <v>0</v>
      </c>
      <c r="J171" s="228">
        <f>'d3'!J171-'d3-08'!J169</f>
        <v>0</v>
      </c>
      <c r="K171" s="228">
        <f>'d3'!K171-'d3-08'!K169</f>
        <v>0</v>
      </c>
      <c r="L171" s="228">
        <f>'d3'!L171-'d3-08'!L169</f>
        <v>0</v>
      </c>
      <c r="M171" s="228">
        <f>'d3'!M171-'d3-08'!M169</f>
        <v>0</v>
      </c>
      <c r="N171" s="228">
        <f>'d3'!N171-'d3-08'!N169</f>
        <v>0</v>
      </c>
      <c r="O171" s="228">
        <f>'d3'!O171-'d3-08'!O169</f>
        <v>0</v>
      </c>
      <c r="P171" s="228">
        <f>'d3'!P171-'d3-08'!P169</f>
        <v>-721000</v>
      </c>
      <c r="Q171" s="334"/>
      <c r="R171" s="334"/>
    </row>
    <row r="172" spans="1:18" ht="93" thickTop="1" thickBot="1" x14ac:dyDescent="0.25">
      <c r="A172" s="501" t="s">
        <v>363</v>
      </c>
      <c r="B172" s="501" t="s">
        <v>364</v>
      </c>
      <c r="C172" s="501" t="s">
        <v>365</v>
      </c>
      <c r="D172" s="501" t="s">
        <v>621</v>
      </c>
      <c r="E172" s="228">
        <f>'d3'!E172-'d3-08'!E170</f>
        <v>0</v>
      </c>
      <c r="F172" s="228">
        <f>'d3'!F172-'d3-08'!F170</f>
        <v>0</v>
      </c>
      <c r="G172" s="228">
        <f>'d3'!G172-'d3-08'!G170</f>
        <v>0</v>
      </c>
      <c r="H172" s="228">
        <f>'d3'!H172-'d3-08'!H170</f>
        <v>0</v>
      </c>
      <c r="I172" s="228">
        <f>'d3'!I172-'d3-08'!I170</f>
        <v>0</v>
      </c>
      <c r="J172" s="228">
        <f>'d3'!J172-'d3-08'!J170</f>
        <v>0</v>
      </c>
      <c r="K172" s="228">
        <f>'d3'!K172-'d3-08'!K170</f>
        <v>0</v>
      </c>
      <c r="L172" s="228">
        <f>'d3'!L172-'d3-08'!L170</f>
        <v>0</v>
      </c>
      <c r="M172" s="228">
        <f>'d3'!M172-'d3-08'!M170</f>
        <v>0</v>
      </c>
      <c r="N172" s="228">
        <f>'d3'!N172-'d3-08'!N170</f>
        <v>0</v>
      </c>
      <c r="O172" s="228">
        <f>'d3'!O172-'d3-08'!O170</f>
        <v>0</v>
      </c>
      <c r="P172" s="228">
        <f>'d3'!P172-'d3-08'!P170</f>
        <v>0</v>
      </c>
    </row>
    <row r="173" spans="1:18" ht="138.75" thickTop="1" thickBot="1" x14ac:dyDescent="0.25">
      <c r="A173" s="501" t="s">
        <v>448</v>
      </c>
      <c r="B173" s="501" t="s">
        <v>449</v>
      </c>
      <c r="C173" s="501" t="s">
        <v>210</v>
      </c>
      <c r="D173" s="501" t="s">
        <v>450</v>
      </c>
      <c r="E173" s="228">
        <f>'d3'!E173-'d3-08'!E171</f>
        <v>0</v>
      </c>
      <c r="F173" s="228">
        <f>'d3'!F173-'d3-08'!F171</f>
        <v>0</v>
      </c>
      <c r="G173" s="228">
        <f>'d3'!G173-'d3-08'!G171</f>
        <v>0</v>
      </c>
      <c r="H173" s="228">
        <f>'d3'!H173-'d3-08'!H171</f>
        <v>0</v>
      </c>
      <c r="I173" s="228">
        <f>'d3'!I173-'d3-08'!I171</f>
        <v>0</v>
      </c>
      <c r="J173" s="228">
        <f>'d3'!J173-'d3-08'!J171</f>
        <v>0</v>
      </c>
      <c r="K173" s="228">
        <f>'d3'!K173-'d3-08'!K171</f>
        <v>0</v>
      </c>
      <c r="L173" s="228">
        <f>'d3'!L173-'d3-08'!L171</f>
        <v>0</v>
      </c>
      <c r="M173" s="228">
        <f>'d3'!M173-'d3-08'!M171</f>
        <v>0</v>
      </c>
      <c r="N173" s="228">
        <f>'d3'!N173-'d3-08'!N171</f>
        <v>0</v>
      </c>
      <c r="O173" s="228">
        <f>'d3'!O173-'d3-08'!O171</f>
        <v>0</v>
      </c>
      <c r="P173" s="228">
        <f>'d3'!P173-'d3-08'!P171</f>
        <v>0</v>
      </c>
    </row>
    <row r="174" spans="1:18" ht="136.5" thickTop="1" thickBot="1" x14ac:dyDescent="0.25">
      <c r="A174" s="451" t="s">
        <v>208</v>
      </c>
      <c r="B174" s="451"/>
      <c r="C174" s="451"/>
      <c r="D174" s="452" t="s">
        <v>33</v>
      </c>
      <c r="E174" s="453">
        <f>E175</f>
        <v>-230000</v>
      </c>
      <c r="F174" s="454">
        <f t="shared" ref="F174:G174" si="74">F175</f>
        <v>-230000</v>
      </c>
      <c r="G174" s="454">
        <f t="shared" si="74"/>
        <v>-200000</v>
      </c>
      <c r="H174" s="454">
        <f>H175</f>
        <v>0</v>
      </c>
      <c r="I174" s="453">
        <f t="shared" ref="I174" si="75">I175</f>
        <v>0</v>
      </c>
      <c r="J174" s="453">
        <f>J175</f>
        <v>0</v>
      </c>
      <c r="K174" s="454">
        <f>K175</f>
        <v>0</v>
      </c>
      <c r="L174" s="454">
        <f>L175</f>
        <v>0</v>
      </c>
      <c r="M174" s="454">
        <f t="shared" ref="M174" si="76">M175</f>
        <v>0</v>
      </c>
      <c r="N174" s="453">
        <f>N175</f>
        <v>0</v>
      </c>
      <c r="O174" s="453">
        <f>O175</f>
        <v>0</v>
      </c>
      <c r="P174" s="454">
        <f t="shared" ref="P174" si="77">P175</f>
        <v>-230000</v>
      </c>
    </row>
    <row r="175" spans="1:18" ht="136.5" thickTop="1" thickBot="1" x14ac:dyDescent="0.25">
      <c r="A175" s="455" t="s">
        <v>209</v>
      </c>
      <c r="B175" s="455"/>
      <c r="C175" s="455"/>
      <c r="D175" s="456" t="s">
        <v>50</v>
      </c>
      <c r="E175" s="457">
        <f>SUM(E176:E178)</f>
        <v>-230000</v>
      </c>
      <c r="F175" s="457">
        <f t="shared" ref="F175:N175" si="78">SUM(F176:F178)</f>
        <v>-230000</v>
      </c>
      <c r="G175" s="457">
        <f t="shared" si="78"/>
        <v>-200000</v>
      </c>
      <c r="H175" s="457">
        <f t="shared" si="78"/>
        <v>0</v>
      </c>
      <c r="I175" s="457">
        <f t="shared" si="78"/>
        <v>0</v>
      </c>
      <c r="J175" s="457">
        <f>L175+O175</f>
        <v>0</v>
      </c>
      <c r="K175" s="457">
        <f t="shared" si="78"/>
        <v>0</v>
      </c>
      <c r="L175" s="457">
        <f t="shared" si="78"/>
        <v>0</v>
      </c>
      <c r="M175" s="457">
        <f t="shared" si="78"/>
        <v>0</v>
      </c>
      <c r="N175" s="457">
        <f t="shared" si="78"/>
        <v>0</v>
      </c>
      <c r="O175" s="457">
        <f>SUM(O176:O178)</f>
        <v>0</v>
      </c>
      <c r="P175" s="458">
        <f>E175+J175</f>
        <v>-230000</v>
      </c>
      <c r="Q175" s="334" t="b">
        <f>P175=P177+P178+P179+P176</f>
        <v>1</v>
      </c>
      <c r="R175" s="335"/>
    </row>
    <row r="176" spans="1:18" ht="230.25" thickTop="1" thickBot="1" x14ac:dyDescent="0.25">
      <c r="A176" s="501" t="s">
        <v>521</v>
      </c>
      <c r="B176" s="501" t="s">
        <v>286</v>
      </c>
      <c r="C176" s="501" t="s">
        <v>284</v>
      </c>
      <c r="D176" s="501" t="s">
        <v>285</v>
      </c>
      <c r="E176" s="228">
        <f>'d3'!E176-'d3-08'!E174</f>
        <v>-230000</v>
      </c>
      <c r="F176" s="228">
        <f>'d3'!F176-'d3-08'!F174</f>
        <v>-230000</v>
      </c>
      <c r="G176" s="228">
        <f>'d3'!G176-'d3-08'!G174</f>
        <v>-200000</v>
      </c>
      <c r="H176" s="228">
        <f>'d3'!H176-'d3-08'!H174</f>
        <v>0</v>
      </c>
      <c r="I176" s="228">
        <f>'d3'!I176-'d3-08'!I174</f>
        <v>0</v>
      </c>
      <c r="J176" s="228">
        <f>'d3'!J176-'d3-08'!J174</f>
        <v>0</v>
      </c>
      <c r="K176" s="228">
        <f>'d3'!K176-'d3-08'!K174</f>
        <v>0</v>
      </c>
      <c r="L176" s="228">
        <f>'d3'!L176-'d3-08'!L174</f>
        <v>0</v>
      </c>
      <c r="M176" s="228">
        <f>'d3'!M176-'d3-08'!M174</f>
        <v>0</v>
      </c>
      <c r="N176" s="228">
        <f>'d3'!N176-'d3-08'!N174</f>
        <v>0</v>
      </c>
      <c r="O176" s="228">
        <f>'d3'!O176-'d3-08'!O174</f>
        <v>0</v>
      </c>
      <c r="P176" s="228">
        <f>'d3'!P176-'d3-08'!P174</f>
        <v>-230000</v>
      </c>
      <c r="Q176" s="334"/>
      <c r="R176" s="335"/>
    </row>
    <row r="177" spans="1:18" ht="93" thickTop="1" thickBot="1" x14ac:dyDescent="0.25">
      <c r="A177" s="229">
        <v>3718600</v>
      </c>
      <c r="B177" s="229">
        <v>8600</v>
      </c>
      <c r="C177" s="501" t="s">
        <v>442</v>
      </c>
      <c r="D177" s="229" t="s">
        <v>603</v>
      </c>
      <c r="E177" s="228">
        <f>'d3'!E177-'d3-08'!E175</f>
        <v>0</v>
      </c>
      <c r="F177" s="228">
        <f>'d3'!F177-'d3-08'!F175</f>
        <v>0</v>
      </c>
      <c r="G177" s="228">
        <f>'d3'!G177-'d3-08'!G175</f>
        <v>0</v>
      </c>
      <c r="H177" s="228">
        <f>'d3'!H177-'d3-08'!H175</f>
        <v>0</v>
      </c>
      <c r="I177" s="228">
        <f>'d3'!I177-'d3-08'!I175</f>
        <v>0</v>
      </c>
      <c r="J177" s="228">
        <f>'d3'!J177-'d3-08'!J175</f>
        <v>0</v>
      </c>
      <c r="K177" s="228">
        <f>'d3'!K177-'d3-08'!K175</f>
        <v>0</v>
      </c>
      <c r="L177" s="228">
        <f>'d3'!L177-'d3-08'!L175</f>
        <v>0</v>
      </c>
      <c r="M177" s="228">
        <f>'d3'!M177-'d3-08'!M175</f>
        <v>0</v>
      </c>
      <c r="N177" s="228">
        <f>'d3'!N177-'d3-08'!N175</f>
        <v>0</v>
      </c>
      <c r="O177" s="228">
        <f>'d3'!O177-'d3-08'!O175</f>
        <v>0</v>
      </c>
      <c r="P177" s="228">
        <f>'d3'!P177-'d3-08'!P175</f>
        <v>0</v>
      </c>
    </row>
    <row r="178" spans="1:18" ht="48" thickTop="1" thickBot="1" x14ac:dyDescent="0.25">
      <c r="A178" s="229">
        <v>3718700</v>
      </c>
      <c r="B178" s="229">
        <v>8700</v>
      </c>
      <c r="C178" s="501" t="s">
        <v>52</v>
      </c>
      <c r="D178" s="230" t="s">
        <v>602</v>
      </c>
      <c r="E178" s="228">
        <f>'d3'!E178-'d3-08'!E176</f>
        <v>0</v>
      </c>
      <c r="F178" s="228">
        <f>'d3'!F178-'d3-08'!F176</f>
        <v>0</v>
      </c>
      <c r="G178" s="228">
        <f>'d3'!G178-'d3-08'!G176</f>
        <v>0</v>
      </c>
      <c r="H178" s="228">
        <f>'d3'!H178-'d3-08'!H176</f>
        <v>0</v>
      </c>
      <c r="I178" s="228">
        <f>'d3'!I178-'d3-08'!I176</f>
        <v>0</v>
      </c>
      <c r="J178" s="228">
        <f>'d3'!J178-'d3-08'!J176</f>
        <v>0</v>
      </c>
      <c r="K178" s="228">
        <f>'d3'!K178-'d3-08'!K176</f>
        <v>0</v>
      </c>
      <c r="L178" s="228">
        <f>'d3'!L178-'d3-08'!L176</f>
        <v>0</v>
      </c>
      <c r="M178" s="228">
        <f>'d3'!M178-'d3-08'!M176</f>
        <v>0</v>
      </c>
      <c r="N178" s="228">
        <f>'d3'!N178-'d3-08'!N176</f>
        <v>0</v>
      </c>
      <c r="O178" s="228">
        <f>'d3'!O178-'d3-08'!O176</f>
        <v>0</v>
      </c>
      <c r="P178" s="228">
        <f>'d3'!P178-'d3-08'!P176</f>
        <v>0</v>
      </c>
    </row>
    <row r="179" spans="1:18" ht="48" thickTop="1" thickBot="1" x14ac:dyDescent="0.25">
      <c r="A179" s="229">
        <v>3719110</v>
      </c>
      <c r="B179" s="229">
        <v>9110</v>
      </c>
      <c r="C179" s="501" t="s">
        <v>53</v>
      </c>
      <c r="D179" s="230" t="s">
        <v>601</v>
      </c>
      <c r="E179" s="228">
        <f>'d3'!E179-'d3-08'!E177</f>
        <v>0</v>
      </c>
      <c r="F179" s="228">
        <f>'d3'!F179-'d3-08'!F177</f>
        <v>0</v>
      </c>
      <c r="G179" s="228">
        <f>'d3'!G179-'d3-08'!G177</f>
        <v>0</v>
      </c>
      <c r="H179" s="228">
        <f>'d3'!H179-'d3-08'!H177</f>
        <v>0</v>
      </c>
      <c r="I179" s="228">
        <f>'d3'!I179-'d3-08'!I177</f>
        <v>0</v>
      </c>
      <c r="J179" s="228">
        <f>'d3'!J179-'d3-08'!J177</f>
        <v>0</v>
      </c>
      <c r="K179" s="228">
        <f>'d3'!K179-'d3-08'!K177</f>
        <v>0</v>
      </c>
      <c r="L179" s="228">
        <f>'d3'!L179-'d3-08'!L177</f>
        <v>0</v>
      </c>
      <c r="M179" s="228">
        <f>'d3'!M179-'d3-08'!M177</f>
        <v>0</v>
      </c>
      <c r="N179" s="228">
        <f>'d3'!N179-'d3-08'!N177</f>
        <v>0</v>
      </c>
      <c r="O179" s="228">
        <f>'d3'!O179-'d3-08'!O177</f>
        <v>0</v>
      </c>
      <c r="P179" s="228">
        <f>'d3'!P179-'d3-08'!P177</f>
        <v>0</v>
      </c>
    </row>
    <row r="180" spans="1:18" ht="159.75" customHeight="1" thickTop="1" thickBot="1" x14ac:dyDescent="0.25">
      <c r="A180" s="175" t="s">
        <v>470</v>
      </c>
      <c r="B180" s="175" t="s">
        <v>470</v>
      </c>
      <c r="C180" s="175" t="s">
        <v>470</v>
      </c>
      <c r="D180" s="176" t="s">
        <v>480</v>
      </c>
      <c r="E180" s="177">
        <f>E17+E30+E101+E43+E57+E92+E116+E136+E146+E175+E155+E162+E170+E150</f>
        <v>5230514.5799999917</v>
      </c>
      <c r="F180" s="177">
        <f>F17+F30+F101+F43+F56+F92+F116+F136+F146+F175+F155+F162+F170+F150</f>
        <v>5230514.5799999917</v>
      </c>
      <c r="G180" s="177">
        <f t="shared" ref="G180:O180" si="79">G17+G30+G101+G43+G57+G92+G116+G136+G146+G175+G155+G162+G170+G150</f>
        <v>1787507.2200000007</v>
      </c>
      <c r="H180" s="177">
        <f t="shared" si="79"/>
        <v>-10889660</v>
      </c>
      <c r="I180" s="177">
        <f t="shared" si="79"/>
        <v>0</v>
      </c>
      <c r="J180" s="177">
        <f t="shared" si="79"/>
        <v>13535973.419999998</v>
      </c>
      <c r="K180" s="177">
        <f t="shared" si="79"/>
        <v>13235973.419999998</v>
      </c>
      <c r="L180" s="177">
        <f t="shared" si="79"/>
        <v>194500</v>
      </c>
      <c r="M180" s="177">
        <f t="shared" si="79"/>
        <v>38000</v>
      </c>
      <c r="N180" s="177">
        <f t="shared" si="79"/>
        <v>4220</v>
      </c>
      <c r="O180" s="177">
        <f t="shared" si="79"/>
        <v>13341473.419999998</v>
      </c>
      <c r="P180" s="177">
        <f>P17+P30+P101+P43+P56+P92+P116+P136+P146+P175+P155+P162+P170+P150</f>
        <v>18766487.999999989</v>
      </c>
      <c r="Q180" s="93" t="b">
        <f>K180='d5'!J245</f>
        <v>0</v>
      </c>
      <c r="R180" s="93"/>
    </row>
    <row r="181" spans="1:18" ht="46.5" thickTop="1" x14ac:dyDescent="0.2">
      <c r="A181" s="573" t="s">
        <v>711</v>
      </c>
      <c r="B181" s="574"/>
      <c r="C181" s="574"/>
      <c r="D181" s="574"/>
      <c r="E181" s="574"/>
      <c r="F181" s="574"/>
      <c r="G181" s="574"/>
      <c r="H181" s="574"/>
      <c r="I181" s="574"/>
      <c r="J181" s="574"/>
      <c r="K181" s="574"/>
      <c r="L181" s="574"/>
      <c r="M181" s="574"/>
      <c r="N181" s="574"/>
      <c r="O181" s="574"/>
      <c r="P181" s="574"/>
      <c r="Q181" s="340"/>
    </row>
    <row r="182" spans="1:18" ht="60.75" hidden="1" x14ac:dyDescent="0.2">
      <c r="A182" s="505"/>
      <c r="B182" s="506"/>
      <c r="C182" s="506"/>
      <c r="D182" s="506"/>
      <c r="E182" s="158">
        <f>F182</f>
        <v>2197903768.23</v>
      </c>
      <c r="F182" s="158">
        <f>2202938938.65+5430514.58-6767985-3697700</f>
        <v>2197903768.23</v>
      </c>
      <c r="G182" s="158">
        <f>1049337190.54-1131347-233190.78+986310+2148915+16820</f>
        <v>1051124697.76</v>
      </c>
      <c r="H182" s="158">
        <f>77572092-23500-85000-10320600-30000-394000-39060</f>
        <v>66679932</v>
      </c>
      <c r="I182" s="158"/>
      <c r="J182" s="158">
        <f>499053876.81+13335973.42-2319792</f>
        <v>510070058.23000002</v>
      </c>
      <c r="K182" s="158">
        <f>348471700.83+13335973.42-2319792-300000</f>
        <v>359187882.25</v>
      </c>
      <c r="L182" s="158">
        <f>147808771.28-10500+300000</f>
        <v>148098271.28</v>
      </c>
      <c r="M182" s="158">
        <f>45850596+38000</f>
        <v>45888596</v>
      </c>
      <c r="N182" s="158">
        <v>9426912</v>
      </c>
      <c r="O182" s="158">
        <f>351245105.53+13335973.42-2319792+10500-300000</f>
        <v>361971786.94999999</v>
      </c>
      <c r="P182" s="158">
        <f>2701992815.46+18766488-2319792-6767985-3697700</f>
        <v>2707973826.46</v>
      </c>
      <c r="Q182" s="93" t="b">
        <f>E182+J182=P182</f>
        <v>1</v>
      </c>
      <c r="R182" s="340"/>
    </row>
    <row r="183" spans="1:18" ht="45.75" x14ac:dyDescent="0.2">
      <c r="A183" s="505"/>
      <c r="B183" s="506"/>
      <c r="C183" s="506"/>
      <c r="D183" s="506"/>
      <c r="E183" s="506"/>
      <c r="F183" s="506"/>
      <c r="G183" s="506"/>
      <c r="H183" s="506"/>
      <c r="I183" s="506"/>
      <c r="J183" s="506"/>
      <c r="K183" s="506"/>
      <c r="L183" s="506"/>
      <c r="M183" s="506"/>
      <c r="N183" s="506"/>
      <c r="O183" s="506"/>
      <c r="P183" s="506"/>
      <c r="Q183" s="340"/>
    </row>
    <row r="184" spans="1:18" ht="45.75" x14ac:dyDescent="0.65">
      <c r="A184" s="499"/>
      <c r="B184" s="499"/>
      <c r="C184" s="499"/>
      <c r="D184" s="541" t="s">
        <v>1001</v>
      </c>
      <c r="E184" s="541"/>
      <c r="F184" s="541"/>
      <c r="G184" s="541"/>
      <c r="H184" s="541"/>
      <c r="I184" s="541"/>
      <c r="J184" s="541"/>
      <c r="K184" s="541"/>
      <c r="L184" s="541"/>
      <c r="M184" s="541"/>
      <c r="N184" s="541"/>
      <c r="O184" s="541"/>
      <c r="P184" s="541"/>
      <c r="Q184" s="7"/>
    </row>
    <row r="185" spans="1:18" ht="150.75" hidden="1" customHeight="1" x14ac:dyDescent="0.65">
      <c r="D185" s="541" t="s">
        <v>923</v>
      </c>
      <c r="E185" s="541"/>
      <c r="F185" s="541"/>
      <c r="G185" s="541"/>
      <c r="H185" s="541"/>
      <c r="I185" s="541"/>
      <c r="J185" s="541"/>
      <c r="K185" s="541"/>
      <c r="L185" s="541"/>
      <c r="M185" s="541"/>
      <c r="N185" s="541"/>
      <c r="O185" s="541"/>
      <c r="P185" s="541"/>
    </row>
    <row r="186" spans="1:18" ht="95.25" customHeight="1" x14ac:dyDescent="0.55000000000000004">
      <c r="Q186" s="331"/>
    </row>
    <row r="187" spans="1:18" hidden="1" x14ac:dyDescent="0.2">
      <c r="E187" s="4"/>
      <c r="F187" s="3"/>
      <c r="J187" s="4"/>
      <c r="K187" s="4"/>
    </row>
    <row r="188" spans="1:18" hidden="1" x14ac:dyDescent="0.2">
      <c r="E188" s="4"/>
      <c r="F188" s="3"/>
      <c r="J188" s="4"/>
      <c r="K188" s="4"/>
    </row>
    <row r="189" spans="1:18" ht="60.75" x14ac:dyDescent="0.2">
      <c r="E189" s="93" t="b">
        <f>E182=E180</f>
        <v>0</v>
      </c>
      <c r="F189" s="93" t="b">
        <f>F182=F180</f>
        <v>0</v>
      </c>
      <c r="G189" s="93" t="b">
        <f>G182=G180</f>
        <v>0</v>
      </c>
      <c r="H189" s="93" t="b">
        <f t="shared" ref="H189:O189" si="80">H182=H180</f>
        <v>0</v>
      </c>
      <c r="I189" s="93" t="b">
        <f>I182=I180</f>
        <v>1</v>
      </c>
      <c r="J189" s="93" t="b">
        <f>J182=J180</f>
        <v>0</v>
      </c>
      <c r="K189" s="93" t="b">
        <f>K182=K180</f>
        <v>0</v>
      </c>
      <c r="L189" s="93" t="b">
        <f t="shared" si="80"/>
        <v>0</v>
      </c>
      <c r="M189" s="93" t="b">
        <f t="shared" si="80"/>
        <v>0</v>
      </c>
      <c r="N189" s="93" t="b">
        <f t="shared" si="80"/>
        <v>0</v>
      </c>
      <c r="O189" s="93" t="b">
        <f t="shared" si="80"/>
        <v>0</v>
      </c>
      <c r="P189" s="93" t="b">
        <f>P182=P180</f>
        <v>0</v>
      </c>
    </row>
    <row r="190" spans="1:18" ht="60.75" x14ac:dyDescent="0.2">
      <c r="E190" s="93" t="b">
        <f>E180=F180</f>
        <v>1</v>
      </c>
      <c r="F190" s="343">
        <f>F178/E180*100</f>
        <v>0</v>
      </c>
      <c r="G190" s="100" t="s">
        <v>388</v>
      </c>
      <c r="I190" s="344"/>
      <c r="J190" s="93" t="b">
        <f>J182=L182+O182</f>
        <v>1</v>
      </c>
      <c r="K190" s="345"/>
      <c r="L190" s="93"/>
      <c r="M190" s="344"/>
      <c r="N190" s="344"/>
      <c r="O190" s="93"/>
      <c r="P190" s="93" t="b">
        <f>E180+J180=P180</f>
        <v>1</v>
      </c>
    </row>
    <row r="191" spans="1:18" x14ac:dyDescent="0.2">
      <c r="E191" s="346"/>
      <c r="F191" s="347"/>
      <c r="G191" s="346"/>
      <c r="H191" s="346"/>
      <c r="I191" s="346"/>
      <c r="J191" s="4"/>
      <c r="K191" s="4"/>
    </row>
    <row r="192" spans="1:18" ht="45.75" x14ac:dyDescent="0.2">
      <c r="A192" s="496"/>
      <c r="B192" s="496"/>
      <c r="C192" s="496"/>
      <c r="D192" s="6"/>
      <c r="E192" s="496"/>
      <c r="F192" s="100">
        <f>F178/P180*100</f>
        <v>0</v>
      </c>
      <c r="G192" s="100" t="s">
        <v>388</v>
      </c>
      <c r="I192" s="6"/>
      <c r="J192" s="106"/>
      <c r="K192" s="106">
        <f>K180-K182</f>
        <v>-345951908.82999998</v>
      </c>
      <c r="L192" s="106">
        <f t="shared" ref="L192:P192" si="81">L180-L182</f>
        <v>-147903771.28</v>
      </c>
      <c r="M192" s="106">
        <f t="shared" si="81"/>
        <v>-45850596</v>
      </c>
      <c r="N192" s="106">
        <f t="shared" si="81"/>
        <v>-9422692</v>
      </c>
      <c r="O192" s="106">
        <f t="shared" si="81"/>
        <v>-348630313.52999997</v>
      </c>
      <c r="P192" s="106">
        <f t="shared" si="81"/>
        <v>-2689207338.46</v>
      </c>
    </row>
    <row r="193" spans="1:18" ht="60.75" x14ac:dyDescent="0.2">
      <c r="D193" s="6"/>
      <c r="E193" s="106"/>
      <c r="F193" s="348">
        <f>F180-F182</f>
        <v>-2192673253.6500001</v>
      </c>
      <c r="G193" s="93">
        <f>G180-G182</f>
        <v>-1049337190.54</v>
      </c>
      <c r="I193" s="6"/>
      <c r="J193" s="106"/>
      <c r="K193" s="106"/>
      <c r="L193" s="250"/>
      <c r="P193" s="93"/>
      <c r="Q193" s="337"/>
      <c r="R193" s="93"/>
    </row>
    <row r="194" spans="1:18" ht="60.75" x14ac:dyDescent="0.2">
      <c r="A194" s="496"/>
      <c r="B194" s="496"/>
      <c r="C194" s="496"/>
      <c r="D194" s="6"/>
      <c r="E194" s="328"/>
      <c r="F194" s="328"/>
      <c r="G194" s="328"/>
      <c r="H194" s="328"/>
      <c r="I194" s="349"/>
      <c r="J194" s="328"/>
      <c r="K194" s="328"/>
      <c r="L194" s="328"/>
      <c r="M194" s="328"/>
      <c r="N194" s="328"/>
      <c r="O194" s="328"/>
      <c r="P194" s="328"/>
      <c r="Q194" s="337"/>
      <c r="R194" s="93"/>
    </row>
    <row r="195" spans="1:18" ht="60.75" x14ac:dyDescent="0.2">
      <c r="D195" s="6"/>
      <c r="E195" s="106"/>
      <c r="F195" s="130"/>
      <c r="O195" s="93"/>
      <c r="P195" s="93"/>
    </row>
    <row r="196" spans="1:18" ht="60.75" x14ac:dyDescent="0.2">
      <c r="A196" s="496"/>
      <c r="B196" s="496"/>
      <c r="C196" s="496"/>
      <c r="D196" s="6"/>
      <c r="E196" s="106"/>
      <c r="F196" s="100"/>
      <c r="G196" s="250"/>
      <c r="I196" s="481"/>
      <c r="J196" s="4"/>
      <c r="K196" s="4"/>
      <c r="L196" s="496"/>
      <c r="M196" s="496"/>
      <c r="N196" s="496"/>
      <c r="O196" s="496"/>
      <c r="P196" s="93"/>
    </row>
    <row r="197" spans="1:18" ht="62.25" x14ac:dyDescent="0.8">
      <c r="A197" s="496"/>
      <c r="B197" s="496"/>
      <c r="C197" s="496"/>
      <c r="D197" s="496"/>
      <c r="E197" s="11"/>
      <c r="F197" s="100"/>
      <c r="J197" s="4"/>
      <c r="K197" s="4"/>
      <c r="L197" s="496"/>
      <c r="M197" s="496"/>
      <c r="N197" s="496"/>
      <c r="O197" s="496"/>
      <c r="P197" s="111"/>
    </row>
    <row r="198" spans="1:18" ht="45.75" x14ac:dyDescent="0.2">
      <c r="E198" s="252">
        <f>E178/E180</f>
        <v>0</v>
      </c>
      <c r="F198" s="130"/>
    </row>
    <row r="199" spans="1:18" ht="45.75" x14ac:dyDescent="0.2">
      <c r="A199" s="496"/>
      <c r="B199" s="496"/>
      <c r="C199" s="496"/>
      <c r="D199" s="496"/>
      <c r="E199" s="11"/>
      <c r="F199" s="100"/>
      <c r="L199" s="496"/>
      <c r="M199" s="496"/>
      <c r="N199" s="496"/>
      <c r="O199" s="496"/>
      <c r="P199" s="496"/>
    </row>
    <row r="200" spans="1:18" ht="45.75" x14ac:dyDescent="0.2">
      <c r="E200" s="12"/>
      <c r="F200" s="130"/>
    </row>
    <row r="201" spans="1:18" ht="45.75" x14ac:dyDescent="0.2">
      <c r="E201" s="12"/>
      <c r="F201" s="130"/>
    </row>
    <row r="202" spans="1:18" ht="45.75" x14ac:dyDescent="0.2">
      <c r="E202" s="12"/>
      <c r="F202" s="130"/>
    </row>
    <row r="203" spans="1:18" ht="45.75" x14ac:dyDescent="0.2">
      <c r="A203" s="496"/>
      <c r="B203" s="496"/>
      <c r="C203" s="496"/>
      <c r="D203" s="496"/>
      <c r="E203" s="12"/>
      <c r="F203" s="130"/>
      <c r="G203" s="496"/>
      <c r="H203" s="496"/>
      <c r="I203" s="496"/>
      <c r="J203" s="496"/>
      <c r="K203" s="496"/>
      <c r="L203" s="496"/>
      <c r="M203" s="496"/>
      <c r="N203" s="496"/>
      <c r="O203" s="496"/>
      <c r="P203" s="496"/>
    </row>
    <row r="204" spans="1:18" ht="45.75" x14ac:dyDescent="0.2">
      <c r="A204" s="496"/>
      <c r="B204" s="496"/>
      <c r="C204" s="496"/>
      <c r="D204" s="496"/>
      <c r="E204" s="12"/>
      <c r="F204" s="130"/>
      <c r="G204" s="496"/>
      <c r="H204" s="496"/>
      <c r="I204" s="496"/>
      <c r="J204" s="496"/>
      <c r="K204" s="496"/>
      <c r="L204" s="496"/>
      <c r="M204" s="496"/>
      <c r="N204" s="496"/>
      <c r="O204" s="496"/>
      <c r="P204" s="496"/>
    </row>
    <row r="205" spans="1:18" ht="45.75" x14ac:dyDescent="0.2">
      <c r="A205" s="496"/>
      <c r="B205" s="496"/>
      <c r="C205" s="496"/>
      <c r="D205" s="496"/>
      <c r="E205" s="12"/>
      <c r="F205" s="130"/>
      <c r="G205" s="496"/>
      <c r="H205" s="496"/>
      <c r="I205" s="496"/>
      <c r="J205" s="496"/>
      <c r="K205" s="496"/>
      <c r="L205" s="496"/>
      <c r="M205" s="496"/>
      <c r="N205" s="496"/>
      <c r="O205" s="496"/>
      <c r="P205" s="496"/>
    </row>
    <row r="206" spans="1:18" ht="45.75" x14ac:dyDescent="0.2">
      <c r="A206" s="496"/>
      <c r="B206" s="496"/>
      <c r="C206" s="496"/>
      <c r="D206" s="496"/>
      <c r="E206" s="12"/>
      <c r="F206" s="130"/>
      <c r="G206" s="496"/>
      <c r="H206" s="496"/>
      <c r="I206" s="496"/>
      <c r="J206" s="496"/>
      <c r="K206" s="496"/>
      <c r="L206" s="496"/>
      <c r="M206" s="496"/>
      <c r="N206" s="496"/>
      <c r="O206" s="496"/>
      <c r="P206" s="496"/>
    </row>
  </sheetData>
  <mergeCells count="116">
    <mergeCell ref="A10:B10"/>
    <mergeCell ref="A12:A14"/>
    <mergeCell ref="B12:B14"/>
    <mergeCell ref="C12:C14"/>
    <mergeCell ref="D12:D14"/>
    <mergeCell ref="E12:I12"/>
    <mergeCell ref="N2:Q2"/>
    <mergeCell ref="N3:Q3"/>
    <mergeCell ref="O4:P4"/>
    <mergeCell ref="A6:P6"/>
    <mergeCell ref="A7:P7"/>
    <mergeCell ref="A9:B9"/>
    <mergeCell ref="J12:O12"/>
    <mergeCell ref="P12:P14"/>
    <mergeCell ref="E13:E14"/>
    <mergeCell ref="F13:F14"/>
    <mergeCell ref="G13:H13"/>
    <mergeCell ref="I13:I14"/>
    <mergeCell ref="J13:J14"/>
    <mergeCell ref="K13:K14"/>
    <mergeCell ref="L13:L14"/>
    <mergeCell ref="M13:N13"/>
    <mergeCell ref="O13:O14"/>
    <mergeCell ref="A23:A24"/>
    <mergeCell ref="B23:B24"/>
    <mergeCell ref="C23:C24"/>
    <mergeCell ref="E23:E24"/>
    <mergeCell ref="F23:F24"/>
    <mergeCell ref="G23:G24"/>
    <mergeCell ref="H23:H24"/>
    <mergeCell ref="I23:I24"/>
    <mergeCell ref="J23:J24"/>
    <mergeCell ref="P76:P79"/>
    <mergeCell ref="K23:K24"/>
    <mergeCell ref="L23:L24"/>
    <mergeCell ref="M23:M24"/>
    <mergeCell ref="N23:N24"/>
    <mergeCell ref="O23:O24"/>
    <mergeCell ref="P23:P24"/>
    <mergeCell ref="J76:J79"/>
    <mergeCell ref="K76:K79"/>
    <mergeCell ref="L76:L79"/>
    <mergeCell ref="M76:M79"/>
    <mergeCell ref="N76:N79"/>
    <mergeCell ref="I76:I79"/>
    <mergeCell ref="N73:N75"/>
    <mergeCell ref="O73:O75"/>
    <mergeCell ref="P73:P75"/>
    <mergeCell ref="A76:A79"/>
    <mergeCell ref="B76:B79"/>
    <mergeCell ref="C76:C79"/>
    <mergeCell ref="E76:E79"/>
    <mergeCell ref="F76:F79"/>
    <mergeCell ref="G76:G79"/>
    <mergeCell ref="H76:H79"/>
    <mergeCell ref="H73:H75"/>
    <mergeCell ref="I73:I75"/>
    <mergeCell ref="J73:J75"/>
    <mergeCell ref="K73:K75"/>
    <mergeCell ref="L73:L75"/>
    <mergeCell ref="M73:M75"/>
    <mergeCell ref="A73:A75"/>
    <mergeCell ref="B73:B75"/>
    <mergeCell ref="C73:C75"/>
    <mergeCell ref="E73:E75"/>
    <mergeCell ref="F73:F75"/>
    <mergeCell ref="G73:G75"/>
    <mergeCell ref="O76:O79"/>
    <mergeCell ref="J88:J89"/>
    <mergeCell ref="J80:J82"/>
    <mergeCell ref="K80:K82"/>
    <mergeCell ref="L80:L82"/>
    <mergeCell ref="M80:M82"/>
    <mergeCell ref="N80:N82"/>
    <mergeCell ref="O80:O82"/>
    <mergeCell ref="A80:A82"/>
    <mergeCell ref="B80:B82"/>
    <mergeCell ref="H80:H82"/>
    <mergeCell ref="I80:I82"/>
    <mergeCell ref="C80:C82"/>
    <mergeCell ref="E80:E82"/>
    <mergeCell ref="F80:F82"/>
    <mergeCell ref="G80:G82"/>
    <mergeCell ref="N131:N132"/>
    <mergeCell ref="O131:O132"/>
    <mergeCell ref="P131:P132"/>
    <mergeCell ref="A181:P181"/>
    <mergeCell ref="D184:P184"/>
    <mergeCell ref="K88:K89"/>
    <mergeCell ref="L88:L89"/>
    <mergeCell ref="M88:M89"/>
    <mergeCell ref="N88:N89"/>
    <mergeCell ref="O88:O89"/>
    <mergeCell ref="P88:P89"/>
    <mergeCell ref="P80:P82"/>
    <mergeCell ref="A88:A89"/>
    <mergeCell ref="B88:B89"/>
    <mergeCell ref="C88:C89"/>
    <mergeCell ref="E88:E89"/>
    <mergeCell ref="F88:F89"/>
    <mergeCell ref="G88:G89"/>
    <mergeCell ref="H88:H89"/>
    <mergeCell ref="I88:I89"/>
    <mergeCell ref="D185:P185"/>
    <mergeCell ref="H131:H132"/>
    <mergeCell ref="I131:I132"/>
    <mergeCell ref="J131:J132"/>
    <mergeCell ref="K131:K132"/>
    <mergeCell ref="L131:L132"/>
    <mergeCell ref="M131:M132"/>
    <mergeCell ref="A131:A132"/>
    <mergeCell ref="B131:B132"/>
    <mergeCell ref="C131:C132"/>
    <mergeCell ref="E131:E132"/>
    <mergeCell ref="F131:F132"/>
    <mergeCell ref="G131:G132"/>
  </mergeCells>
  <conditionalFormatting sqref="Q162:R164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Q176:R176 Q175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Q171 Q170:R170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R175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155:R155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151:Q15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151:R15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150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150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156:R160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Q147:R148 Q146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171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146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fitToHeight="0" orientation="landscape" r:id="rId1"/>
  <headerFooter alignWithMargins="0">
    <oddFooter>&amp;C&amp;"Times New Roman Cyr,курсив"Сторінка &amp;P з &amp;N</oddFooter>
  </headerFooter>
  <rowBreaks count="2" manualBreakCount="2">
    <brk id="32" max="16383" man="1"/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2"/>
  <dimension ref="A1:Q42"/>
  <sheetViews>
    <sheetView view="pageBreakPreview" topLeftCell="A26" zoomScaleSheetLayoutView="100" workbookViewId="0">
      <selection activeCell="F36" sqref="F36"/>
    </sheetView>
  </sheetViews>
  <sheetFormatPr defaultColWidth="9.140625" defaultRowHeight="12.75" x14ac:dyDescent="0.2"/>
  <cols>
    <col min="1" max="1" width="9.7109375" style="137" customWidth="1"/>
    <col min="2" max="3" width="22.140625" style="137" customWidth="1"/>
    <col min="4" max="4" width="14.140625" style="137" customWidth="1"/>
    <col min="5" max="5" width="14" style="137" customWidth="1"/>
    <col min="6" max="6" width="15.42578125" style="137" customWidth="1"/>
    <col min="7" max="7" width="15.140625" style="137" customWidth="1"/>
    <col min="8" max="8" width="16.42578125" style="137" customWidth="1"/>
    <col min="9" max="9" width="8.28515625" style="137" customWidth="1"/>
    <col min="10" max="10" width="9.140625" style="137"/>
    <col min="11" max="11" width="9.7109375" style="137" customWidth="1"/>
    <col min="12" max="12" width="9.140625" style="137"/>
    <col min="13" max="13" width="8.140625" style="137" customWidth="1"/>
    <col min="14" max="16384" width="9.140625" style="137"/>
  </cols>
  <sheetData>
    <row r="1" spans="1:17" x14ac:dyDescent="0.2">
      <c r="F1" s="65" t="s">
        <v>144</v>
      </c>
    </row>
    <row r="2" spans="1:17" x14ac:dyDescent="0.2">
      <c r="F2" s="65" t="s">
        <v>145</v>
      </c>
    </row>
    <row r="3" spans="1:17" x14ac:dyDescent="0.2">
      <c r="F3" s="65" t="s">
        <v>1008</v>
      </c>
    </row>
    <row r="5" spans="1:17" ht="18.75" x14ac:dyDescent="0.3">
      <c r="A5" s="533" t="s">
        <v>655</v>
      </c>
      <c r="B5" s="533"/>
      <c r="C5" s="533"/>
      <c r="D5" s="533"/>
      <c r="E5" s="533"/>
      <c r="F5" s="533"/>
    </row>
    <row r="6" spans="1:17" ht="18.75" x14ac:dyDescent="0.3">
      <c r="A6" s="135"/>
      <c r="B6" s="135"/>
      <c r="C6" s="135"/>
      <c r="D6" s="135"/>
      <c r="E6" s="135"/>
      <c r="F6" s="135"/>
    </row>
    <row r="7" spans="1:17" ht="18.75" x14ac:dyDescent="0.3">
      <c r="A7" s="539">
        <v>22201100000</v>
      </c>
      <c r="B7" s="540"/>
      <c r="C7" s="165"/>
      <c r="D7" s="165"/>
      <c r="E7" s="165"/>
      <c r="F7" s="165"/>
    </row>
    <row r="8" spans="1:17" ht="15" customHeight="1" x14ac:dyDescent="0.3">
      <c r="A8" s="537" t="s">
        <v>698</v>
      </c>
      <c r="B8" s="538"/>
      <c r="C8" s="165"/>
      <c r="D8" s="165"/>
      <c r="E8" s="165"/>
      <c r="F8" s="165"/>
    </row>
    <row r="9" spans="1:17" x14ac:dyDescent="0.2">
      <c r="A9" s="173"/>
      <c r="B9" s="173"/>
      <c r="F9" s="129" t="s">
        <v>493</v>
      </c>
    </row>
    <row r="10" spans="1:17" x14ac:dyDescent="0.2">
      <c r="A10" s="534" t="s">
        <v>74</v>
      </c>
      <c r="B10" s="534" t="s">
        <v>467</v>
      </c>
      <c r="C10" s="534" t="s">
        <v>472</v>
      </c>
      <c r="D10" s="535" t="s">
        <v>14</v>
      </c>
      <c r="E10" s="534" t="s">
        <v>65</v>
      </c>
      <c r="F10" s="534"/>
    </row>
    <row r="11" spans="1:17" ht="35.450000000000003" customHeight="1" x14ac:dyDescent="0.2">
      <c r="A11" s="534"/>
      <c r="B11" s="534"/>
      <c r="C11" s="534"/>
      <c r="D11" s="536"/>
      <c r="E11" s="136" t="s">
        <v>473</v>
      </c>
      <c r="F11" s="136" t="s">
        <v>474</v>
      </c>
    </row>
    <row r="12" spans="1:17" x14ac:dyDescent="0.2">
      <c r="A12" s="66">
        <v>1</v>
      </c>
      <c r="B12" s="66">
        <v>2</v>
      </c>
      <c r="C12" s="66">
        <v>3</v>
      </c>
      <c r="D12" s="66">
        <v>4</v>
      </c>
      <c r="E12" s="66">
        <v>5</v>
      </c>
      <c r="F12" s="66">
        <v>6</v>
      </c>
    </row>
    <row r="13" spans="1:17" ht="23.25" customHeight="1" x14ac:dyDescent="0.2">
      <c r="A13" s="528" t="s">
        <v>468</v>
      </c>
      <c r="B13" s="529"/>
      <c r="C13" s="66"/>
      <c r="D13" s="66"/>
      <c r="E13" s="67"/>
      <c r="F13" s="67"/>
    </row>
    <row r="14" spans="1:17" x14ac:dyDescent="0.2">
      <c r="A14" s="68" t="s">
        <v>146</v>
      </c>
      <c r="B14" s="68" t="s">
        <v>147</v>
      </c>
      <c r="C14" s="68">
        <f>D14+E14</f>
        <v>34752094.75999999</v>
      </c>
      <c r="D14" s="68">
        <f>D15+D17</f>
        <v>-240825616.75999999</v>
      </c>
      <c r="E14" s="68">
        <f>E15+E17</f>
        <v>275577711.51999998</v>
      </c>
      <c r="F14" s="68">
        <f>F15+F17</f>
        <v>273780541.41999996</v>
      </c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</row>
    <row r="15" spans="1:17" ht="16.5" customHeight="1" x14ac:dyDescent="0.2">
      <c r="A15" s="69" t="s">
        <v>148</v>
      </c>
      <c r="B15" s="69" t="s">
        <v>149</v>
      </c>
      <c r="C15" s="139">
        <f>D15+E15</f>
        <v>34752094.759999998</v>
      </c>
      <c r="D15" s="139">
        <v>31313485.949999999</v>
      </c>
      <c r="E15" s="139">
        <v>3438608.81</v>
      </c>
      <c r="F15" s="139">
        <v>1641438.71</v>
      </c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</row>
    <row r="16" spans="1:17" ht="18.75" hidden="1" customHeight="1" x14ac:dyDescent="0.2">
      <c r="A16" s="69">
        <v>208200</v>
      </c>
      <c r="B16" s="69" t="s">
        <v>150</v>
      </c>
      <c r="C16" s="139">
        <f>D16+E16</f>
        <v>0</v>
      </c>
      <c r="D16" s="139"/>
      <c r="E16" s="139"/>
      <c r="F16" s="6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</row>
    <row r="17" spans="1:17" ht="51" x14ac:dyDescent="0.2">
      <c r="A17" s="69">
        <v>208400</v>
      </c>
      <c r="B17" s="70" t="s">
        <v>151</v>
      </c>
      <c r="C17" s="247">
        <f>D17+E17</f>
        <v>0</v>
      </c>
      <c r="D17" s="247">
        <v>-272139102.70999998</v>
      </c>
      <c r="E17" s="247">
        <v>272139102.70999998</v>
      </c>
      <c r="F17" s="247">
        <v>272139102.70999998</v>
      </c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</row>
    <row r="18" spans="1:17" x14ac:dyDescent="0.2">
      <c r="A18" s="102">
        <v>300000</v>
      </c>
      <c r="B18" s="91" t="s">
        <v>434</v>
      </c>
      <c r="C18" s="247">
        <v>11911692</v>
      </c>
      <c r="D18" s="247">
        <v>0</v>
      </c>
      <c r="E18" s="247">
        <v>11911692</v>
      </c>
      <c r="F18" s="247">
        <v>11911692</v>
      </c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</row>
    <row r="19" spans="1:17" ht="38.25" x14ac:dyDescent="0.2">
      <c r="A19" s="102">
        <v>301000</v>
      </c>
      <c r="B19" s="91" t="s">
        <v>435</v>
      </c>
      <c r="C19" s="247">
        <v>0</v>
      </c>
      <c r="D19" s="247">
        <v>0</v>
      </c>
      <c r="E19" s="247">
        <v>0</v>
      </c>
      <c r="F19" s="247">
        <v>0</v>
      </c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</row>
    <row r="20" spans="1:17" x14ac:dyDescent="0.2">
      <c r="A20" s="69">
        <v>301100</v>
      </c>
      <c r="B20" s="70" t="s">
        <v>436</v>
      </c>
      <c r="C20" s="247">
        <v>15744000</v>
      </c>
      <c r="D20" s="247"/>
      <c r="E20" s="247">
        <v>15744000</v>
      </c>
      <c r="F20" s="247">
        <v>15744000</v>
      </c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</row>
    <row r="21" spans="1:17" x14ac:dyDescent="0.2">
      <c r="A21" s="69">
        <v>301200</v>
      </c>
      <c r="B21" s="70" t="s">
        <v>437</v>
      </c>
      <c r="C21" s="247">
        <f>-3832308</f>
        <v>-3832308</v>
      </c>
      <c r="D21" s="247"/>
      <c r="E21" s="247">
        <f>-3832308</f>
        <v>-3832308</v>
      </c>
      <c r="F21" s="247">
        <f>-3832308</f>
        <v>-3832308</v>
      </c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</row>
    <row r="22" spans="1:17" x14ac:dyDescent="0.2">
      <c r="A22" s="102" t="s">
        <v>470</v>
      </c>
      <c r="B22" s="91" t="s">
        <v>469</v>
      </c>
      <c r="C22" s="247">
        <f>-3832308</f>
        <v>-3832308</v>
      </c>
      <c r="D22" s="247"/>
      <c r="E22" s="247">
        <f>-3832308</f>
        <v>-3832308</v>
      </c>
      <c r="F22" s="247">
        <f>-3832308</f>
        <v>-3832308</v>
      </c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ht="35.450000000000003" customHeight="1" x14ac:dyDescent="0.2">
      <c r="A23" s="528" t="s">
        <v>471</v>
      </c>
      <c r="B23" s="530"/>
      <c r="C23" s="247"/>
      <c r="D23" s="247"/>
      <c r="E23" s="247"/>
      <c r="F23" s="247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</row>
    <row r="24" spans="1:17" ht="25.5" x14ac:dyDescent="0.2">
      <c r="A24" s="102">
        <v>400000</v>
      </c>
      <c r="B24" s="91" t="s">
        <v>152</v>
      </c>
      <c r="C24" s="247">
        <v>11911692</v>
      </c>
      <c r="D24" s="247"/>
      <c r="E24" s="247">
        <v>11911692</v>
      </c>
      <c r="F24" s="247">
        <v>11911692</v>
      </c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</row>
    <row r="25" spans="1:17" x14ac:dyDescent="0.2">
      <c r="A25" s="102">
        <v>401000</v>
      </c>
      <c r="B25" s="91" t="s">
        <v>153</v>
      </c>
      <c r="C25" s="247">
        <v>15744000</v>
      </c>
      <c r="D25" s="247"/>
      <c r="E25" s="247">
        <v>15744000</v>
      </c>
      <c r="F25" s="247">
        <v>15744000</v>
      </c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</row>
    <row r="26" spans="1:17" s="2" customFormat="1" x14ac:dyDescent="0.2">
      <c r="A26" s="102">
        <v>401200</v>
      </c>
      <c r="B26" s="91" t="s">
        <v>438</v>
      </c>
      <c r="C26" s="247">
        <v>15744000</v>
      </c>
      <c r="D26" s="247"/>
      <c r="E26" s="247">
        <v>15744000</v>
      </c>
      <c r="F26" s="247">
        <v>15744000</v>
      </c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</row>
    <row r="27" spans="1:17" ht="25.5" x14ac:dyDescent="0.2">
      <c r="A27" s="69">
        <v>401201</v>
      </c>
      <c r="B27" s="70" t="s">
        <v>945</v>
      </c>
      <c r="C27" s="248">
        <v>15744000</v>
      </c>
      <c r="D27" s="247"/>
      <c r="E27" s="248">
        <v>15744000</v>
      </c>
      <c r="F27" s="248">
        <v>15744000</v>
      </c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</row>
    <row r="28" spans="1:17" s="2" customFormat="1" x14ac:dyDescent="0.2">
      <c r="A28" s="102">
        <v>402000</v>
      </c>
      <c r="B28" s="91" t="s">
        <v>440</v>
      </c>
      <c r="C28" s="247">
        <f>-3832308</f>
        <v>-3832308</v>
      </c>
      <c r="D28" s="247"/>
      <c r="E28" s="247">
        <f>-3832308</f>
        <v>-3832308</v>
      </c>
      <c r="F28" s="247">
        <f>-3832308</f>
        <v>-3832308</v>
      </c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</row>
    <row r="29" spans="1:17" s="2" customFormat="1" x14ac:dyDescent="0.2">
      <c r="A29" s="102">
        <v>402200</v>
      </c>
      <c r="B29" s="91" t="s">
        <v>441</v>
      </c>
      <c r="C29" s="247">
        <f>-3832308</f>
        <v>-3832308</v>
      </c>
      <c r="D29" s="247"/>
      <c r="E29" s="247">
        <f>-3832308</f>
        <v>-3832308</v>
      </c>
      <c r="F29" s="247">
        <f>-3832308</f>
        <v>-3832308</v>
      </c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</row>
    <row r="30" spans="1:17" ht="25.5" customHeight="1" x14ac:dyDescent="0.2">
      <c r="A30" s="69">
        <v>402202</v>
      </c>
      <c r="B30" s="70" t="s">
        <v>439</v>
      </c>
      <c r="C30" s="248">
        <v>-3832308</v>
      </c>
      <c r="D30" s="247"/>
      <c r="E30" s="248">
        <v>-3832308</v>
      </c>
      <c r="F30" s="248">
        <v>-3832308</v>
      </c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</row>
    <row r="31" spans="1:17" x14ac:dyDescent="0.2">
      <c r="A31" s="102" t="s">
        <v>470</v>
      </c>
      <c r="B31" s="91" t="s">
        <v>469</v>
      </c>
      <c r="C31" s="247">
        <v>46663786.759999998</v>
      </c>
      <c r="D31" s="247">
        <v>-272139102.70999998</v>
      </c>
      <c r="E31" s="247">
        <v>318802889.47000003</v>
      </c>
      <c r="F31" s="247">
        <v>317998210.25</v>
      </c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</row>
    <row r="32" spans="1:17" ht="25.5" x14ac:dyDescent="0.2">
      <c r="A32" s="102" t="s">
        <v>154</v>
      </c>
      <c r="B32" s="102" t="s">
        <v>155</v>
      </c>
      <c r="C32" s="247">
        <f>D32+E32</f>
        <v>0</v>
      </c>
      <c r="D32" s="247">
        <v>-272139102.70999998</v>
      </c>
      <c r="E32" s="247">
        <v>272139102.70999998</v>
      </c>
      <c r="F32" s="247">
        <v>272139102.70999998</v>
      </c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</row>
    <row r="33" spans="1:17" ht="36" customHeight="1" x14ac:dyDescent="0.2">
      <c r="A33" s="69">
        <v>602100</v>
      </c>
      <c r="B33" s="70" t="s">
        <v>156</v>
      </c>
      <c r="C33" s="139">
        <f>D33+E33</f>
        <v>0</v>
      </c>
      <c r="D33" s="139"/>
      <c r="E33" s="139"/>
      <c r="F33" s="139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</row>
    <row r="34" spans="1:17" ht="39.75" hidden="1" customHeight="1" x14ac:dyDescent="0.2">
      <c r="A34" s="69">
        <v>602200</v>
      </c>
      <c r="B34" s="70" t="s">
        <v>157</v>
      </c>
      <c r="C34" s="139">
        <f>SUM(D34:E34)</f>
        <v>0</v>
      </c>
      <c r="D34" s="139"/>
      <c r="E34" s="139"/>
      <c r="F34" s="6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</row>
    <row r="35" spans="1:17" ht="52.5" customHeight="1" x14ac:dyDescent="0.2">
      <c r="A35" s="69">
        <v>602400</v>
      </c>
      <c r="B35" s="70" t="s">
        <v>151</v>
      </c>
      <c r="C35" s="68">
        <v>0</v>
      </c>
      <c r="D35" s="68">
        <v>-272139102.70999998</v>
      </c>
      <c r="E35" s="68">
        <v>272139102.70999998</v>
      </c>
      <c r="F35" s="68">
        <v>272139102.70999998</v>
      </c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</row>
    <row r="36" spans="1:17" x14ac:dyDescent="0.2">
      <c r="A36" s="102" t="s">
        <v>470</v>
      </c>
      <c r="B36" s="91" t="s">
        <v>469</v>
      </c>
      <c r="C36" s="68">
        <f>D36+E36</f>
        <v>46663786.75999999</v>
      </c>
      <c r="D36" s="68">
        <v>-240825616.75999999</v>
      </c>
      <c r="E36" s="68">
        <v>287489403.51999998</v>
      </c>
      <c r="F36" s="68">
        <v>285692233.42000002</v>
      </c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</row>
    <row r="37" spans="1:17" x14ac:dyDescent="0.2">
      <c r="A37" s="95"/>
      <c r="B37" s="95"/>
      <c r="C37" s="95"/>
      <c r="D37" s="95"/>
      <c r="E37" s="95"/>
      <c r="F37" s="95"/>
      <c r="G37" s="95"/>
      <c r="H37" s="95"/>
      <c r="I37" s="95"/>
    </row>
    <row r="38" spans="1:17" ht="45.75" hidden="1" x14ac:dyDescent="0.65">
      <c r="A38" s="95"/>
      <c r="B38" s="541"/>
      <c r="C38" s="541"/>
      <c r="D38" s="541"/>
      <c r="E38" s="541"/>
      <c r="F38" s="541"/>
      <c r="G38" s="541"/>
      <c r="H38" s="541"/>
      <c r="I38" s="541"/>
      <c r="J38" s="541"/>
      <c r="K38" s="541"/>
      <c r="L38" s="541"/>
      <c r="M38" s="541"/>
      <c r="N38" s="541"/>
      <c r="O38" s="541"/>
    </row>
    <row r="39" spans="1:17" ht="32.25" customHeight="1" x14ac:dyDescent="0.65">
      <c r="A39" s="95"/>
      <c r="B39" s="96" t="s">
        <v>999</v>
      </c>
      <c r="C39" s="492"/>
      <c r="D39" s="492"/>
      <c r="E39" s="492"/>
      <c r="F39" s="96" t="s">
        <v>1000</v>
      </c>
      <c r="G39" s="310"/>
      <c r="H39" s="310"/>
      <c r="I39" s="310"/>
      <c r="J39" s="310"/>
      <c r="K39" s="310"/>
      <c r="L39" s="310"/>
      <c r="M39" s="310"/>
      <c r="N39" s="310"/>
      <c r="O39" s="310"/>
    </row>
    <row r="40" spans="1:17" ht="15.75" hidden="1" x14ac:dyDescent="0.25">
      <c r="A40" s="95"/>
      <c r="B40" s="531" t="s">
        <v>920</v>
      </c>
      <c r="C40" s="531"/>
      <c r="D40" s="532"/>
      <c r="E40" s="95"/>
      <c r="F40" s="96" t="s">
        <v>921</v>
      </c>
      <c r="G40" s="95"/>
      <c r="H40" s="95"/>
      <c r="I40" s="95"/>
    </row>
    <row r="41" spans="1:17" x14ac:dyDescent="0.2">
      <c r="A41" s="95"/>
      <c r="B41" s="134"/>
      <c r="C41" s="134"/>
      <c r="D41" s="95"/>
      <c r="E41" s="95"/>
      <c r="F41" s="95"/>
      <c r="G41" s="95"/>
      <c r="H41" s="95"/>
      <c r="I41" s="95"/>
    </row>
    <row r="42" spans="1:17" x14ac:dyDescent="0.2">
      <c r="F42" s="95"/>
    </row>
  </sheetData>
  <mergeCells count="12">
    <mergeCell ref="A13:B13"/>
    <mergeCell ref="A23:B23"/>
    <mergeCell ref="B40:D40"/>
    <mergeCell ref="A5:F5"/>
    <mergeCell ref="A10:A11"/>
    <mergeCell ref="B10:B11"/>
    <mergeCell ref="C10:C11"/>
    <mergeCell ref="D10:D11"/>
    <mergeCell ref="E10:F10"/>
    <mergeCell ref="A8:B8"/>
    <mergeCell ref="A7:B7"/>
    <mergeCell ref="B38:O38"/>
  </mergeCells>
  <pageMargins left="1.1811023622047245" right="0.44" top="0.39370078740157483" bottom="0.19685039370078741" header="0.39370078740157483" footer="0.15748031496062992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T206"/>
  <sheetViews>
    <sheetView view="pageBreakPreview" zoomScale="25" zoomScaleNormal="25" zoomScaleSheetLayoutView="25" zoomScalePageLayoutView="10" workbookViewId="0">
      <pane ySplit="15" topLeftCell="A16" activePane="bottomLeft" state="frozen"/>
      <selection activeCell="F175" sqref="F175"/>
      <selection pane="bottomLeft" activeCell="N4" sqref="N4"/>
    </sheetView>
  </sheetViews>
  <sheetFormatPr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5" customWidth="1"/>
    <col min="6" max="6" width="62.5703125" style="1" customWidth="1"/>
    <col min="7" max="7" width="55.42578125" style="1" customWidth="1"/>
    <col min="8" max="8" width="48.140625" style="1" customWidth="1"/>
    <col min="9" max="9" width="41.85546875" style="1" customWidth="1"/>
    <col min="10" max="10" width="50.5703125" style="5" customWidth="1"/>
    <col min="11" max="11" width="52.5703125" style="5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56.140625" style="1" bestFit="1" customWidth="1"/>
    <col min="16" max="16" width="86.28515625" style="5" customWidth="1"/>
    <col min="17" max="17" width="52.140625" style="359" customWidth="1"/>
    <col min="18" max="18" width="66.42578125" style="359" bestFit="1" customWidth="1"/>
    <col min="19" max="19" width="9.140625" style="359"/>
    <col min="20" max="20" width="24.7109375" style="359" bestFit="1" customWidth="1"/>
    <col min="21" max="16384" width="9.140625" style="359"/>
  </cols>
  <sheetData>
    <row r="2" spans="1:18" ht="45.75" x14ac:dyDescent="0.2">
      <c r="D2" s="366"/>
      <c r="E2" s="367"/>
      <c r="F2" s="365"/>
      <c r="G2" s="367"/>
      <c r="H2" s="367"/>
      <c r="I2" s="367"/>
      <c r="J2" s="367"/>
      <c r="K2" s="367"/>
      <c r="L2" s="367"/>
      <c r="M2" s="367"/>
      <c r="N2" s="547" t="s">
        <v>702</v>
      </c>
      <c r="O2" s="526"/>
      <c r="P2" s="526"/>
      <c r="Q2" s="526"/>
    </row>
    <row r="3" spans="1:18" ht="45.75" x14ac:dyDescent="0.2">
      <c r="A3" s="366"/>
      <c r="B3" s="366"/>
      <c r="C3" s="366"/>
      <c r="D3" s="366"/>
      <c r="E3" s="367"/>
      <c r="F3" s="365"/>
      <c r="G3" s="367"/>
      <c r="H3" s="367"/>
      <c r="I3" s="367"/>
      <c r="J3" s="367"/>
      <c r="K3" s="367"/>
      <c r="L3" s="367"/>
      <c r="M3" s="367"/>
      <c r="N3" s="547" t="s">
        <v>1010</v>
      </c>
      <c r="O3" s="548"/>
      <c r="P3" s="548"/>
      <c r="Q3" s="548"/>
    </row>
    <row r="4" spans="1:18" ht="40.700000000000003" customHeight="1" x14ac:dyDescent="0.2">
      <c r="A4" s="366"/>
      <c r="B4" s="366"/>
      <c r="C4" s="366"/>
      <c r="D4" s="366"/>
      <c r="E4" s="367"/>
      <c r="F4" s="365"/>
      <c r="G4" s="367"/>
      <c r="H4" s="367"/>
      <c r="I4" s="367"/>
      <c r="J4" s="367"/>
      <c r="K4" s="367"/>
      <c r="L4" s="367"/>
      <c r="M4" s="367"/>
      <c r="N4" s="367"/>
      <c r="O4" s="547"/>
      <c r="P4" s="549"/>
    </row>
    <row r="5" spans="1:18" ht="45.75" hidden="1" x14ac:dyDescent="0.2">
      <c r="A5" s="366"/>
      <c r="B5" s="366"/>
      <c r="C5" s="366"/>
      <c r="D5" s="366"/>
      <c r="E5" s="367"/>
      <c r="F5" s="365"/>
      <c r="G5" s="367"/>
      <c r="H5" s="367"/>
      <c r="I5" s="367"/>
      <c r="J5" s="367"/>
      <c r="K5" s="367"/>
      <c r="L5" s="367"/>
      <c r="M5" s="367"/>
      <c r="N5" s="367"/>
      <c r="O5" s="366"/>
      <c r="P5" s="365"/>
    </row>
    <row r="6" spans="1:18" ht="45" x14ac:dyDescent="0.2">
      <c r="A6" s="550" t="s">
        <v>69</v>
      </c>
      <c r="B6" s="550"/>
      <c r="C6" s="550"/>
      <c r="D6" s="550"/>
      <c r="E6" s="550"/>
      <c r="F6" s="550"/>
      <c r="G6" s="550"/>
      <c r="H6" s="550"/>
      <c r="I6" s="550"/>
      <c r="J6" s="550"/>
      <c r="K6" s="550"/>
      <c r="L6" s="550"/>
      <c r="M6" s="550"/>
      <c r="N6" s="550"/>
      <c r="O6" s="550"/>
      <c r="P6" s="550"/>
    </row>
    <row r="7" spans="1:18" ht="45" x14ac:dyDescent="0.2">
      <c r="A7" s="550" t="s">
        <v>581</v>
      </c>
      <c r="B7" s="550"/>
      <c r="C7" s="550"/>
      <c r="D7" s="550"/>
      <c r="E7" s="550"/>
      <c r="F7" s="550"/>
      <c r="G7" s="550"/>
      <c r="H7" s="550"/>
      <c r="I7" s="550"/>
      <c r="J7" s="550"/>
      <c r="K7" s="550"/>
      <c r="L7" s="550"/>
      <c r="M7" s="550"/>
      <c r="N7" s="550"/>
      <c r="O7" s="550"/>
      <c r="P7" s="550"/>
    </row>
    <row r="8" spans="1:18" ht="45" x14ac:dyDescent="0.2">
      <c r="A8" s="367"/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</row>
    <row r="9" spans="1:18" ht="45.75" x14ac:dyDescent="0.65">
      <c r="A9" s="551">
        <v>22201100000</v>
      </c>
      <c r="B9" s="552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</row>
    <row r="10" spans="1:18" ht="45.75" x14ac:dyDescent="0.2">
      <c r="A10" s="542" t="s">
        <v>698</v>
      </c>
      <c r="B10" s="543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67"/>
      <c r="N10" s="367"/>
      <c r="O10" s="367"/>
      <c r="P10" s="367"/>
    </row>
    <row r="11" spans="1:18" ht="53.45" customHeight="1" thickBot="1" x14ac:dyDescent="0.25">
      <c r="A11" s="367"/>
      <c r="B11" s="367"/>
      <c r="C11" s="367"/>
      <c r="D11" s="367"/>
      <c r="E11" s="367"/>
      <c r="F11" s="365"/>
      <c r="G11" s="367"/>
      <c r="H11" s="367"/>
      <c r="I11" s="367"/>
      <c r="J11" s="367"/>
      <c r="K11" s="367"/>
      <c r="L11" s="367"/>
      <c r="M11" s="367"/>
      <c r="N11" s="367"/>
      <c r="O11" s="367"/>
      <c r="P11" s="6" t="s">
        <v>493</v>
      </c>
    </row>
    <row r="12" spans="1:18" ht="62.45" customHeight="1" thickTop="1" thickBot="1" x14ac:dyDescent="0.25">
      <c r="A12" s="544" t="s">
        <v>699</v>
      </c>
      <c r="B12" s="544" t="s">
        <v>700</v>
      </c>
      <c r="C12" s="544" t="s">
        <v>479</v>
      </c>
      <c r="D12" s="544" t="s">
        <v>701</v>
      </c>
      <c r="E12" s="545" t="s">
        <v>14</v>
      </c>
      <c r="F12" s="545"/>
      <c r="G12" s="545"/>
      <c r="H12" s="545"/>
      <c r="I12" s="545"/>
      <c r="J12" s="545" t="s">
        <v>65</v>
      </c>
      <c r="K12" s="545"/>
      <c r="L12" s="545"/>
      <c r="M12" s="545"/>
      <c r="N12" s="545"/>
      <c r="O12" s="553"/>
      <c r="P12" s="545" t="s">
        <v>13</v>
      </c>
    </row>
    <row r="13" spans="1:18" ht="96" customHeight="1" thickTop="1" thickBot="1" x14ac:dyDescent="0.25">
      <c r="A13" s="545"/>
      <c r="B13" s="546"/>
      <c r="C13" s="546"/>
      <c r="D13" s="545"/>
      <c r="E13" s="544" t="s">
        <v>473</v>
      </c>
      <c r="F13" s="544" t="s">
        <v>66</v>
      </c>
      <c r="G13" s="544" t="s">
        <v>15</v>
      </c>
      <c r="H13" s="544"/>
      <c r="I13" s="544" t="s">
        <v>68</v>
      </c>
      <c r="J13" s="544" t="s">
        <v>473</v>
      </c>
      <c r="K13" s="544" t="s">
        <v>474</v>
      </c>
      <c r="L13" s="544" t="s">
        <v>66</v>
      </c>
      <c r="M13" s="544" t="s">
        <v>15</v>
      </c>
      <c r="N13" s="544"/>
      <c r="O13" s="544" t="s">
        <v>68</v>
      </c>
      <c r="P13" s="545"/>
    </row>
    <row r="14" spans="1:18" ht="276" customHeight="1" thickTop="1" thickBot="1" x14ac:dyDescent="0.25">
      <c r="A14" s="546"/>
      <c r="B14" s="546"/>
      <c r="C14" s="546"/>
      <c r="D14" s="546"/>
      <c r="E14" s="544"/>
      <c r="F14" s="544"/>
      <c r="G14" s="368" t="s">
        <v>67</v>
      </c>
      <c r="H14" s="368" t="s">
        <v>17</v>
      </c>
      <c r="I14" s="544"/>
      <c r="J14" s="544"/>
      <c r="K14" s="544"/>
      <c r="L14" s="544"/>
      <c r="M14" s="368" t="s">
        <v>67</v>
      </c>
      <c r="N14" s="368" t="s">
        <v>17</v>
      </c>
      <c r="O14" s="544"/>
      <c r="P14" s="545"/>
    </row>
    <row r="15" spans="1:18" s="2" customFormat="1" ht="111" customHeight="1" thickTop="1" thickBot="1" x14ac:dyDescent="0.25">
      <c r="A15" s="174" t="s">
        <v>3</v>
      </c>
      <c r="B15" s="174" t="s">
        <v>4</v>
      </c>
      <c r="C15" s="174" t="s">
        <v>16</v>
      </c>
      <c r="D15" s="174" t="s">
        <v>6</v>
      </c>
      <c r="E15" s="174" t="s">
        <v>481</v>
      </c>
      <c r="F15" s="174" t="s">
        <v>482</v>
      </c>
      <c r="G15" s="174" t="s">
        <v>483</v>
      </c>
      <c r="H15" s="174" t="s">
        <v>484</v>
      </c>
      <c r="I15" s="174" t="s">
        <v>485</v>
      </c>
      <c r="J15" s="174" t="s">
        <v>486</v>
      </c>
      <c r="K15" s="174" t="s">
        <v>487</v>
      </c>
      <c r="L15" s="174" t="s">
        <v>488</v>
      </c>
      <c r="M15" s="174" t="s">
        <v>489</v>
      </c>
      <c r="N15" s="174" t="s">
        <v>490</v>
      </c>
      <c r="O15" s="174" t="s">
        <v>491</v>
      </c>
      <c r="P15" s="174" t="s">
        <v>492</v>
      </c>
      <c r="Q15" s="327"/>
      <c r="R15" s="161"/>
    </row>
    <row r="16" spans="1:18" s="2" customFormat="1" ht="136.5" thickTop="1" thickBot="1" x14ac:dyDescent="0.25">
      <c r="A16" s="451" t="s">
        <v>188</v>
      </c>
      <c r="B16" s="451"/>
      <c r="C16" s="451"/>
      <c r="D16" s="452" t="s">
        <v>190</v>
      </c>
      <c r="E16" s="453">
        <f>E17</f>
        <v>105299285</v>
      </c>
      <c r="F16" s="454">
        <f t="shared" ref="F16:N16" si="0">F17</f>
        <v>105299285</v>
      </c>
      <c r="G16" s="454">
        <f t="shared" si="0"/>
        <v>62318100</v>
      </c>
      <c r="H16" s="454">
        <f t="shared" si="0"/>
        <v>2390400</v>
      </c>
      <c r="I16" s="453">
        <f t="shared" si="0"/>
        <v>0</v>
      </c>
      <c r="J16" s="453">
        <f t="shared" si="0"/>
        <v>8150446</v>
      </c>
      <c r="K16" s="454">
        <f t="shared" si="0"/>
        <v>5416946</v>
      </c>
      <c r="L16" s="454">
        <f t="shared" si="0"/>
        <v>2608500</v>
      </c>
      <c r="M16" s="454">
        <f t="shared" si="0"/>
        <v>0</v>
      </c>
      <c r="N16" s="453">
        <f t="shared" si="0"/>
        <v>0</v>
      </c>
      <c r="O16" s="453">
        <f>O17</f>
        <v>5541946</v>
      </c>
      <c r="P16" s="454">
        <f t="shared" ref="P16" si="1">P17</f>
        <v>113449731</v>
      </c>
    </row>
    <row r="17" spans="1:20" s="2" customFormat="1" ht="136.5" thickTop="1" thickBot="1" x14ac:dyDescent="0.25">
      <c r="A17" s="455" t="s">
        <v>189</v>
      </c>
      <c r="B17" s="455"/>
      <c r="C17" s="455"/>
      <c r="D17" s="456" t="s">
        <v>191</v>
      </c>
      <c r="E17" s="457">
        <f>SUM(E18:E28)</f>
        <v>105299285</v>
      </c>
      <c r="F17" s="457">
        <f t="shared" ref="F17:O17" si="2">SUM(F18:F28)</f>
        <v>105299285</v>
      </c>
      <c r="G17" s="457">
        <f t="shared" si="2"/>
        <v>62318100</v>
      </c>
      <c r="H17" s="457">
        <f t="shared" si="2"/>
        <v>2390400</v>
      </c>
      <c r="I17" s="457">
        <f t="shared" si="2"/>
        <v>0</v>
      </c>
      <c r="J17" s="457">
        <f t="shared" ref="J17:J23" si="3">L17+O17</f>
        <v>8150446</v>
      </c>
      <c r="K17" s="457">
        <f t="shared" si="2"/>
        <v>5416946</v>
      </c>
      <c r="L17" s="457">
        <f t="shared" si="2"/>
        <v>2608500</v>
      </c>
      <c r="M17" s="457">
        <f t="shared" si="2"/>
        <v>0</v>
      </c>
      <c r="N17" s="457">
        <f t="shared" si="2"/>
        <v>0</v>
      </c>
      <c r="O17" s="457">
        <f t="shared" si="2"/>
        <v>5541946</v>
      </c>
      <c r="P17" s="458">
        <f>E17+J17</f>
        <v>113449731</v>
      </c>
      <c r="Q17" s="328" t="b">
        <f>P18+P19+P21+P22+P26+P27+P23+P25+P28+P20=P17</f>
        <v>1</v>
      </c>
      <c r="R17" s="328" t="b">
        <f>K17='d5'!J12</f>
        <v>1</v>
      </c>
    </row>
    <row r="18" spans="1:20" ht="321.75" thickTop="1" thickBot="1" x14ac:dyDescent="0.25">
      <c r="A18" s="364" t="s">
        <v>282</v>
      </c>
      <c r="B18" s="364" t="s">
        <v>283</v>
      </c>
      <c r="C18" s="364" t="s">
        <v>284</v>
      </c>
      <c r="D18" s="364" t="s">
        <v>281</v>
      </c>
      <c r="E18" s="363">
        <f t="shared" ref="E18:E28" si="4">F18</f>
        <v>85797200</v>
      </c>
      <c r="F18" s="231">
        <f>(((89353900)-2000000)-1393200)-160000+50000-30000-2800-20700</f>
        <v>85797200</v>
      </c>
      <c r="G18" s="231">
        <f>(((64432700)-979400)-1135200)</f>
        <v>62318100</v>
      </c>
      <c r="H18" s="231">
        <f>(1650000+35500+673300+3400+51700)-2800-20700</f>
        <v>2390400</v>
      </c>
      <c r="I18" s="231"/>
      <c r="J18" s="363">
        <f t="shared" si="3"/>
        <v>694300</v>
      </c>
      <c r="K18" s="231">
        <f>((275000+51000+49900+100000+78000+200000)-158600)+99000</f>
        <v>694300</v>
      </c>
      <c r="L18" s="254"/>
      <c r="M18" s="255"/>
      <c r="N18" s="255"/>
      <c r="O18" s="361">
        <f>K18</f>
        <v>694300</v>
      </c>
      <c r="P18" s="363">
        <f>+J18+E18</f>
        <v>86491500</v>
      </c>
      <c r="Q18" s="329"/>
      <c r="R18" s="328" t="b">
        <f>K18='d5'!J13+'d5'!J14+'d5'!J15+'d5'!J16+'d5'!J17</f>
        <v>1</v>
      </c>
    </row>
    <row r="19" spans="1:20" ht="93" thickTop="1" thickBot="1" x14ac:dyDescent="0.25">
      <c r="A19" s="364" t="s">
        <v>297</v>
      </c>
      <c r="B19" s="364" t="s">
        <v>53</v>
      </c>
      <c r="C19" s="364" t="s">
        <v>52</v>
      </c>
      <c r="D19" s="364" t="s">
        <v>298</v>
      </c>
      <c r="E19" s="363">
        <f t="shared" si="4"/>
        <v>2553800</v>
      </c>
      <c r="F19" s="228">
        <f>((3172750)-660000)+41050</f>
        <v>2553800</v>
      </c>
      <c r="G19" s="228"/>
      <c r="H19" s="228"/>
      <c r="I19" s="228"/>
      <c r="J19" s="363">
        <f t="shared" si="3"/>
        <v>0</v>
      </c>
      <c r="K19" s="228"/>
      <c r="L19" s="228"/>
      <c r="M19" s="228"/>
      <c r="N19" s="228"/>
      <c r="O19" s="361">
        <f>K19</f>
        <v>0</v>
      </c>
      <c r="P19" s="363">
        <f>E19+J19</f>
        <v>2553800</v>
      </c>
      <c r="Q19" s="329"/>
      <c r="R19" s="328"/>
    </row>
    <row r="20" spans="1:20" s="382" customFormat="1" ht="48" thickTop="1" thickBot="1" x14ac:dyDescent="0.25">
      <c r="A20" s="385" t="s">
        <v>972</v>
      </c>
      <c r="B20" s="385" t="s">
        <v>973</v>
      </c>
      <c r="C20" s="385" t="s">
        <v>286</v>
      </c>
      <c r="D20" s="385" t="s">
        <v>974</v>
      </c>
      <c r="E20" s="383">
        <f t="shared" ref="E20" si="5">F20</f>
        <v>6767985</v>
      </c>
      <c r="F20" s="228">
        <v>6767985</v>
      </c>
      <c r="G20" s="228"/>
      <c r="H20" s="228"/>
      <c r="I20" s="228"/>
      <c r="J20" s="383">
        <f t="shared" ref="J20" si="6">L20+O20</f>
        <v>0</v>
      </c>
      <c r="K20" s="228"/>
      <c r="L20" s="228"/>
      <c r="M20" s="228"/>
      <c r="N20" s="228"/>
      <c r="O20" s="384">
        <f>K20</f>
        <v>0</v>
      </c>
      <c r="P20" s="383">
        <f>E20+J20</f>
        <v>6767985</v>
      </c>
      <c r="Q20" s="329"/>
      <c r="R20" s="328"/>
    </row>
    <row r="21" spans="1:20" ht="93" thickTop="1" thickBot="1" x14ac:dyDescent="0.25">
      <c r="A21" s="364" t="s">
        <v>288</v>
      </c>
      <c r="B21" s="364" t="s">
        <v>289</v>
      </c>
      <c r="C21" s="364" t="s">
        <v>290</v>
      </c>
      <c r="D21" s="364" t="s">
        <v>287</v>
      </c>
      <c r="E21" s="363">
        <f t="shared" si="4"/>
        <v>4094100</v>
      </c>
      <c r="F21" s="228">
        <f>(4082100)+12000</f>
        <v>4094100</v>
      </c>
      <c r="G21" s="228"/>
      <c r="H21" s="228"/>
      <c r="I21" s="228"/>
      <c r="J21" s="363">
        <f t="shared" si="3"/>
        <v>1334646</v>
      </c>
      <c r="K21" s="228">
        <f>(1300000)+51646-17000</f>
        <v>1334646</v>
      </c>
      <c r="L21" s="228"/>
      <c r="M21" s="228"/>
      <c r="N21" s="228"/>
      <c r="O21" s="361">
        <f>K21</f>
        <v>1334646</v>
      </c>
      <c r="P21" s="363">
        <f>+J21+E21</f>
        <v>5428746</v>
      </c>
      <c r="Q21" s="329"/>
      <c r="R21" s="328" t="b">
        <f>K21='d5'!J18</f>
        <v>1</v>
      </c>
    </row>
    <row r="22" spans="1:20" ht="138.75" thickTop="1" thickBot="1" x14ac:dyDescent="0.25">
      <c r="A22" s="364" t="s">
        <v>354</v>
      </c>
      <c r="B22" s="364" t="s">
        <v>355</v>
      </c>
      <c r="C22" s="364" t="s">
        <v>210</v>
      </c>
      <c r="D22" s="364" t="s">
        <v>589</v>
      </c>
      <c r="E22" s="363">
        <f t="shared" si="4"/>
        <v>162800</v>
      </c>
      <c r="F22" s="228">
        <v>162800</v>
      </c>
      <c r="G22" s="228"/>
      <c r="H22" s="228"/>
      <c r="I22" s="228"/>
      <c r="J22" s="363">
        <f t="shared" si="3"/>
        <v>0</v>
      </c>
      <c r="K22" s="228"/>
      <c r="L22" s="228"/>
      <c r="M22" s="228"/>
      <c r="N22" s="228"/>
      <c r="O22" s="361">
        <f>K22</f>
        <v>0</v>
      </c>
      <c r="P22" s="363">
        <f>+J22+E22</f>
        <v>162800</v>
      </c>
      <c r="Q22" s="329"/>
      <c r="R22" s="328"/>
    </row>
    <row r="23" spans="1:20" s="94" customFormat="1" ht="361.5" customHeight="1" thickTop="1" thickBot="1" x14ac:dyDescent="0.7">
      <c r="A23" s="554" t="s">
        <v>413</v>
      </c>
      <c r="B23" s="554" t="s">
        <v>412</v>
      </c>
      <c r="C23" s="554" t="s">
        <v>210</v>
      </c>
      <c r="D23" s="234" t="s">
        <v>585</v>
      </c>
      <c r="E23" s="556">
        <f t="shared" si="4"/>
        <v>0</v>
      </c>
      <c r="F23" s="557"/>
      <c r="G23" s="559"/>
      <c r="H23" s="559"/>
      <c r="I23" s="559"/>
      <c r="J23" s="556">
        <f t="shared" si="3"/>
        <v>2733500</v>
      </c>
      <c r="K23" s="559"/>
      <c r="L23" s="559">
        <f>(((3476500-30000)-1000000)-95000)+60000+197000</f>
        <v>2608500</v>
      </c>
      <c r="M23" s="559"/>
      <c r="N23" s="559"/>
      <c r="O23" s="561">
        <f>(K23+30000)+95000</f>
        <v>125000</v>
      </c>
      <c r="P23" s="563">
        <f>E23+J23</f>
        <v>2733500</v>
      </c>
      <c r="Q23" s="330">
        <f>P23</f>
        <v>2733500</v>
      </c>
    </row>
    <row r="24" spans="1:20" s="94" customFormat="1" ht="184.5" thickTop="1" thickBot="1" x14ac:dyDescent="0.25">
      <c r="A24" s="555"/>
      <c r="B24" s="555"/>
      <c r="C24" s="555"/>
      <c r="D24" s="235" t="s">
        <v>586</v>
      </c>
      <c r="E24" s="555"/>
      <c r="F24" s="558"/>
      <c r="G24" s="560"/>
      <c r="H24" s="560"/>
      <c r="I24" s="560"/>
      <c r="J24" s="555"/>
      <c r="K24" s="555"/>
      <c r="L24" s="560"/>
      <c r="M24" s="560"/>
      <c r="N24" s="560"/>
      <c r="O24" s="562"/>
      <c r="P24" s="564"/>
    </row>
    <row r="25" spans="1:20" s="94" customFormat="1" ht="93" hidden="1" thickTop="1" thickBot="1" x14ac:dyDescent="0.25">
      <c r="A25" s="364" t="s">
        <v>734</v>
      </c>
      <c r="B25" s="364" t="s">
        <v>308</v>
      </c>
      <c r="C25" s="364" t="s">
        <v>210</v>
      </c>
      <c r="D25" s="364" t="s">
        <v>306</v>
      </c>
      <c r="E25" s="363">
        <f>F25</f>
        <v>0</v>
      </c>
      <c r="F25" s="228"/>
      <c r="G25" s="362"/>
      <c r="H25" s="362"/>
      <c r="I25" s="362"/>
      <c r="J25" s="407">
        <f>L25+O25</f>
        <v>0</v>
      </c>
      <c r="K25" s="412"/>
      <c r="L25" s="411"/>
      <c r="M25" s="411"/>
      <c r="N25" s="411"/>
      <c r="O25" s="413"/>
      <c r="P25" s="407">
        <f>E25+J25</f>
        <v>0</v>
      </c>
    </row>
    <row r="26" spans="1:20" ht="93" thickTop="1" thickBot="1" x14ac:dyDescent="0.25">
      <c r="A26" s="364" t="s">
        <v>291</v>
      </c>
      <c r="B26" s="364" t="s">
        <v>292</v>
      </c>
      <c r="C26" s="364" t="s">
        <v>293</v>
      </c>
      <c r="D26" s="364" t="s">
        <v>294</v>
      </c>
      <c r="E26" s="363">
        <f>F26</f>
        <v>5313400</v>
      </c>
      <c r="F26" s="228">
        <f>(4653400)+660000</f>
        <v>5313400</v>
      </c>
      <c r="G26" s="228"/>
      <c r="H26" s="228"/>
      <c r="I26" s="228"/>
      <c r="J26" s="363">
        <f>L26+O26</f>
        <v>0</v>
      </c>
      <c r="K26" s="228"/>
      <c r="L26" s="228"/>
      <c r="M26" s="228"/>
      <c r="N26" s="228"/>
      <c r="O26" s="361">
        <f>K26</f>
        <v>0</v>
      </c>
      <c r="P26" s="363">
        <f>E26+J26</f>
        <v>5313400</v>
      </c>
    </row>
    <row r="27" spans="1:20" ht="276" thickTop="1" thickBot="1" x14ac:dyDescent="0.25">
      <c r="A27" s="364" t="s">
        <v>295</v>
      </c>
      <c r="B27" s="364" t="s">
        <v>296</v>
      </c>
      <c r="C27" s="364" t="s">
        <v>53</v>
      </c>
      <c r="D27" s="364" t="s">
        <v>590</v>
      </c>
      <c r="E27" s="363">
        <f t="shared" si="4"/>
        <v>200000</v>
      </c>
      <c r="F27" s="228">
        <f>(200000)</f>
        <v>200000</v>
      </c>
      <c r="G27" s="228"/>
      <c r="H27" s="228"/>
      <c r="I27" s="228"/>
      <c r="J27" s="363">
        <f>L27+O27</f>
        <v>0</v>
      </c>
      <c r="K27" s="228"/>
      <c r="L27" s="228"/>
      <c r="M27" s="228"/>
      <c r="N27" s="228"/>
      <c r="O27" s="361">
        <f>K27</f>
        <v>0</v>
      </c>
      <c r="P27" s="363">
        <f>E27+J27</f>
        <v>200000</v>
      </c>
    </row>
    <row r="28" spans="1:20" ht="184.5" thickTop="1" thickBot="1" x14ac:dyDescent="0.25">
      <c r="A28" s="364" t="s">
        <v>735</v>
      </c>
      <c r="B28" s="364" t="s">
        <v>736</v>
      </c>
      <c r="C28" s="364" t="s">
        <v>53</v>
      </c>
      <c r="D28" s="364" t="s">
        <v>737</v>
      </c>
      <c r="E28" s="363">
        <f t="shared" si="4"/>
        <v>410000</v>
      </c>
      <c r="F28" s="228">
        <f>(100000+150000+60000)+100000</f>
        <v>410000</v>
      </c>
      <c r="G28" s="228"/>
      <c r="H28" s="228"/>
      <c r="I28" s="228"/>
      <c r="J28" s="363">
        <f>L28+O28</f>
        <v>3388000</v>
      </c>
      <c r="K28" s="228">
        <f>3048000+300000+40000</f>
        <v>3388000</v>
      </c>
      <c r="L28" s="228"/>
      <c r="M28" s="228"/>
      <c r="N28" s="228"/>
      <c r="O28" s="361">
        <f>K28</f>
        <v>3388000</v>
      </c>
      <c r="P28" s="363">
        <f>E28+J28</f>
        <v>3798000</v>
      </c>
      <c r="R28" s="328" t="b">
        <f>K28='d5'!J19+'d5'!J20</f>
        <v>1</v>
      </c>
    </row>
    <row r="29" spans="1:20" ht="136.5" thickTop="1" thickBot="1" x14ac:dyDescent="0.25">
      <c r="A29" s="451" t="s">
        <v>192</v>
      </c>
      <c r="B29" s="451"/>
      <c r="C29" s="451"/>
      <c r="D29" s="452" t="s">
        <v>0</v>
      </c>
      <c r="E29" s="453">
        <f>E30</f>
        <v>1137901977.75</v>
      </c>
      <c r="F29" s="454">
        <f t="shared" ref="F29:G29" si="7">F30</f>
        <v>1137901977.75</v>
      </c>
      <c r="G29" s="454">
        <f t="shared" si="7"/>
        <v>811227830.75999999</v>
      </c>
      <c r="H29" s="454">
        <f>H30</f>
        <v>57235409</v>
      </c>
      <c r="I29" s="453">
        <f t="shared" ref="I29" si="8">I30</f>
        <v>0</v>
      </c>
      <c r="J29" s="453">
        <f>J30</f>
        <v>182069546.69</v>
      </c>
      <c r="K29" s="454">
        <f>K30</f>
        <v>46353586.690000005</v>
      </c>
      <c r="L29" s="454">
        <f>L30</f>
        <v>133662020</v>
      </c>
      <c r="M29" s="454">
        <f t="shared" ref="M29" si="9">M30</f>
        <v>38591784</v>
      </c>
      <c r="N29" s="453">
        <f>N30</f>
        <v>8788990</v>
      </c>
      <c r="O29" s="453">
        <f>O30</f>
        <v>48407526.690000005</v>
      </c>
      <c r="P29" s="454">
        <f t="shared" ref="P29" si="10">P30</f>
        <v>1319971524.4400001</v>
      </c>
    </row>
    <row r="30" spans="1:20" ht="136.5" thickTop="1" thickBot="1" x14ac:dyDescent="0.25">
      <c r="A30" s="455" t="s">
        <v>193</v>
      </c>
      <c r="B30" s="455"/>
      <c r="C30" s="455"/>
      <c r="D30" s="456" t="s">
        <v>1</v>
      </c>
      <c r="E30" s="457">
        <f>SUM(E31:E41)</f>
        <v>1137901977.75</v>
      </c>
      <c r="F30" s="457">
        <f t="shared" ref="F30:I30" si="11">SUM(F31:F41)</f>
        <v>1137901977.75</v>
      </c>
      <c r="G30" s="457">
        <f t="shared" si="11"/>
        <v>811227830.75999999</v>
      </c>
      <c r="H30" s="457">
        <f t="shared" si="11"/>
        <v>57235409</v>
      </c>
      <c r="I30" s="457">
        <f t="shared" si="11"/>
        <v>0</v>
      </c>
      <c r="J30" s="457">
        <f>L30+O30</f>
        <v>182069546.69</v>
      </c>
      <c r="K30" s="457">
        <f>SUM(K31:K41)</f>
        <v>46353586.690000005</v>
      </c>
      <c r="L30" s="457">
        <f>SUM(L31:L41)</f>
        <v>133662020</v>
      </c>
      <c r="M30" s="457">
        <f>SUM(M31:M41)</f>
        <v>38591784</v>
      </c>
      <c r="N30" s="457">
        <f>SUM(N31:N41)</f>
        <v>8788990</v>
      </c>
      <c r="O30" s="457">
        <f>SUM(O31:O41)</f>
        <v>48407526.690000005</v>
      </c>
      <c r="P30" s="458">
        <f t="shared" ref="P30:P39" si="12">E30+J30</f>
        <v>1319971524.4400001</v>
      </c>
      <c r="Q30" s="328" t="b">
        <f>P30=P31+P32+P33+P34+P35+P36+P37+P38+P40+P39+P41</f>
        <v>1</v>
      </c>
      <c r="R30" s="328" t="b">
        <f>K30='d5'!J23</f>
        <v>1</v>
      </c>
    </row>
    <row r="31" spans="1:20" ht="99" customHeight="1" thickTop="1" thickBot="1" x14ac:dyDescent="0.6">
      <c r="A31" s="364" t="s">
        <v>244</v>
      </c>
      <c r="B31" s="364" t="s">
        <v>245</v>
      </c>
      <c r="C31" s="364" t="s">
        <v>247</v>
      </c>
      <c r="D31" s="364" t="s">
        <v>248</v>
      </c>
      <c r="E31" s="363">
        <f>F31</f>
        <v>311662166.56999999</v>
      </c>
      <c r="F31" s="228">
        <f>((348947961+1301540+286340+40720)-8420025.93-58264-10000000-4000000-226000-1000000-109985-17419.5+761300)-5950000-2800000-3000000+15000-3429000-180000-500000</f>
        <v>311662166.56999999</v>
      </c>
      <c r="G31" s="228">
        <f>((233361000+1301540)-7220025.93-47764-109985-17419.5)-5950000</f>
        <v>221317345.56999999</v>
      </c>
      <c r="H31" s="228">
        <f>((26988721)-4000000-226000-1000000)-3429000-180000-500000</f>
        <v>17653721</v>
      </c>
      <c r="I31" s="228"/>
      <c r="J31" s="363">
        <f t="shared" ref="J31:J39" si="13">L31+O31</f>
        <v>61872245</v>
      </c>
      <c r="K31" s="228">
        <f>((((2495735)+814300)+2350000+167800-929100)+500000)-9000+580000+460000</f>
        <v>6429735</v>
      </c>
      <c r="L31" s="228">
        <v>54872710</v>
      </c>
      <c r="M31" s="228">
        <v>11945140</v>
      </c>
      <c r="N31" s="228">
        <v>675470</v>
      </c>
      <c r="O31" s="361">
        <f>K31+569800</f>
        <v>6999535</v>
      </c>
      <c r="P31" s="363">
        <f t="shared" si="12"/>
        <v>373534411.56999999</v>
      </c>
      <c r="Q31" s="331"/>
      <c r="R31" s="328" t="b">
        <f>K31='d5'!J24+'d5'!J26+'d5'!J27+'d5'!J28+'d5'!J31+'d5'!J25</f>
        <v>1</v>
      </c>
    </row>
    <row r="32" spans="1:20" ht="230.25" thickTop="1" thickBot="1" x14ac:dyDescent="0.6">
      <c r="A32" s="364" t="s">
        <v>249</v>
      </c>
      <c r="B32" s="364" t="s">
        <v>246</v>
      </c>
      <c r="C32" s="364" t="s">
        <v>250</v>
      </c>
      <c r="D32" s="364" t="s">
        <v>712</v>
      </c>
      <c r="E32" s="363">
        <f t="shared" ref="E32:E37" si="14">F32</f>
        <v>642488112.96000004</v>
      </c>
      <c r="F32" s="228">
        <f>(((691014708)-4247665.3-900000-23685400+78670.27+93.98-6447-1400-2291500+1654860-14000000-3000000-106000-1000000+55870+201300+892577-200000)+8708400-8708400+107175+397000+62825)+4474800-688500+335700+322100-1200000-5879000-60900+37000+32000+49900+35000+24136+6252.16+29809.85+145723-200000-1100000-120600+120000-3901975+5000000</f>
        <v>642488112.96000004</v>
      </c>
      <c r="G32" s="228">
        <f>(((467595470+23685400)-4247665.3-23685400+78670.27-6447)+8708400-8708400)+4474800+335700-3901975</f>
        <v>464328552.96999997</v>
      </c>
      <c r="H32" s="228">
        <f>(((26854977)+9230100)-3000000-106000-1000000)-1200000-5879000-200000-1100000-120600+5000000</f>
        <v>28479477</v>
      </c>
      <c r="I32" s="228"/>
      <c r="J32" s="363">
        <f t="shared" si="13"/>
        <v>83407051.810000002</v>
      </c>
      <c r="K32" s="228">
        <f>((((15297873)+1308980)-15880+5913611+588933+174277+145723+1452531+604430+442740+1614679+3636425.32+2380573+217419.5-450000)+548-62825-380775+273600-400000)-24136-36062.01-145723+57100+49000-91000-1000-8780-1000-10500-18000-18500</f>
        <v>32494261.809999999</v>
      </c>
      <c r="L32" s="228">
        <v>49999650</v>
      </c>
      <c r="M32" s="228">
        <v>17473000</v>
      </c>
      <c r="N32" s="228">
        <v>1064400</v>
      </c>
      <c r="O32" s="361">
        <f>K32+913140</f>
        <v>33407401.809999999</v>
      </c>
      <c r="P32" s="363">
        <f t="shared" si="12"/>
        <v>725895164.76999998</v>
      </c>
      <c r="Q32" s="331"/>
      <c r="R32" s="328" t="b">
        <f>K32='d5'!J32+'d5'!J34+'d5'!J35+'d5'!J36+'d5'!J37+'d5'!J38+'d5'!J39+'d5'!J40+'d5'!J42+'d5'!J43+'d5'!J45+'d5'!J46+'d5'!J47+'d5'!J48+'d5'!J49+'d5'!J50+'d5'!J51+'d5'!J53+'d5'!J55+'d5'!J54+'d5'!J33</f>
        <v>1</v>
      </c>
      <c r="T32" s="332"/>
    </row>
    <row r="33" spans="1:18" ht="276" thickTop="1" thickBot="1" x14ac:dyDescent="0.25">
      <c r="A33" s="364" t="s">
        <v>714</v>
      </c>
      <c r="B33" s="364" t="s">
        <v>251</v>
      </c>
      <c r="C33" s="364" t="s">
        <v>253</v>
      </c>
      <c r="D33" s="364" t="s">
        <v>713</v>
      </c>
      <c r="E33" s="363">
        <f t="shared" si="14"/>
        <v>18738682</v>
      </c>
      <c r="F33" s="228">
        <f>(((19860814)-8500+5085-400000+80000)+3000)+20200-36800-335700-322100+62231+19452-176000-6000-27000</f>
        <v>18738682</v>
      </c>
      <c r="G33" s="228">
        <f>(14672200)+20200-335700</f>
        <v>14356700</v>
      </c>
      <c r="H33" s="228">
        <f>(865142)-176000-6000-27000</f>
        <v>656142</v>
      </c>
      <c r="I33" s="228"/>
      <c r="J33" s="363">
        <f t="shared" si="13"/>
        <v>101499</v>
      </c>
      <c r="K33" s="228">
        <f>(((32000)+16250+1849+548+19452)-548)-19452</f>
        <v>50099</v>
      </c>
      <c r="L33" s="228">
        <v>51400</v>
      </c>
      <c r="M33" s="228"/>
      <c r="N33" s="228">
        <v>30200</v>
      </c>
      <c r="O33" s="361">
        <f>K33</f>
        <v>50099</v>
      </c>
      <c r="P33" s="363">
        <f t="shared" si="12"/>
        <v>18840181</v>
      </c>
      <c r="R33" s="328" t="b">
        <f>K33='d5'!J56</f>
        <v>1</v>
      </c>
    </row>
    <row r="34" spans="1:18" ht="184.5" thickTop="1" thickBot="1" x14ac:dyDescent="0.25">
      <c r="A34" s="364" t="s">
        <v>254</v>
      </c>
      <c r="B34" s="364" t="s">
        <v>237</v>
      </c>
      <c r="C34" s="364" t="s">
        <v>226</v>
      </c>
      <c r="D34" s="364" t="s">
        <v>715</v>
      </c>
      <c r="E34" s="363">
        <f t="shared" si="14"/>
        <v>35285648</v>
      </c>
      <c r="F34" s="228">
        <f>((32917848)+195000+50000)+2100100+293700-200000-11000-60000</f>
        <v>35285648</v>
      </c>
      <c r="G34" s="228">
        <f>(23883848)+2100100</f>
        <v>25983948</v>
      </c>
      <c r="H34" s="228">
        <f>(2110447)-200000-11000-60000</f>
        <v>1839447</v>
      </c>
      <c r="I34" s="228"/>
      <c r="J34" s="363">
        <f t="shared" si="13"/>
        <v>12351310</v>
      </c>
      <c r="K34" s="228">
        <f>(2500000)+2000000+619000</f>
        <v>5119000</v>
      </c>
      <c r="L34" s="228">
        <v>7117310</v>
      </c>
      <c r="M34" s="228">
        <v>2370000</v>
      </c>
      <c r="N34" s="228">
        <v>248940</v>
      </c>
      <c r="O34" s="361">
        <f>K34+115000</f>
        <v>5234000</v>
      </c>
      <c r="P34" s="363">
        <f t="shared" si="12"/>
        <v>47636958</v>
      </c>
      <c r="R34" s="328" t="b">
        <f>K34='d5'!J57+'d5'!J58+'d5'!J59</f>
        <v>1</v>
      </c>
    </row>
    <row r="35" spans="1:18" ht="184.5" thickTop="1" thickBot="1" x14ac:dyDescent="0.25">
      <c r="A35" s="364" t="s">
        <v>255</v>
      </c>
      <c r="B35" s="364" t="s">
        <v>256</v>
      </c>
      <c r="C35" s="364" t="s">
        <v>257</v>
      </c>
      <c r="D35" s="364" t="s">
        <v>717</v>
      </c>
      <c r="E35" s="363">
        <f t="shared" si="14"/>
        <v>102154200</v>
      </c>
      <c r="F35" s="228">
        <f>((99925935)-800000-100000-400000+289765)+5463700+916800-1120000-54000-900000-68000-1000000</f>
        <v>102154200</v>
      </c>
      <c r="G35" s="228">
        <f>(60000000)+5463700-1000000</f>
        <v>64463700</v>
      </c>
      <c r="H35" s="228">
        <f>((11250195)-800000-100000-400000)-1120000-54000-900000</f>
        <v>7876195</v>
      </c>
      <c r="I35" s="228"/>
      <c r="J35" s="363">
        <f>L35+O35</f>
        <v>22745810</v>
      </c>
      <c r="K35" s="228">
        <f>1000000+68000+200000</f>
        <v>1268000</v>
      </c>
      <c r="L35" s="228">
        <f>20991810+30000</f>
        <v>21021810</v>
      </c>
      <c r="M35" s="228">
        <v>6715654</v>
      </c>
      <c r="N35" s="228">
        <f>6731270+30000</f>
        <v>6761270</v>
      </c>
      <c r="O35" s="361">
        <f>K35+486000-30000</f>
        <v>1724000</v>
      </c>
      <c r="P35" s="363">
        <f t="shared" si="12"/>
        <v>124900010</v>
      </c>
      <c r="R35" s="328" t="b">
        <f>K35='d5'!J61+'d5'!J63+'d5'!J62</f>
        <v>1</v>
      </c>
    </row>
    <row r="36" spans="1:18" ht="93" thickTop="1" thickBot="1" x14ac:dyDescent="0.25">
      <c r="A36" s="364" t="s">
        <v>258</v>
      </c>
      <c r="B36" s="364" t="s">
        <v>259</v>
      </c>
      <c r="C36" s="364" t="s">
        <v>260</v>
      </c>
      <c r="D36" s="364" t="s">
        <v>718</v>
      </c>
      <c r="E36" s="363">
        <f t="shared" si="14"/>
        <v>5083490</v>
      </c>
      <c r="F36" s="228">
        <f>(5193490)-20000-30000-45000-15000</f>
        <v>5083490</v>
      </c>
      <c r="G36" s="228">
        <f>(3586600)-20000</f>
        <v>3566600</v>
      </c>
      <c r="H36" s="228">
        <f>(185490)-45000-15000</f>
        <v>125490</v>
      </c>
      <c r="I36" s="228"/>
      <c r="J36" s="363">
        <f t="shared" si="13"/>
        <v>63500</v>
      </c>
      <c r="K36" s="228"/>
      <c r="L36" s="228">
        <v>63500</v>
      </c>
      <c r="M36" s="228"/>
      <c r="N36" s="228"/>
      <c r="O36" s="361">
        <f t="shared" ref="O36:O39" si="15">K36</f>
        <v>0</v>
      </c>
      <c r="P36" s="363">
        <f t="shared" si="12"/>
        <v>5146990</v>
      </c>
      <c r="R36" s="333"/>
    </row>
    <row r="37" spans="1:18" s="94" customFormat="1" ht="93" thickTop="1" thickBot="1" x14ac:dyDescent="0.25">
      <c r="A37" s="364" t="s">
        <v>389</v>
      </c>
      <c r="B37" s="364" t="s">
        <v>390</v>
      </c>
      <c r="C37" s="364" t="s">
        <v>260</v>
      </c>
      <c r="D37" s="364" t="s">
        <v>719</v>
      </c>
      <c r="E37" s="363">
        <f t="shared" si="14"/>
        <v>18553880.219999999</v>
      </c>
      <c r="F37" s="228">
        <f>((20115430)+30000+45000)-1158549.78-380000-68000-30000</f>
        <v>18553880.219999999</v>
      </c>
      <c r="G37" s="228">
        <f>(15415700)-1158549.78</f>
        <v>14257150.220000001</v>
      </c>
      <c r="H37" s="228">
        <f>(656555)-68000-30000</f>
        <v>558555</v>
      </c>
      <c r="I37" s="228"/>
      <c r="J37" s="363">
        <f t="shared" si="13"/>
        <v>535640</v>
      </c>
      <c r="K37" s="228"/>
      <c r="L37" s="228">
        <v>535640</v>
      </c>
      <c r="M37" s="228">
        <v>87990</v>
      </c>
      <c r="N37" s="228">
        <v>8710</v>
      </c>
      <c r="O37" s="361">
        <f t="shared" si="15"/>
        <v>0</v>
      </c>
      <c r="P37" s="363">
        <f t="shared" si="12"/>
        <v>19089520.219999999</v>
      </c>
      <c r="R37" s="328"/>
    </row>
    <row r="38" spans="1:18" s="94" customFormat="1" ht="93" thickTop="1" thickBot="1" x14ac:dyDescent="0.25">
      <c r="A38" s="364" t="s">
        <v>410</v>
      </c>
      <c r="B38" s="364" t="s">
        <v>411</v>
      </c>
      <c r="C38" s="364" t="s">
        <v>260</v>
      </c>
      <c r="D38" s="364" t="s">
        <v>409</v>
      </c>
      <c r="E38" s="363">
        <f>F38</f>
        <v>156200</v>
      </c>
      <c r="F38" s="228">
        <f>(156200)</f>
        <v>156200</v>
      </c>
      <c r="G38" s="228"/>
      <c r="H38" s="228"/>
      <c r="I38" s="228"/>
      <c r="J38" s="363">
        <f t="shared" si="13"/>
        <v>0</v>
      </c>
      <c r="K38" s="228"/>
      <c r="L38" s="228"/>
      <c r="M38" s="228"/>
      <c r="N38" s="228"/>
      <c r="O38" s="361">
        <f t="shared" si="15"/>
        <v>0</v>
      </c>
      <c r="P38" s="363">
        <f t="shared" si="12"/>
        <v>156200</v>
      </c>
      <c r="R38" s="333"/>
    </row>
    <row r="39" spans="1:18" s="94" customFormat="1" ht="93" thickTop="1" thickBot="1" x14ac:dyDescent="0.25">
      <c r="A39" s="364" t="s">
        <v>544</v>
      </c>
      <c r="B39" s="364" t="s">
        <v>545</v>
      </c>
      <c r="C39" s="364" t="s">
        <v>260</v>
      </c>
      <c r="D39" s="364" t="s">
        <v>546</v>
      </c>
      <c r="E39" s="363">
        <f>F39</f>
        <v>3779598</v>
      </c>
      <c r="F39" s="228">
        <f>((2167787+1649700+1588600)-1307500)-261466-57523</f>
        <v>3779598</v>
      </c>
      <c r="G39" s="228">
        <f>((1632700+1352200+1302100)-1071700)-261466</f>
        <v>2953834</v>
      </c>
      <c r="H39" s="228">
        <v>46382</v>
      </c>
      <c r="I39" s="228"/>
      <c r="J39" s="363">
        <f t="shared" si="13"/>
        <v>0</v>
      </c>
      <c r="K39" s="228"/>
      <c r="L39" s="228"/>
      <c r="M39" s="228"/>
      <c r="N39" s="228"/>
      <c r="O39" s="361">
        <f t="shared" si="15"/>
        <v>0</v>
      </c>
      <c r="P39" s="363">
        <f t="shared" si="12"/>
        <v>3779598</v>
      </c>
      <c r="R39" s="333"/>
    </row>
    <row r="40" spans="1:18" s="94" customFormat="1" ht="321.75" hidden="1" thickTop="1" thickBot="1" x14ac:dyDescent="0.25">
      <c r="A40" s="364" t="s">
        <v>548</v>
      </c>
      <c r="B40" s="364" t="s">
        <v>549</v>
      </c>
      <c r="C40" s="364" t="s">
        <v>230</v>
      </c>
      <c r="D40" s="364" t="s">
        <v>547</v>
      </c>
      <c r="E40" s="363">
        <f>F40</f>
        <v>0</v>
      </c>
      <c r="F40" s="228">
        <f>(2100000)-2100000</f>
        <v>0</v>
      </c>
      <c r="G40" s="228"/>
      <c r="H40" s="228"/>
      <c r="I40" s="228"/>
      <c r="J40" s="363">
        <f>L40+O40</f>
        <v>0</v>
      </c>
      <c r="K40" s="228"/>
      <c r="L40" s="228"/>
      <c r="M40" s="228"/>
      <c r="N40" s="228"/>
      <c r="O40" s="361">
        <f>K40</f>
        <v>0</v>
      </c>
      <c r="P40" s="363">
        <f>E40+J40</f>
        <v>0</v>
      </c>
      <c r="R40" s="333"/>
    </row>
    <row r="41" spans="1:18" s="94" customFormat="1" ht="48" thickTop="1" thickBot="1" x14ac:dyDescent="0.25">
      <c r="A41" s="364" t="s">
        <v>766</v>
      </c>
      <c r="B41" s="364" t="s">
        <v>262</v>
      </c>
      <c r="C41" s="364" t="s">
        <v>263</v>
      </c>
      <c r="D41" s="364" t="s">
        <v>51</v>
      </c>
      <c r="E41" s="363">
        <f>F41</f>
        <v>0</v>
      </c>
      <c r="F41" s="228"/>
      <c r="G41" s="228"/>
      <c r="H41" s="228"/>
      <c r="I41" s="228"/>
      <c r="J41" s="363">
        <f>L41+O41</f>
        <v>992490.88</v>
      </c>
      <c r="K41" s="228">
        <v>992490.88</v>
      </c>
      <c r="L41" s="228"/>
      <c r="M41" s="228"/>
      <c r="N41" s="228"/>
      <c r="O41" s="361">
        <f>K41</f>
        <v>992490.88</v>
      </c>
      <c r="P41" s="363">
        <f>E41+J41</f>
        <v>992490.88</v>
      </c>
      <c r="R41" s="328" t="b">
        <f>K41='d5'!J65</f>
        <v>1</v>
      </c>
    </row>
    <row r="42" spans="1:18" ht="136.5" thickTop="1" thickBot="1" x14ac:dyDescent="0.25">
      <c r="A42" s="451" t="s">
        <v>194</v>
      </c>
      <c r="B42" s="451"/>
      <c r="C42" s="451"/>
      <c r="D42" s="452" t="s">
        <v>22</v>
      </c>
      <c r="E42" s="453">
        <f>E43</f>
        <v>167302792.47999999</v>
      </c>
      <c r="F42" s="454">
        <f t="shared" ref="F42:G42" si="16">F43</f>
        <v>167302792.47999999</v>
      </c>
      <c r="G42" s="454">
        <f t="shared" si="16"/>
        <v>3512364</v>
      </c>
      <c r="H42" s="454">
        <f>H43</f>
        <v>139601</v>
      </c>
      <c r="I42" s="453">
        <f t="shared" ref="I42" si="17">I43</f>
        <v>0</v>
      </c>
      <c r="J42" s="453">
        <f>J43</f>
        <v>28940505.030000001</v>
      </c>
      <c r="K42" s="454">
        <f>K43</f>
        <v>28918505.030000001</v>
      </c>
      <c r="L42" s="454">
        <f>L43</f>
        <v>22000</v>
      </c>
      <c r="M42" s="454">
        <f t="shared" ref="M42" si="18">M43</f>
        <v>0</v>
      </c>
      <c r="N42" s="453">
        <f>N43</f>
        <v>0</v>
      </c>
      <c r="O42" s="453">
        <f>O43</f>
        <v>28918505.030000001</v>
      </c>
      <c r="P42" s="454">
        <f>P43</f>
        <v>196243297.50999999</v>
      </c>
    </row>
    <row r="43" spans="1:18" ht="136.5" thickTop="1" thickBot="1" x14ac:dyDescent="0.25">
      <c r="A43" s="455" t="s">
        <v>195</v>
      </c>
      <c r="B43" s="455"/>
      <c r="C43" s="455"/>
      <c r="D43" s="456" t="s">
        <v>44</v>
      </c>
      <c r="E43" s="457">
        <f>SUM(E44:E55)</f>
        <v>167302792.47999999</v>
      </c>
      <c r="F43" s="457">
        <f t="shared" ref="F43:H43" si="19">SUM(F44:F55)</f>
        <v>167302792.47999999</v>
      </c>
      <c r="G43" s="457">
        <f t="shared" si="19"/>
        <v>3512364</v>
      </c>
      <c r="H43" s="457">
        <f t="shared" si="19"/>
        <v>139601</v>
      </c>
      <c r="I43" s="457">
        <f>SUM(I44:I55)</f>
        <v>0</v>
      </c>
      <c r="J43" s="457">
        <f>L43+O43</f>
        <v>28940505.030000001</v>
      </c>
      <c r="K43" s="457">
        <f>SUM(K44:K55)</f>
        <v>28918505.030000001</v>
      </c>
      <c r="L43" s="457">
        <f>SUM(L44:L55)</f>
        <v>22000</v>
      </c>
      <c r="M43" s="457">
        <f>SUM(M44:M55)</f>
        <v>0</v>
      </c>
      <c r="N43" s="457">
        <f>SUM(N44:N55)</f>
        <v>0</v>
      </c>
      <c r="O43" s="457">
        <f>SUM(O44:O55)</f>
        <v>28918505.030000001</v>
      </c>
      <c r="P43" s="458">
        <f t="shared" ref="P43:P55" si="20">E43+J43</f>
        <v>196243297.50999999</v>
      </c>
      <c r="Q43" s="328" t="b">
        <f>P43=P45+P47+P48+P49+P50+P52+P53+P44+P54+P51+P46+P55</f>
        <v>1</v>
      </c>
      <c r="R43" s="328" t="b">
        <f>K43='d5'!J66</f>
        <v>1</v>
      </c>
    </row>
    <row r="44" spans="1:18" ht="230.25" thickTop="1" thickBot="1" x14ac:dyDescent="0.25">
      <c r="A44" s="364" t="s">
        <v>514</v>
      </c>
      <c r="B44" s="364" t="s">
        <v>286</v>
      </c>
      <c r="C44" s="364" t="s">
        <v>284</v>
      </c>
      <c r="D44" s="364" t="s">
        <v>285</v>
      </c>
      <c r="E44" s="363">
        <f>F44</f>
        <v>2026703</v>
      </c>
      <c r="F44" s="228">
        <f>(2100703)-74000</f>
        <v>2026703</v>
      </c>
      <c r="G44" s="228">
        <f>(1584000)-60900</f>
        <v>1523100</v>
      </c>
      <c r="H44" s="228">
        <f>(61103)+10000</f>
        <v>71103</v>
      </c>
      <c r="I44" s="228"/>
      <c r="J44" s="363">
        <f t="shared" ref="J44:J55" si="21">L44+O44</f>
        <v>0</v>
      </c>
      <c r="K44" s="363"/>
      <c r="L44" s="363"/>
      <c r="M44" s="363"/>
      <c r="N44" s="363"/>
      <c r="O44" s="361">
        <f>K44</f>
        <v>0</v>
      </c>
      <c r="P44" s="363">
        <f t="shared" si="20"/>
        <v>2026703</v>
      </c>
      <c r="Q44" s="333"/>
      <c r="R44" s="333"/>
    </row>
    <row r="45" spans="1:18" ht="93" thickTop="1" thickBot="1" x14ac:dyDescent="0.25">
      <c r="A45" s="364" t="s">
        <v>264</v>
      </c>
      <c r="B45" s="364" t="s">
        <v>261</v>
      </c>
      <c r="C45" s="364" t="s">
        <v>265</v>
      </c>
      <c r="D45" s="364" t="s">
        <v>23</v>
      </c>
      <c r="E45" s="363">
        <f>F45</f>
        <v>68995748.060000002</v>
      </c>
      <c r="F45" s="228">
        <f>((((((68982241+2148400)+3200000)+200000+10000)-2000000+94400-600000+600000+149000))-3628678)+146564.39+17133.89+82936.98+4949.8-460000-200000-1200000+1200000+200000+48800</f>
        <v>68995748.060000002</v>
      </c>
      <c r="G45" s="228"/>
      <c r="H45" s="228"/>
      <c r="I45" s="228"/>
      <c r="J45" s="363">
        <f t="shared" si="21"/>
        <v>10087110</v>
      </c>
      <c r="K45" s="228">
        <f>(12800000)-610000-2102890</f>
        <v>10087110</v>
      </c>
      <c r="L45" s="228"/>
      <c r="M45" s="228"/>
      <c r="N45" s="228"/>
      <c r="O45" s="361">
        <f>K45</f>
        <v>10087110</v>
      </c>
      <c r="P45" s="363">
        <f t="shared" si="20"/>
        <v>79082858.060000002</v>
      </c>
      <c r="R45" s="328" t="b">
        <f>K45='d5'!J68</f>
        <v>1</v>
      </c>
    </row>
    <row r="46" spans="1:18" ht="93" thickTop="1" thickBot="1" x14ac:dyDescent="0.25">
      <c r="A46" s="364" t="s">
        <v>723</v>
      </c>
      <c r="B46" s="364" t="s">
        <v>726</v>
      </c>
      <c r="C46" s="364" t="s">
        <v>725</v>
      </c>
      <c r="D46" s="364" t="s">
        <v>724</v>
      </c>
      <c r="E46" s="363">
        <f>F46</f>
        <v>9550188.3499999996</v>
      </c>
      <c r="F46" s="228">
        <f>((2850000+3362320)+1769000)+123402.57+873210+10100+237755.78+300000+24400</f>
        <v>9550188.3499999996</v>
      </c>
      <c r="G46" s="228"/>
      <c r="H46" s="228"/>
      <c r="I46" s="228"/>
      <c r="J46" s="363">
        <f t="shared" si="21"/>
        <v>0</v>
      </c>
      <c r="K46" s="228"/>
      <c r="L46" s="228"/>
      <c r="M46" s="228"/>
      <c r="N46" s="228"/>
      <c r="O46" s="361"/>
      <c r="P46" s="363">
        <f t="shared" si="20"/>
        <v>9550188.3499999996</v>
      </c>
      <c r="R46" s="333"/>
    </row>
    <row r="47" spans="1:18" ht="138.75" thickTop="1" thickBot="1" x14ac:dyDescent="0.25">
      <c r="A47" s="364" t="s">
        <v>266</v>
      </c>
      <c r="B47" s="364" t="s">
        <v>267</v>
      </c>
      <c r="C47" s="364" t="s">
        <v>268</v>
      </c>
      <c r="D47" s="364" t="s">
        <v>269</v>
      </c>
      <c r="E47" s="363">
        <f t="shared" ref="E47:E55" si="22">F47</f>
        <v>21500269.399999999</v>
      </c>
      <c r="F47" s="228">
        <f>(((21374445)+500000)+124500-300000-200000+83024.4)-93900+12200</f>
        <v>21500269.399999999</v>
      </c>
      <c r="G47" s="228"/>
      <c r="H47" s="228"/>
      <c r="I47" s="228"/>
      <c r="J47" s="363">
        <f t="shared" si="21"/>
        <v>0</v>
      </c>
      <c r="K47" s="228"/>
      <c r="L47" s="228"/>
      <c r="M47" s="228"/>
      <c r="N47" s="228"/>
      <c r="O47" s="361">
        <f>K47</f>
        <v>0</v>
      </c>
      <c r="P47" s="363">
        <f t="shared" si="20"/>
        <v>21500269.399999999</v>
      </c>
      <c r="R47" s="333"/>
    </row>
    <row r="48" spans="1:18" ht="138.75" thickTop="1" thickBot="1" x14ac:dyDescent="0.25">
      <c r="A48" s="364" t="s">
        <v>270</v>
      </c>
      <c r="B48" s="364" t="s">
        <v>271</v>
      </c>
      <c r="C48" s="364" t="s">
        <v>272</v>
      </c>
      <c r="D48" s="364" t="s">
        <v>421</v>
      </c>
      <c r="E48" s="363">
        <f t="shared" si="22"/>
        <v>26578536</v>
      </c>
      <c r="F48" s="228">
        <f>(((((18403027)+500000)+134200)+1000000+692407+152330+216000+47520+235405+51789+500000+148120+965300)+2937900)+800000-205462</f>
        <v>26578536</v>
      </c>
      <c r="G48" s="228"/>
      <c r="H48" s="228"/>
      <c r="I48" s="228"/>
      <c r="J48" s="363">
        <f t="shared" si="21"/>
        <v>0</v>
      </c>
      <c r="K48" s="228"/>
      <c r="L48" s="228"/>
      <c r="M48" s="228"/>
      <c r="N48" s="228"/>
      <c r="O48" s="361">
        <f>K48</f>
        <v>0</v>
      </c>
      <c r="P48" s="363">
        <f t="shared" si="20"/>
        <v>26578536</v>
      </c>
      <c r="R48" s="333"/>
    </row>
    <row r="49" spans="1:20" ht="93" thickTop="1" thickBot="1" x14ac:dyDescent="0.25">
      <c r="A49" s="364" t="s">
        <v>273</v>
      </c>
      <c r="B49" s="364" t="s">
        <v>274</v>
      </c>
      <c r="C49" s="364" t="s">
        <v>275</v>
      </c>
      <c r="D49" s="364" t="s">
        <v>276</v>
      </c>
      <c r="E49" s="363">
        <f t="shared" si="22"/>
        <v>7566022</v>
      </c>
      <c r="F49" s="228">
        <f>(7553822)+12200</f>
        <v>7566022</v>
      </c>
      <c r="G49" s="228"/>
      <c r="H49" s="228"/>
      <c r="I49" s="228"/>
      <c r="J49" s="363">
        <f t="shared" si="21"/>
        <v>0</v>
      </c>
      <c r="K49" s="228"/>
      <c r="L49" s="228"/>
      <c r="M49" s="228"/>
      <c r="N49" s="228"/>
      <c r="O49" s="361">
        <f>K49</f>
        <v>0</v>
      </c>
      <c r="P49" s="363">
        <f t="shared" si="20"/>
        <v>7566022</v>
      </c>
      <c r="R49" s="333"/>
    </row>
    <row r="50" spans="1:20" ht="184.5" thickTop="1" thickBot="1" x14ac:dyDescent="0.25">
      <c r="A50" s="364" t="s">
        <v>277</v>
      </c>
      <c r="B50" s="364" t="s">
        <v>278</v>
      </c>
      <c r="C50" s="364" t="s">
        <v>422</v>
      </c>
      <c r="D50" s="364" t="s">
        <v>279</v>
      </c>
      <c r="E50" s="363">
        <f t="shared" si="22"/>
        <v>8846243</v>
      </c>
      <c r="F50" s="228">
        <f>((8923043)-125600)+48800</f>
        <v>8846243</v>
      </c>
      <c r="G50" s="228"/>
      <c r="H50" s="228"/>
      <c r="I50" s="228"/>
      <c r="J50" s="363">
        <f t="shared" si="21"/>
        <v>0</v>
      </c>
      <c r="K50" s="228"/>
      <c r="L50" s="228"/>
      <c r="M50" s="228"/>
      <c r="N50" s="228"/>
      <c r="O50" s="361">
        <f t="shared" ref="O50:O55" si="23">K50</f>
        <v>0</v>
      </c>
      <c r="P50" s="363">
        <f t="shared" si="20"/>
        <v>8846243</v>
      </c>
      <c r="R50" s="333"/>
    </row>
    <row r="51" spans="1:20" ht="138.75" thickTop="1" thickBot="1" x14ac:dyDescent="0.25">
      <c r="A51" s="364" t="s">
        <v>676</v>
      </c>
      <c r="B51" s="364" t="s">
        <v>677</v>
      </c>
      <c r="C51" s="364" t="s">
        <v>280</v>
      </c>
      <c r="D51" s="364" t="s">
        <v>678</v>
      </c>
      <c r="E51" s="363">
        <f t="shared" si="22"/>
        <v>12685096.689999999</v>
      </c>
      <c r="F51" s="228">
        <f>((2180400)+6806900)+96.69+3697700</f>
        <v>12685096.689999999</v>
      </c>
      <c r="G51" s="228"/>
      <c r="H51" s="228"/>
      <c r="I51" s="228"/>
      <c r="J51" s="363">
        <f t="shared" si="21"/>
        <v>0</v>
      </c>
      <c r="K51" s="228"/>
      <c r="L51" s="228"/>
      <c r="M51" s="228"/>
      <c r="N51" s="228"/>
      <c r="O51" s="361">
        <f t="shared" si="23"/>
        <v>0</v>
      </c>
      <c r="P51" s="363">
        <f t="shared" si="20"/>
        <v>12685096.689999999</v>
      </c>
      <c r="R51" s="333"/>
    </row>
    <row r="52" spans="1:20" s="94" customFormat="1" ht="138.75" thickTop="1" thickBot="1" x14ac:dyDescent="0.25">
      <c r="A52" s="364" t="s">
        <v>393</v>
      </c>
      <c r="B52" s="364" t="s">
        <v>395</v>
      </c>
      <c r="C52" s="364" t="s">
        <v>280</v>
      </c>
      <c r="D52" s="230" t="s">
        <v>391</v>
      </c>
      <c r="E52" s="363">
        <f t="shared" si="22"/>
        <v>5227685.9800000004</v>
      </c>
      <c r="F52" s="228">
        <f>((((4075758)+500000+53235.04-50000-10000))+910278)-146564.39-17133.89-82936.98-4949.8</f>
        <v>5227685.9800000004</v>
      </c>
      <c r="G52" s="228">
        <v>1989264</v>
      </c>
      <c r="H52" s="228">
        <v>68498</v>
      </c>
      <c r="I52" s="228"/>
      <c r="J52" s="363">
        <f t="shared" si="21"/>
        <v>22000</v>
      </c>
      <c r="K52" s="228"/>
      <c r="L52" s="228">
        <v>22000</v>
      </c>
      <c r="M52" s="228"/>
      <c r="N52" s="228"/>
      <c r="O52" s="361">
        <f t="shared" si="23"/>
        <v>0</v>
      </c>
      <c r="P52" s="363">
        <f t="shared" si="20"/>
        <v>5249685.9800000004</v>
      </c>
      <c r="R52" s="333"/>
    </row>
    <row r="53" spans="1:20" s="94" customFormat="1" ht="93" thickTop="1" thickBot="1" x14ac:dyDescent="0.25">
      <c r="A53" s="364" t="s">
        <v>394</v>
      </c>
      <c r="B53" s="364" t="s">
        <v>396</v>
      </c>
      <c r="C53" s="364" t="s">
        <v>280</v>
      </c>
      <c r="D53" s="230" t="s">
        <v>392</v>
      </c>
      <c r="E53" s="363">
        <f t="shared" si="22"/>
        <v>4326300</v>
      </c>
      <c r="F53" s="228">
        <f>(4201600)+1000000+90000-965300</f>
        <v>4326300</v>
      </c>
      <c r="G53" s="228"/>
      <c r="H53" s="228"/>
      <c r="I53" s="228"/>
      <c r="J53" s="363">
        <f t="shared" si="21"/>
        <v>0</v>
      </c>
      <c r="K53" s="228"/>
      <c r="L53" s="228"/>
      <c r="M53" s="228"/>
      <c r="N53" s="228"/>
      <c r="O53" s="361">
        <f t="shared" si="23"/>
        <v>0</v>
      </c>
      <c r="P53" s="363">
        <f t="shared" si="20"/>
        <v>4326300</v>
      </c>
      <c r="R53" s="333"/>
    </row>
    <row r="54" spans="1:20" s="94" customFormat="1" ht="93" thickTop="1" thickBot="1" x14ac:dyDescent="0.25">
      <c r="A54" s="364" t="s">
        <v>563</v>
      </c>
      <c r="B54" s="364" t="s">
        <v>243</v>
      </c>
      <c r="C54" s="364" t="s">
        <v>210</v>
      </c>
      <c r="D54" s="364" t="s">
        <v>42</v>
      </c>
      <c r="E54" s="363">
        <f t="shared" si="22"/>
        <v>0</v>
      </c>
      <c r="F54" s="228"/>
      <c r="G54" s="228"/>
      <c r="H54" s="228"/>
      <c r="I54" s="228"/>
      <c r="J54" s="363">
        <f t="shared" si="21"/>
        <v>18831395.030000001</v>
      </c>
      <c r="K54" s="228">
        <f>(((13764600)+1090122)+457500+3257900+139000+175000-124600-21000+10000+15500-109985-26200+300000+109985+28000-111024.4)-123402.57</f>
        <v>18831395.030000001</v>
      </c>
      <c r="L54" s="228"/>
      <c r="M54" s="228"/>
      <c r="N54" s="228"/>
      <c r="O54" s="361">
        <f t="shared" si="23"/>
        <v>18831395.030000001</v>
      </c>
      <c r="P54" s="363">
        <f t="shared" si="20"/>
        <v>18831395.030000001</v>
      </c>
      <c r="R54" s="328" t="b">
        <f>K54='d5'!J69+'d5'!J70+'d5'!J71+'d5'!J72+'d5'!J73+'d5'!J74+'d5'!J76+'d5'!J77</f>
        <v>1</v>
      </c>
    </row>
    <row r="55" spans="1:20" s="94" customFormat="1" ht="93" hidden="1" thickTop="1" thickBot="1" x14ac:dyDescent="0.25">
      <c r="A55" s="406" t="s">
        <v>727</v>
      </c>
      <c r="B55" s="406" t="s">
        <v>443</v>
      </c>
      <c r="C55" s="406" t="s">
        <v>53</v>
      </c>
      <c r="D55" s="406" t="s">
        <v>444</v>
      </c>
      <c r="E55" s="407">
        <f t="shared" si="22"/>
        <v>0</v>
      </c>
      <c r="F55" s="410"/>
      <c r="G55" s="410"/>
      <c r="H55" s="410"/>
      <c r="I55" s="410"/>
      <c r="J55" s="407">
        <f t="shared" si="21"/>
        <v>0</v>
      </c>
      <c r="K55" s="410"/>
      <c r="L55" s="410"/>
      <c r="M55" s="410"/>
      <c r="N55" s="410"/>
      <c r="O55" s="409">
        <f t="shared" si="23"/>
        <v>0</v>
      </c>
      <c r="P55" s="407">
        <f t="shared" si="20"/>
        <v>0</v>
      </c>
      <c r="R55" s="328"/>
    </row>
    <row r="56" spans="1:20" ht="181.5" thickTop="1" thickBot="1" x14ac:dyDescent="0.25">
      <c r="A56" s="451" t="s">
        <v>196</v>
      </c>
      <c r="B56" s="451"/>
      <c r="C56" s="451"/>
      <c r="D56" s="452" t="s">
        <v>45</v>
      </c>
      <c r="E56" s="453">
        <f>E57</f>
        <v>197677093</v>
      </c>
      <c r="F56" s="454">
        <f t="shared" ref="F56:G56" si="24">F57</f>
        <v>197677093</v>
      </c>
      <c r="G56" s="454">
        <f t="shared" si="24"/>
        <v>54164126</v>
      </c>
      <c r="H56" s="454">
        <f>H57</f>
        <v>1714416</v>
      </c>
      <c r="I56" s="453">
        <f t="shared" ref="I56" si="25">I57</f>
        <v>0</v>
      </c>
      <c r="J56" s="453">
        <f>J57</f>
        <v>24860784.940000001</v>
      </c>
      <c r="K56" s="454">
        <f>K57</f>
        <v>24297784.940000001</v>
      </c>
      <c r="L56" s="454">
        <f>L57</f>
        <v>563000</v>
      </c>
      <c r="M56" s="454">
        <f t="shared" ref="M56" si="26">M57</f>
        <v>125000</v>
      </c>
      <c r="N56" s="453">
        <f>N57</f>
        <v>67900</v>
      </c>
      <c r="O56" s="453">
        <f>O57</f>
        <v>24297784.940000001</v>
      </c>
      <c r="P56" s="454">
        <f>P57</f>
        <v>222537877.94</v>
      </c>
    </row>
    <row r="57" spans="1:20" ht="181.5" thickTop="1" thickBot="1" x14ac:dyDescent="0.25">
      <c r="A57" s="455" t="s">
        <v>197</v>
      </c>
      <c r="B57" s="455"/>
      <c r="C57" s="455"/>
      <c r="D57" s="456" t="s">
        <v>46</v>
      </c>
      <c r="E57" s="457">
        <f>SUM(E58:E90)</f>
        <v>197677093</v>
      </c>
      <c r="F57" s="457">
        <f>SUM(F58:F90)</f>
        <v>197677093</v>
      </c>
      <c r="G57" s="457">
        <f>SUM(G58:G90)</f>
        <v>54164126</v>
      </c>
      <c r="H57" s="457">
        <f>SUM(H58:H90)</f>
        <v>1714416</v>
      </c>
      <c r="I57" s="457">
        <f>SUM(I58:I90)</f>
        <v>0</v>
      </c>
      <c r="J57" s="457">
        <f t="shared" ref="J57:J73" si="27">L57+O57</f>
        <v>24860784.940000001</v>
      </c>
      <c r="K57" s="457">
        <f>SUM(K58:K90)</f>
        <v>24297784.940000001</v>
      </c>
      <c r="L57" s="457">
        <f>SUM(L58:L90)</f>
        <v>563000</v>
      </c>
      <c r="M57" s="457">
        <f>SUM(M58:M90)</f>
        <v>125000</v>
      </c>
      <c r="N57" s="457">
        <f>SUM(N58:N90)</f>
        <v>67900</v>
      </c>
      <c r="O57" s="457">
        <f>SUM(O58:O90)</f>
        <v>24297784.940000001</v>
      </c>
      <c r="P57" s="458">
        <f t="shared" ref="P57:P67" si="28">E57+J57</f>
        <v>222537877.94</v>
      </c>
      <c r="Q57" s="334" t="b">
        <f>P57=P59+P60+P61+P62+P63+P66+P67+P68+P70+P71+P83+P84+P85+P72+P87+P58+P88+P64+P65+P69+P86+P90+P73+P76+P80</f>
        <v>1</v>
      </c>
      <c r="R57" s="335" t="b">
        <f>K57='d5'!J79</f>
        <v>1</v>
      </c>
      <c r="T57" s="334"/>
    </row>
    <row r="58" spans="1:20" ht="230.25" thickTop="1" thickBot="1" x14ac:dyDescent="0.25">
      <c r="A58" s="364" t="s">
        <v>513</v>
      </c>
      <c r="B58" s="364" t="s">
        <v>286</v>
      </c>
      <c r="C58" s="364" t="s">
        <v>284</v>
      </c>
      <c r="D58" s="364" t="s">
        <v>285</v>
      </c>
      <c r="E58" s="363">
        <f t="shared" ref="E58" si="29">F58</f>
        <v>42261258</v>
      </c>
      <c r="F58" s="228">
        <f>((43737200-796642)-721300)-55000+5000-35000+100000+27000</f>
        <v>42261258</v>
      </c>
      <c r="G58" s="228">
        <f>(33000000-396642)-572800</f>
        <v>32030558</v>
      </c>
      <c r="H58" s="228">
        <f>((845700)-55200+3000)-55000+5000-35000</f>
        <v>708500</v>
      </c>
      <c r="I58" s="228"/>
      <c r="J58" s="363">
        <f t="shared" si="27"/>
        <v>900000</v>
      </c>
      <c r="K58" s="228">
        <f>(900000)</f>
        <v>900000</v>
      </c>
      <c r="L58" s="228"/>
      <c r="M58" s="228"/>
      <c r="N58" s="228"/>
      <c r="O58" s="361">
        <f>K58</f>
        <v>900000</v>
      </c>
      <c r="P58" s="363">
        <f t="shared" si="28"/>
        <v>43161258</v>
      </c>
      <c r="Q58" s="334"/>
      <c r="R58" s="335" t="b">
        <f>K58='d5'!J80+'d5'!J81</f>
        <v>1</v>
      </c>
      <c r="T58" s="334"/>
    </row>
    <row r="59" spans="1:20" s="94" customFormat="1" ht="138.75" thickTop="1" thickBot="1" x14ac:dyDescent="0.25">
      <c r="A59" s="364" t="s">
        <v>320</v>
      </c>
      <c r="B59" s="364" t="s">
        <v>321</v>
      </c>
      <c r="C59" s="364" t="s">
        <v>251</v>
      </c>
      <c r="D59" s="229" t="s">
        <v>322</v>
      </c>
      <c r="E59" s="363">
        <f>F59</f>
        <v>270000</v>
      </c>
      <c r="F59" s="228">
        <f>(570000)-300000</f>
        <v>270000</v>
      </c>
      <c r="G59" s="228"/>
      <c r="H59" s="228"/>
      <c r="I59" s="228"/>
      <c r="J59" s="363">
        <f t="shared" si="27"/>
        <v>150000</v>
      </c>
      <c r="K59" s="228">
        <f>(100000)+50000</f>
        <v>150000</v>
      </c>
      <c r="L59" s="228"/>
      <c r="M59" s="228"/>
      <c r="N59" s="228"/>
      <c r="O59" s="361">
        <f t="shared" ref="O59:O72" si="30">K59</f>
        <v>150000</v>
      </c>
      <c r="P59" s="363">
        <f t="shared" si="28"/>
        <v>420000</v>
      </c>
      <c r="R59" s="335" t="b">
        <f>K59='d5'!J82</f>
        <v>1</v>
      </c>
    </row>
    <row r="60" spans="1:20" s="94" customFormat="1" ht="138.75" thickTop="1" thickBot="1" x14ac:dyDescent="0.25">
      <c r="A60" s="364" t="s">
        <v>323</v>
      </c>
      <c r="B60" s="364" t="s">
        <v>324</v>
      </c>
      <c r="C60" s="364" t="s">
        <v>252</v>
      </c>
      <c r="D60" s="364" t="s">
        <v>7</v>
      </c>
      <c r="E60" s="363">
        <f t="shared" ref="E60:E88" si="31">F60</f>
        <v>1210000</v>
      </c>
      <c r="F60" s="228">
        <f>(1410000)-200000</f>
        <v>1210000</v>
      </c>
      <c r="G60" s="228"/>
      <c r="H60" s="228"/>
      <c r="I60" s="228"/>
      <c r="J60" s="363">
        <f t="shared" si="27"/>
        <v>0</v>
      </c>
      <c r="K60" s="228"/>
      <c r="L60" s="228"/>
      <c r="M60" s="228"/>
      <c r="N60" s="228"/>
      <c r="O60" s="361">
        <f t="shared" si="30"/>
        <v>0</v>
      </c>
      <c r="P60" s="363">
        <f t="shared" si="28"/>
        <v>1210000</v>
      </c>
      <c r="R60" s="335"/>
    </row>
    <row r="61" spans="1:20" s="94" customFormat="1" ht="184.5" thickTop="1" thickBot="1" x14ac:dyDescent="0.25">
      <c r="A61" s="364" t="s">
        <v>326</v>
      </c>
      <c r="B61" s="364" t="s">
        <v>327</v>
      </c>
      <c r="C61" s="364" t="s">
        <v>252</v>
      </c>
      <c r="D61" s="364" t="s">
        <v>8</v>
      </c>
      <c r="E61" s="363">
        <f t="shared" si="31"/>
        <v>8450000</v>
      </c>
      <c r="F61" s="228">
        <f>((9000000)-1100000)+550000</f>
        <v>8450000</v>
      </c>
      <c r="G61" s="228"/>
      <c r="H61" s="228"/>
      <c r="I61" s="228"/>
      <c r="J61" s="363">
        <f t="shared" si="27"/>
        <v>0</v>
      </c>
      <c r="K61" s="228"/>
      <c r="L61" s="228"/>
      <c r="M61" s="228"/>
      <c r="N61" s="228"/>
      <c r="O61" s="361">
        <f t="shared" si="30"/>
        <v>0</v>
      </c>
      <c r="P61" s="363">
        <f t="shared" si="28"/>
        <v>8450000</v>
      </c>
      <c r="R61" s="335"/>
    </row>
    <row r="62" spans="1:20" s="94" customFormat="1" ht="184.5" thickTop="1" thickBot="1" x14ac:dyDescent="0.25">
      <c r="A62" s="364" t="s">
        <v>328</v>
      </c>
      <c r="B62" s="364" t="s">
        <v>325</v>
      </c>
      <c r="C62" s="364" t="s">
        <v>252</v>
      </c>
      <c r="D62" s="364" t="s">
        <v>9</v>
      </c>
      <c r="E62" s="363">
        <f t="shared" si="31"/>
        <v>350000</v>
      </c>
      <c r="F62" s="228">
        <f>(600000)-250000</f>
        <v>350000</v>
      </c>
      <c r="G62" s="228"/>
      <c r="H62" s="228"/>
      <c r="I62" s="228"/>
      <c r="J62" s="363">
        <f t="shared" si="27"/>
        <v>0</v>
      </c>
      <c r="K62" s="228"/>
      <c r="L62" s="228"/>
      <c r="M62" s="228"/>
      <c r="N62" s="228"/>
      <c r="O62" s="361">
        <f t="shared" si="30"/>
        <v>0</v>
      </c>
      <c r="P62" s="363">
        <f t="shared" si="28"/>
        <v>350000</v>
      </c>
      <c r="R62" s="335"/>
    </row>
    <row r="63" spans="1:20" s="94" customFormat="1" ht="184.5" thickTop="1" thickBot="1" x14ac:dyDescent="0.25">
      <c r="A63" s="364" t="s">
        <v>329</v>
      </c>
      <c r="B63" s="364" t="s">
        <v>330</v>
      </c>
      <c r="C63" s="364" t="s">
        <v>252</v>
      </c>
      <c r="D63" s="364" t="s">
        <v>11</v>
      </c>
      <c r="E63" s="363">
        <f t="shared" si="31"/>
        <v>70000000</v>
      </c>
      <c r="F63" s="228">
        <f>(((102000000-18700000)-6500000)-5400000)-1400000</f>
        <v>70000000</v>
      </c>
      <c r="G63" s="228"/>
      <c r="H63" s="228"/>
      <c r="I63" s="228"/>
      <c r="J63" s="363">
        <f t="shared" si="27"/>
        <v>0</v>
      </c>
      <c r="K63" s="228"/>
      <c r="L63" s="228"/>
      <c r="M63" s="228"/>
      <c r="N63" s="228"/>
      <c r="O63" s="361">
        <f t="shared" si="30"/>
        <v>0</v>
      </c>
      <c r="P63" s="363">
        <f t="shared" si="28"/>
        <v>70000000</v>
      </c>
      <c r="R63" s="335"/>
    </row>
    <row r="64" spans="1:20" s="94" customFormat="1" ht="184.5" thickTop="1" thickBot="1" x14ac:dyDescent="0.25">
      <c r="A64" s="364" t="s">
        <v>679</v>
      </c>
      <c r="B64" s="364" t="s">
        <v>680</v>
      </c>
      <c r="C64" s="364" t="s">
        <v>252</v>
      </c>
      <c r="D64" s="364" t="s">
        <v>681</v>
      </c>
      <c r="E64" s="363">
        <f t="shared" si="31"/>
        <v>194834</v>
      </c>
      <c r="F64" s="228">
        <v>194834</v>
      </c>
      <c r="G64" s="228"/>
      <c r="H64" s="228"/>
      <c r="I64" s="228"/>
      <c r="J64" s="363">
        <f t="shared" si="27"/>
        <v>0</v>
      </c>
      <c r="K64" s="228"/>
      <c r="L64" s="228"/>
      <c r="M64" s="228"/>
      <c r="N64" s="228"/>
      <c r="O64" s="361">
        <f t="shared" si="30"/>
        <v>0</v>
      </c>
      <c r="P64" s="363">
        <f t="shared" si="28"/>
        <v>194834</v>
      </c>
      <c r="R64" s="335"/>
    </row>
    <row r="65" spans="1:18" s="94" customFormat="1" ht="138.75" thickTop="1" thickBot="1" x14ac:dyDescent="0.25">
      <c r="A65" s="364" t="s">
        <v>682</v>
      </c>
      <c r="B65" s="364" t="s">
        <v>683</v>
      </c>
      <c r="C65" s="364" t="s">
        <v>251</v>
      </c>
      <c r="D65" s="364" t="s">
        <v>684</v>
      </c>
      <c r="E65" s="363">
        <f t="shared" si="31"/>
        <v>249955</v>
      </c>
      <c r="F65" s="228">
        <v>249955</v>
      </c>
      <c r="G65" s="228"/>
      <c r="H65" s="228"/>
      <c r="I65" s="228"/>
      <c r="J65" s="363">
        <f t="shared" si="27"/>
        <v>0</v>
      </c>
      <c r="K65" s="228"/>
      <c r="L65" s="228"/>
      <c r="M65" s="228"/>
      <c r="N65" s="228"/>
      <c r="O65" s="361">
        <f>K65</f>
        <v>0</v>
      </c>
      <c r="P65" s="363">
        <f t="shared" si="28"/>
        <v>249955</v>
      </c>
      <c r="R65" s="335"/>
    </row>
    <row r="66" spans="1:18" ht="276" thickTop="1" thickBot="1" x14ac:dyDescent="0.25">
      <c r="A66" s="364" t="s">
        <v>318</v>
      </c>
      <c r="B66" s="364" t="s">
        <v>316</v>
      </c>
      <c r="C66" s="364" t="s">
        <v>246</v>
      </c>
      <c r="D66" s="364" t="s">
        <v>21</v>
      </c>
      <c r="E66" s="363">
        <f t="shared" si="31"/>
        <v>21241028</v>
      </c>
      <c r="F66" s="228">
        <f>((21429053)-188025)-11500-19300-39200+70000</f>
        <v>21241028</v>
      </c>
      <c r="G66" s="228">
        <v>14638680</v>
      </c>
      <c r="H66" s="228">
        <v>215955</v>
      </c>
      <c r="I66" s="228"/>
      <c r="J66" s="363">
        <f t="shared" si="27"/>
        <v>190000</v>
      </c>
      <c r="K66" s="228"/>
      <c r="L66" s="228">
        <v>190000</v>
      </c>
      <c r="M66" s="228">
        <v>125000</v>
      </c>
      <c r="N66" s="228">
        <f>1900+1000</f>
        <v>2900</v>
      </c>
      <c r="O66" s="361">
        <f t="shared" si="30"/>
        <v>0</v>
      </c>
      <c r="P66" s="363">
        <f t="shared" si="28"/>
        <v>21431028</v>
      </c>
      <c r="R66" s="335"/>
    </row>
    <row r="67" spans="1:18" ht="138.75" thickTop="1" thickBot="1" x14ac:dyDescent="0.25">
      <c r="A67" s="364" t="s">
        <v>319</v>
      </c>
      <c r="B67" s="364" t="s">
        <v>317</v>
      </c>
      <c r="C67" s="364" t="s">
        <v>245</v>
      </c>
      <c r="D67" s="364" t="s">
        <v>606</v>
      </c>
      <c r="E67" s="363">
        <f t="shared" si="31"/>
        <v>5878761</v>
      </c>
      <c r="F67" s="228">
        <f>(((5993260)-20000)+38000)-45219+7720+5000-100000</f>
        <v>5878761</v>
      </c>
      <c r="G67" s="228">
        <f>(4221500)+38000</f>
        <v>4259500</v>
      </c>
      <c r="H67" s="228">
        <f>(293030)-50000</f>
        <v>243030</v>
      </c>
      <c r="I67" s="228"/>
      <c r="J67" s="363">
        <f t="shared" si="27"/>
        <v>202299</v>
      </c>
      <c r="K67" s="228">
        <f>((15000)+69800)+25000+12499+80000</f>
        <v>202299</v>
      </c>
      <c r="L67" s="228"/>
      <c r="M67" s="228"/>
      <c r="N67" s="228"/>
      <c r="O67" s="361">
        <f t="shared" si="30"/>
        <v>202299</v>
      </c>
      <c r="P67" s="363">
        <f t="shared" si="28"/>
        <v>6081060</v>
      </c>
      <c r="R67" s="335" t="b">
        <f>K67='d5'!J84</f>
        <v>1</v>
      </c>
    </row>
    <row r="68" spans="1:18" ht="409.6" thickTop="1" thickBot="1" x14ac:dyDescent="0.25">
      <c r="A68" s="364" t="s">
        <v>314</v>
      </c>
      <c r="B68" s="364" t="s">
        <v>315</v>
      </c>
      <c r="C68" s="364" t="s">
        <v>245</v>
      </c>
      <c r="D68" s="364" t="s">
        <v>604</v>
      </c>
      <c r="E68" s="363">
        <f t="shared" si="31"/>
        <v>2208150</v>
      </c>
      <c r="F68" s="228">
        <f>(2719650)-511500</f>
        <v>2208150</v>
      </c>
      <c r="G68" s="228"/>
      <c r="H68" s="228"/>
      <c r="I68" s="228"/>
      <c r="J68" s="363">
        <f t="shared" si="27"/>
        <v>0</v>
      </c>
      <c r="K68" s="363"/>
      <c r="L68" s="228"/>
      <c r="M68" s="228"/>
      <c r="N68" s="228"/>
      <c r="O68" s="361">
        <f t="shared" si="30"/>
        <v>0</v>
      </c>
      <c r="P68" s="363">
        <f>+J68+E68</f>
        <v>2208150</v>
      </c>
      <c r="R68" s="335"/>
    </row>
    <row r="69" spans="1:18" ht="230.25" thickTop="1" thickBot="1" x14ac:dyDescent="0.25">
      <c r="A69" s="364" t="s">
        <v>685</v>
      </c>
      <c r="B69" s="364" t="s">
        <v>686</v>
      </c>
      <c r="C69" s="364" t="s">
        <v>245</v>
      </c>
      <c r="D69" s="364" t="s">
        <v>687</v>
      </c>
      <c r="E69" s="363">
        <f t="shared" si="31"/>
        <v>164029</v>
      </c>
      <c r="F69" s="228">
        <f>162829+1200</f>
        <v>164029</v>
      </c>
      <c r="G69" s="228"/>
      <c r="H69" s="228"/>
      <c r="I69" s="228"/>
      <c r="J69" s="363">
        <f t="shared" si="27"/>
        <v>0</v>
      </c>
      <c r="K69" s="363"/>
      <c r="L69" s="228"/>
      <c r="M69" s="228"/>
      <c r="N69" s="228"/>
      <c r="O69" s="361">
        <f t="shared" si="30"/>
        <v>0</v>
      </c>
      <c r="P69" s="363">
        <f>+J69+E69</f>
        <v>164029</v>
      </c>
      <c r="R69" s="335"/>
    </row>
    <row r="70" spans="1:18" ht="367.5" thickTop="1" thickBot="1" x14ac:dyDescent="0.25">
      <c r="A70" s="364" t="s">
        <v>424</v>
      </c>
      <c r="B70" s="364" t="s">
        <v>423</v>
      </c>
      <c r="C70" s="364" t="s">
        <v>60</v>
      </c>
      <c r="D70" s="364" t="s">
        <v>605</v>
      </c>
      <c r="E70" s="363">
        <f t="shared" si="31"/>
        <v>2237840</v>
      </c>
      <c r="F70" s="228">
        <f>(2067840)+170000</f>
        <v>2237840</v>
      </c>
      <c r="G70" s="228"/>
      <c r="H70" s="228"/>
      <c r="I70" s="228"/>
      <c r="J70" s="363">
        <f t="shared" si="27"/>
        <v>0</v>
      </c>
      <c r="K70" s="363"/>
      <c r="L70" s="228"/>
      <c r="M70" s="228"/>
      <c r="N70" s="228"/>
      <c r="O70" s="361">
        <f t="shared" si="30"/>
        <v>0</v>
      </c>
      <c r="P70" s="363">
        <f>E70+J70</f>
        <v>2237840</v>
      </c>
      <c r="R70" s="335"/>
    </row>
    <row r="71" spans="1:18" ht="230.25" thickTop="1" thickBot="1" x14ac:dyDescent="0.25">
      <c r="A71" s="364" t="s">
        <v>397</v>
      </c>
      <c r="B71" s="364" t="s">
        <v>398</v>
      </c>
      <c r="C71" s="364" t="s">
        <v>251</v>
      </c>
      <c r="D71" s="364" t="s">
        <v>425</v>
      </c>
      <c r="E71" s="363">
        <f t="shared" si="31"/>
        <v>530000</v>
      </c>
      <c r="F71" s="228">
        <f>(500000)+30000</f>
        <v>530000</v>
      </c>
      <c r="G71" s="228"/>
      <c r="H71" s="228"/>
      <c r="I71" s="228"/>
      <c r="J71" s="363">
        <f t="shared" si="27"/>
        <v>0</v>
      </c>
      <c r="K71" s="228"/>
      <c r="L71" s="228"/>
      <c r="M71" s="228"/>
      <c r="N71" s="228"/>
      <c r="O71" s="361">
        <f t="shared" si="30"/>
        <v>0</v>
      </c>
      <c r="P71" s="363">
        <f>E71+J71</f>
        <v>530000</v>
      </c>
      <c r="R71" s="335"/>
    </row>
    <row r="72" spans="1:18" ht="93" thickTop="1" thickBot="1" x14ac:dyDescent="0.25">
      <c r="A72" s="364" t="s">
        <v>537</v>
      </c>
      <c r="B72" s="364" t="s">
        <v>456</v>
      </c>
      <c r="C72" s="364" t="s">
        <v>457</v>
      </c>
      <c r="D72" s="364" t="s">
        <v>455</v>
      </c>
      <c r="E72" s="424">
        <f t="shared" si="31"/>
        <v>350000</v>
      </c>
      <c r="F72" s="228">
        <v>350000</v>
      </c>
      <c r="G72" s="228">
        <v>288000</v>
      </c>
      <c r="H72" s="228"/>
      <c r="I72" s="228"/>
      <c r="J72" s="363">
        <f t="shared" si="27"/>
        <v>0</v>
      </c>
      <c r="K72" s="228"/>
      <c r="L72" s="228"/>
      <c r="M72" s="228"/>
      <c r="N72" s="228"/>
      <c r="O72" s="361">
        <f t="shared" si="30"/>
        <v>0</v>
      </c>
      <c r="P72" s="363">
        <f>E72+J72</f>
        <v>350000</v>
      </c>
      <c r="R72" s="335"/>
    </row>
    <row r="73" spans="1:18" ht="409.6" thickTop="1" x14ac:dyDescent="0.65">
      <c r="A73" s="568" t="s">
        <v>949</v>
      </c>
      <c r="B73" s="568" t="s">
        <v>950</v>
      </c>
      <c r="C73" s="570" t="s">
        <v>60</v>
      </c>
      <c r="D73" s="425" t="s">
        <v>951</v>
      </c>
      <c r="E73" s="565">
        <f t="shared" si="31"/>
        <v>0</v>
      </c>
      <c r="F73" s="570"/>
      <c r="G73" s="568"/>
      <c r="H73" s="568"/>
      <c r="I73" s="568"/>
      <c r="J73" s="565">
        <f t="shared" si="27"/>
        <v>4456154.9400000004</v>
      </c>
      <c r="K73" s="568">
        <v>4456154.9400000004</v>
      </c>
      <c r="L73" s="568"/>
      <c r="M73" s="568"/>
      <c r="N73" s="568"/>
      <c r="O73" s="568">
        <f>K73</f>
        <v>4456154.9400000004</v>
      </c>
      <c r="P73" s="565">
        <f>E73+J73</f>
        <v>4456154.9400000004</v>
      </c>
      <c r="R73" s="335"/>
    </row>
    <row r="74" spans="1:18" ht="409.5" x14ac:dyDescent="0.2">
      <c r="A74" s="566"/>
      <c r="B74" s="566"/>
      <c r="C74" s="571"/>
      <c r="D74" s="426" t="s">
        <v>952</v>
      </c>
      <c r="E74" s="566"/>
      <c r="F74" s="571"/>
      <c r="G74" s="566"/>
      <c r="H74" s="566"/>
      <c r="I74" s="566"/>
      <c r="J74" s="566"/>
      <c r="K74" s="566"/>
      <c r="L74" s="566"/>
      <c r="M74" s="566"/>
      <c r="N74" s="566"/>
      <c r="O74" s="566"/>
      <c r="P74" s="566"/>
      <c r="R74" s="335" t="b">
        <f>P73='d5'!J85</f>
        <v>1</v>
      </c>
    </row>
    <row r="75" spans="1:18" ht="373.5" customHeight="1" thickBot="1" x14ac:dyDescent="0.25">
      <c r="A75" s="567"/>
      <c r="B75" s="567"/>
      <c r="C75" s="572"/>
      <c r="D75" s="427" t="s">
        <v>953</v>
      </c>
      <c r="E75" s="567"/>
      <c r="F75" s="572"/>
      <c r="G75" s="567"/>
      <c r="H75" s="567"/>
      <c r="I75" s="567"/>
      <c r="J75" s="567"/>
      <c r="K75" s="567"/>
      <c r="L75" s="567"/>
      <c r="M75" s="567"/>
      <c r="N75" s="567"/>
      <c r="O75" s="567"/>
      <c r="P75" s="567"/>
      <c r="R75" s="335"/>
    </row>
    <row r="76" spans="1:18" ht="409.6" thickTop="1" x14ac:dyDescent="0.2">
      <c r="A76" s="569" t="s">
        <v>954</v>
      </c>
      <c r="B76" s="569" t="s">
        <v>955</v>
      </c>
      <c r="C76" s="569" t="s">
        <v>60</v>
      </c>
      <c r="D76" s="376" t="s">
        <v>956</v>
      </c>
      <c r="E76" s="565">
        <f t="shared" ref="E76" si="32">F76</f>
        <v>0</v>
      </c>
      <c r="F76" s="568"/>
      <c r="G76" s="568"/>
      <c r="H76" s="568"/>
      <c r="I76" s="568"/>
      <c r="J76" s="565">
        <f t="shared" ref="J76" si="33">L76+O76</f>
        <v>1917540</v>
      </c>
      <c r="K76" s="568">
        <v>1917540</v>
      </c>
      <c r="L76" s="568"/>
      <c r="M76" s="568"/>
      <c r="N76" s="568"/>
      <c r="O76" s="568">
        <f t="shared" ref="O76" si="34">K76</f>
        <v>1917540</v>
      </c>
      <c r="P76" s="565">
        <f t="shared" ref="P76" si="35">E76+J76</f>
        <v>1917540</v>
      </c>
      <c r="R76" s="335"/>
    </row>
    <row r="77" spans="1:18" ht="409.5" customHeight="1" x14ac:dyDescent="0.2">
      <c r="A77" s="566"/>
      <c r="B77" s="566"/>
      <c r="C77" s="566"/>
      <c r="D77" s="426" t="s">
        <v>957</v>
      </c>
      <c r="E77" s="566"/>
      <c r="F77" s="566"/>
      <c r="G77" s="566"/>
      <c r="H77" s="566"/>
      <c r="I77" s="566"/>
      <c r="J77" s="566"/>
      <c r="K77" s="566"/>
      <c r="L77" s="566"/>
      <c r="M77" s="566"/>
      <c r="N77" s="566"/>
      <c r="O77" s="566"/>
      <c r="P77" s="566"/>
      <c r="R77" s="335" t="b">
        <f>P76='d5'!J88</f>
        <v>1</v>
      </c>
    </row>
    <row r="78" spans="1:18" ht="409.5" x14ac:dyDescent="0.2">
      <c r="A78" s="566"/>
      <c r="B78" s="566"/>
      <c r="C78" s="566"/>
      <c r="D78" s="426" t="s">
        <v>958</v>
      </c>
      <c r="E78" s="566"/>
      <c r="F78" s="566"/>
      <c r="G78" s="566"/>
      <c r="H78" s="566"/>
      <c r="I78" s="566"/>
      <c r="J78" s="566"/>
      <c r="K78" s="566"/>
      <c r="L78" s="566"/>
      <c r="M78" s="566"/>
      <c r="N78" s="566"/>
      <c r="O78" s="566"/>
      <c r="P78" s="566"/>
      <c r="R78" s="335"/>
    </row>
    <row r="79" spans="1:18" ht="275.25" thickBot="1" x14ac:dyDescent="0.25">
      <c r="A79" s="567"/>
      <c r="B79" s="567"/>
      <c r="C79" s="567"/>
      <c r="D79" s="377" t="s">
        <v>959</v>
      </c>
      <c r="E79" s="567"/>
      <c r="F79" s="567"/>
      <c r="G79" s="567"/>
      <c r="H79" s="567"/>
      <c r="I79" s="567"/>
      <c r="J79" s="567"/>
      <c r="K79" s="567"/>
      <c r="L79" s="567"/>
      <c r="M79" s="567"/>
      <c r="N79" s="567"/>
      <c r="O79" s="567"/>
      <c r="P79" s="567"/>
      <c r="R79" s="335"/>
    </row>
    <row r="80" spans="1:18" ht="409.6" thickTop="1" x14ac:dyDescent="0.2">
      <c r="A80" s="569" t="s">
        <v>960</v>
      </c>
      <c r="B80" s="569" t="s">
        <v>961</v>
      </c>
      <c r="C80" s="569" t="s">
        <v>60</v>
      </c>
      <c r="D80" s="376" t="s">
        <v>962</v>
      </c>
      <c r="E80" s="565">
        <f t="shared" ref="E80" si="36">F80</f>
        <v>0</v>
      </c>
      <c r="F80" s="568"/>
      <c r="G80" s="568"/>
      <c r="H80" s="568"/>
      <c r="I80" s="568"/>
      <c r="J80" s="565">
        <f t="shared" ref="J80" si="37">L80+O80</f>
        <v>1344563</v>
      </c>
      <c r="K80" s="568">
        <v>1344563</v>
      </c>
      <c r="L80" s="568"/>
      <c r="M80" s="568"/>
      <c r="N80" s="568"/>
      <c r="O80" s="568">
        <f t="shared" ref="O80" si="38">K80</f>
        <v>1344563</v>
      </c>
      <c r="P80" s="565">
        <f t="shared" ref="P80" si="39">E80+J80</f>
        <v>1344563</v>
      </c>
      <c r="R80" s="335"/>
    </row>
    <row r="81" spans="1:18" ht="409.5" x14ac:dyDescent="0.2">
      <c r="A81" s="566"/>
      <c r="B81" s="566"/>
      <c r="C81" s="566"/>
      <c r="D81" s="426" t="s">
        <v>963</v>
      </c>
      <c r="E81" s="566"/>
      <c r="F81" s="566"/>
      <c r="G81" s="566"/>
      <c r="H81" s="566"/>
      <c r="I81" s="566"/>
      <c r="J81" s="566"/>
      <c r="K81" s="566"/>
      <c r="L81" s="566"/>
      <c r="M81" s="566"/>
      <c r="N81" s="566"/>
      <c r="O81" s="566"/>
      <c r="P81" s="566"/>
      <c r="R81" s="335" t="b">
        <f>K80='d5'!J92</f>
        <v>1</v>
      </c>
    </row>
    <row r="82" spans="1:18" ht="46.5" thickBot="1" x14ac:dyDescent="0.25">
      <c r="A82" s="566"/>
      <c r="B82" s="566"/>
      <c r="C82" s="566"/>
      <c r="D82" s="377" t="s">
        <v>964</v>
      </c>
      <c r="E82" s="566"/>
      <c r="F82" s="566"/>
      <c r="G82" s="566"/>
      <c r="H82" s="566"/>
      <c r="I82" s="566"/>
      <c r="J82" s="566"/>
      <c r="K82" s="566"/>
      <c r="L82" s="566"/>
      <c r="M82" s="566"/>
      <c r="N82" s="566"/>
      <c r="O82" s="566"/>
      <c r="P82" s="566"/>
      <c r="R82" s="335"/>
    </row>
    <row r="83" spans="1:18" ht="184.5" thickTop="1" thickBot="1" x14ac:dyDescent="0.25">
      <c r="A83" s="364" t="s">
        <v>399</v>
      </c>
      <c r="B83" s="364" t="s">
        <v>401</v>
      </c>
      <c r="C83" s="364" t="s">
        <v>237</v>
      </c>
      <c r="D83" s="230" t="s">
        <v>403</v>
      </c>
      <c r="E83" s="363">
        <f t="shared" si="31"/>
        <v>6430958</v>
      </c>
      <c r="F83" s="228">
        <f>(6460958)-30000</f>
        <v>6430958</v>
      </c>
      <c r="G83" s="231">
        <f>(2947388)</f>
        <v>2947388</v>
      </c>
      <c r="H83" s="231">
        <f>(576931)-30000</f>
        <v>546931</v>
      </c>
      <c r="I83" s="228"/>
      <c r="J83" s="363">
        <f t="shared" ref="J83:J88" si="40">L83+O83</f>
        <v>3528199</v>
      </c>
      <c r="K83" s="228">
        <f>((((983500)+1942699)+500000)+27000)+364000-364000</f>
        <v>3453199</v>
      </c>
      <c r="L83" s="228">
        <v>75000</v>
      </c>
      <c r="M83" s="228"/>
      <c r="N83" s="228">
        <f>10000+30000+25000</f>
        <v>65000</v>
      </c>
      <c r="O83" s="361">
        <f t="shared" ref="O83:O88" si="41">K83</f>
        <v>3453199</v>
      </c>
      <c r="P83" s="363">
        <f t="shared" ref="P83:P88" si="42">E83+J83</f>
        <v>9959157</v>
      </c>
      <c r="R83" s="335" t="b">
        <f>K83='d5'!J95+'d5'!J97+'d5'!J98+'d5'!J99+'d5'!J96</f>
        <v>1</v>
      </c>
    </row>
    <row r="84" spans="1:18" ht="138.75" thickTop="1" thickBot="1" x14ac:dyDescent="0.25">
      <c r="A84" s="364" t="s">
        <v>400</v>
      </c>
      <c r="B84" s="364" t="s">
        <v>402</v>
      </c>
      <c r="C84" s="364" t="s">
        <v>237</v>
      </c>
      <c r="D84" s="230" t="s">
        <v>404</v>
      </c>
      <c r="E84" s="363">
        <f t="shared" si="31"/>
        <v>35650280</v>
      </c>
      <c r="F84" s="228">
        <f>(((31072500)+1993000)+809200+275580)+1000000+500000</f>
        <v>35650280</v>
      </c>
      <c r="G84" s="228"/>
      <c r="H84" s="228"/>
      <c r="I84" s="228"/>
      <c r="J84" s="363">
        <f t="shared" si="40"/>
        <v>450000</v>
      </c>
      <c r="K84" s="228">
        <v>450000</v>
      </c>
      <c r="L84" s="228"/>
      <c r="M84" s="228"/>
      <c r="N84" s="228"/>
      <c r="O84" s="361">
        <f t="shared" si="41"/>
        <v>450000</v>
      </c>
      <c r="P84" s="363">
        <f t="shared" si="42"/>
        <v>36100280</v>
      </c>
      <c r="R84" s="335" t="b">
        <f>K84='d5'!J100+'d5'!J101</f>
        <v>1</v>
      </c>
    </row>
    <row r="85" spans="1:18" ht="138.75" thickTop="1" thickBot="1" x14ac:dyDescent="0.25">
      <c r="A85" s="364" t="s">
        <v>447</v>
      </c>
      <c r="B85" s="364" t="s">
        <v>445</v>
      </c>
      <c r="C85" s="364" t="s">
        <v>415</v>
      </c>
      <c r="D85" s="230" t="s">
        <v>446</v>
      </c>
      <c r="E85" s="363">
        <f t="shared" si="31"/>
        <v>0</v>
      </c>
      <c r="F85" s="228"/>
      <c r="G85" s="228"/>
      <c r="H85" s="228"/>
      <c r="I85" s="228"/>
      <c r="J85" s="363">
        <f t="shared" si="40"/>
        <v>4104237</v>
      </c>
      <c r="K85" s="228">
        <f>(3000000)+1104237</f>
        <v>4104237</v>
      </c>
      <c r="L85" s="228"/>
      <c r="M85" s="228"/>
      <c r="N85" s="228"/>
      <c r="O85" s="361">
        <f t="shared" si="41"/>
        <v>4104237</v>
      </c>
      <c r="P85" s="363">
        <f t="shared" si="42"/>
        <v>4104237</v>
      </c>
      <c r="R85" s="335" t="b">
        <f>K85='d5'!J102</f>
        <v>1</v>
      </c>
    </row>
    <row r="86" spans="1:18" ht="409.6" thickTop="1" thickBot="1" x14ac:dyDescent="0.25">
      <c r="A86" s="364" t="s">
        <v>934</v>
      </c>
      <c r="B86" s="364" t="s">
        <v>935</v>
      </c>
      <c r="C86" s="364" t="s">
        <v>415</v>
      </c>
      <c r="D86" s="230" t="s">
        <v>936</v>
      </c>
      <c r="E86" s="363">
        <f t="shared" si="31"/>
        <v>0</v>
      </c>
      <c r="F86" s="228"/>
      <c r="G86" s="228"/>
      <c r="H86" s="228"/>
      <c r="I86" s="228"/>
      <c r="J86" s="363">
        <f t="shared" si="40"/>
        <v>2319792</v>
      </c>
      <c r="K86" s="228">
        <f>((364000)+2319792)-364000</f>
        <v>2319792</v>
      </c>
      <c r="L86" s="228"/>
      <c r="M86" s="228"/>
      <c r="N86" s="228"/>
      <c r="O86" s="361">
        <f t="shared" si="41"/>
        <v>2319792</v>
      </c>
      <c r="P86" s="363">
        <f t="shared" si="42"/>
        <v>2319792</v>
      </c>
      <c r="R86" s="335" t="b">
        <f>K86='d5'!J103</f>
        <v>1</v>
      </c>
    </row>
    <row r="87" spans="1:18" ht="99.75" thickTop="1" thickBot="1" x14ac:dyDescent="0.25">
      <c r="A87" s="364" t="s">
        <v>500</v>
      </c>
      <c r="B87" s="364" t="s">
        <v>501</v>
      </c>
      <c r="C87" s="364" t="s">
        <v>359</v>
      </c>
      <c r="D87" s="364" t="s">
        <v>648</v>
      </c>
      <c r="E87" s="363">
        <f t="shared" si="31"/>
        <v>0</v>
      </c>
      <c r="F87" s="228"/>
      <c r="G87" s="228"/>
      <c r="H87" s="228"/>
      <c r="I87" s="228"/>
      <c r="J87" s="363">
        <f t="shared" si="40"/>
        <v>5000000</v>
      </c>
      <c r="K87" s="228">
        <f>((2000000)+2000000)+2000000+364000-1364000</f>
        <v>5000000</v>
      </c>
      <c r="L87" s="228"/>
      <c r="M87" s="228"/>
      <c r="N87" s="228"/>
      <c r="O87" s="361">
        <f t="shared" si="41"/>
        <v>5000000</v>
      </c>
      <c r="P87" s="363">
        <f t="shared" si="42"/>
        <v>5000000</v>
      </c>
      <c r="R87" s="335" t="b">
        <f>K87='d5'!J104</f>
        <v>1</v>
      </c>
    </row>
    <row r="88" spans="1:18" ht="379.5" customHeight="1" thickTop="1" thickBot="1" x14ac:dyDescent="0.7">
      <c r="A88" s="554" t="s">
        <v>527</v>
      </c>
      <c r="B88" s="554" t="s">
        <v>412</v>
      </c>
      <c r="C88" s="554" t="s">
        <v>210</v>
      </c>
      <c r="D88" s="232" t="s">
        <v>585</v>
      </c>
      <c r="E88" s="556">
        <f t="shared" si="31"/>
        <v>0</v>
      </c>
      <c r="F88" s="559"/>
      <c r="G88" s="559"/>
      <c r="H88" s="559"/>
      <c r="I88" s="559"/>
      <c r="J88" s="556">
        <f t="shared" si="40"/>
        <v>298000</v>
      </c>
      <c r="K88" s="559"/>
      <c r="L88" s="559">
        <f>((225000)+30000)+84000-41000</f>
        <v>298000</v>
      </c>
      <c r="M88" s="559"/>
      <c r="N88" s="559"/>
      <c r="O88" s="561">
        <f t="shared" si="41"/>
        <v>0</v>
      </c>
      <c r="P88" s="563">
        <f t="shared" si="42"/>
        <v>298000</v>
      </c>
      <c r="Q88" s="337">
        <f>P88</f>
        <v>298000</v>
      </c>
      <c r="R88" s="335"/>
    </row>
    <row r="89" spans="1:18" ht="184.5" thickTop="1" thickBot="1" x14ac:dyDescent="0.25">
      <c r="A89" s="555"/>
      <c r="B89" s="555"/>
      <c r="C89" s="555"/>
      <c r="D89" s="233" t="s">
        <v>586</v>
      </c>
      <c r="E89" s="555"/>
      <c r="F89" s="560"/>
      <c r="G89" s="560"/>
      <c r="H89" s="560"/>
      <c r="I89" s="560"/>
      <c r="J89" s="555"/>
      <c r="K89" s="555"/>
      <c r="L89" s="560"/>
      <c r="M89" s="560"/>
      <c r="N89" s="560"/>
      <c r="O89" s="562"/>
      <c r="P89" s="564"/>
      <c r="R89" s="335"/>
    </row>
    <row r="90" spans="1:18" ht="93" hidden="1" thickTop="1" thickBot="1" x14ac:dyDescent="0.25">
      <c r="A90" s="406" t="s">
        <v>939</v>
      </c>
      <c r="B90" s="406" t="s">
        <v>308</v>
      </c>
      <c r="C90" s="406" t="s">
        <v>210</v>
      </c>
      <c r="D90" s="406" t="s">
        <v>306</v>
      </c>
      <c r="E90" s="407">
        <f t="shared" ref="E90" si="43">F90</f>
        <v>0</v>
      </c>
      <c r="F90" s="410"/>
      <c r="G90" s="410"/>
      <c r="H90" s="410"/>
      <c r="I90" s="410"/>
      <c r="J90" s="407">
        <f t="shared" ref="J90" si="44">L90+O90</f>
        <v>0</v>
      </c>
      <c r="K90" s="410"/>
      <c r="L90" s="410"/>
      <c r="M90" s="410"/>
      <c r="N90" s="410"/>
      <c r="O90" s="409">
        <f t="shared" ref="O90" si="45">K90</f>
        <v>0</v>
      </c>
      <c r="P90" s="407">
        <f t="shared" ref="P90" si="46">E90+J90</f>
        <v>0</v>
      </c>
      <c r="R90" s="335" t="b">
        <f>K90='d5'!J105</f>
        <v>1</v>
      </c>
    </row>
    <row r="91" spans="1:18" ht="136.5" thickTop="1" thickBot="1" x14ac:dyDescent="0.25">
      <c r="A91" s="451">
        <v>1000000</v>
      </c>
      <c r="B91" s="451"/>
      <c r="C91" s="451"/>
      <c r="D91" s="452" t="s">
        <v>29</v>
      </c>
      <c r="E91" s="453">
        <f>E92</f>
        <v>90837087</v>
      </c>
      <c r="F91" s="454">
        <f t="shared" ref="F91:G91" si="47">F92</f>
        <v>90837087</v>
      </c>
      <c r="G91" s="454">
        <f t="shared" si="47"/>
        <v>67284875</v>
      </c>
      <c r="H91" s="454">
        <f>H92</f>
        <v>2903058</v>
      </c>
      <c r="I91" s="453">
        <f t="shared" ref="I91" si="48">I92</f>
        <v>0</v>
      </c>
      <c r="J91" s="453">
        <f>J92</f>
        <v>15284559</v>
      </c>
      <c r="K91" s="454">
        <f>K92</f>
        <v>6723889</v>
      </c>
      <c r="L91" s="454">
        <f>L92</f>
        <v>8481190</v>
      </c>
      <c r="M91" s="454">
        <f t="shared" ref="M91" si="49">M92</f>
        <v>6176480</v>
      </c>
      <c r="N91" s="453">
        <f>N92</f>
        <v>232900</v>
      </c>
      <c r="O91" s="453">
        <f>O92</f>
        <v>6803369</v>
      </c>
      <c r="P91" s="454">
        <f t="shared" ref="P91" si="50">P92</f>
        <v>106121646</v>
      </c>
    </row>
    <row r="92" spans="1:18" ht="181.5" thickTop="1" thickBot="1" x14ac:dyDescent="0.25">
      <c r="A92" s="455">
        <v>1010000</v>
      </c>
      <c r="B92" s="455"/>
      <c r="C92" s="455"/>
      <c r="D92" s="456" t="s">
        <v>47</v>
      </c>
      <c r="E92" s="457">
        <f>F92</f>
        <v>90837087</v>
      </c>
      <c r="F92" s="457">
        <f>SUM(F93:F99)</f>
        <v>90837087</v>
      </c>
      <c r="G92" s="457">
        <f>SUM(G93:G99)</f>
        <v>67284875</v>
      </c>
      <c r="H92" s="457">
        <f>SUM(H93:H99)</f>
        <v>2903058</v>
      </c>
      <c r="I92" s="457">
        <f>SUM(I93:I99)</f>
        <v>0</v>
      </c>
      <c r="J92" s="457">
        <f t="shared" ref="J92:J99" si="51">L92+O92</f>
        <v>15284559</v>
      </c>
      <c r="K92" s="457">
        <f>SUM(K93:K99)</f>
        <v>6723889</v>
      </c>
      <c r="L92" s="457">
        <f>SUM(L93:L99)</f>
        <v>8481190</v>
      </c>
      <c r="M92" s="457">
        <f>SUM(M93:M99)</f>
        <v>6176480</v>
      </c>
      <c r="N92" s="457">
        <f>SUM(N93:N99)</f>
        <v>232900</v>
      </c>
      <c r="O92" s="457">
        <f>SUM(O93:O99)</f>
        <v>6803369</v>
      </c>
      <c r="P92" s="458">
        <f t="shared" ref="P92:P99" si="52">E92+J92</f>
        <v>106121646</v>
      </c>
      <c r="Q92" s="334" t="b">
        <f>P92=P93+P94+P95+P96+P97+P98+P99</f>
        <v>1</v>
      </c>
      <c r="R92" s="335" t="b">
        <f>K92='d5'!J107</f>
        <v>1</v>
      </c>
    </row>
    <row r="93" spans="1:18" ht="93" thickTop="1" thickBot="1" x14ac:dyDescent="0.25">
      <c r="A93" s="364" t="s">
        <v>20</v>
      </c>
      <c r="B93" s="364" t="s">
        <v>225</v>
      </c>
      <c r="C93" s="364" t="s">
        <v>226</v>
      </c>
      <c r="D93" s="364" t="s">
        <v>716</v>
      </c>
      <c r="E93" s="363">
        <f>F93</f>
        <v>55202617</v>
      </c>
      <c r="F93" s="228">
        <f>((54788397)+204255+44940+99200+21825)+239700+52300-140000-108000</f>
        <v>55202617</v>
      </c>
      <c r="G93" s="228">
        <f>((42628325)+204255+99200)+239700</f>
        <v>43171480</v>
      </c>
      <c r="H93" s="228">
        <f>(1708200+22120+221280+84400+25450)-140000-108000</f>
        <v>1813450</v>
      </c>
      <c r="I93" s="228"/>
      <c r="J93" s="363">
        <f t="shared" si="51"/>
        <v>8639570</v>
      </c>
      <c r="K93" s="228">
        <f>80000+700000</f>
        <v>780000</v>
      </c>
      <c r="L93" s="228">
        <v>7828170</v>
      </c>
      <c r="M93" s="228">
        <v>5894480</v>
      </c>
      <c r="N93" s="228">
        <v>170200</v>
      </c>
      <c r="O93" s="361">
        <f>K93+31400</f>
        <v>811400</v>
      </c>
      <c r="P93" s="363">
        <f t="shared" si="52"/>
        <v>63842187</v>
      </c>
      <c r="R93" s="335" t="b">
        <f>K93='d5'!J110+'d5'!J111</f>
        <v>1</v>
      </c>
    </row>
    <row r="94" spans="1:18" ht="48" thickTop="1" thickBot="1" x14ac:dyDescent="0.25">
      <c r="A94" s="364" t="s">
        <v>211</v>
      </c>
      <c r="B94" s="364" t="s">
        <v>212</v>
      </c>
      <c r="C94" s="364" t="s">
        <v>214</v>
      </c>
      <c r="D94" s="364" t="s">
        <v>215</v>
      </c>
      <c r="E94" s="363">
        <f t="shared" ref="E94:E97" si="53">F94</f>
        <v>796400</v>
      </c>
      <c r="F94" s="228">
        <f>(796400)</f>
        <v>796400</v>
      </c>
      <c r="G94" s="228"/>
      <c r="H94" s="228"/>
      <c r="I94" s="228"/>
      <c r="J94" s="363">
        <f t="shared" si="51"/>
        <v>0</v>
      </c>
      <c r="K94" s="228"/>
      <c r="L94" s="228"/>
      <c r="M94" s="228"/>
      <c r="N94" s="228"/>
      <c r="O94" s="361">
        <f t="shared" ref="O94:O99" si="54">K94</f>
        <v>0</v>
      </c>
      <c r="P94" s="363">
        <f t="shared" si="52"/>
        <v>796400</v>
      </c>
      <c r="R94" s="335"/>
    </row>
    <row r="95" spans="1:18" ht="93" thickTop="1" thickBot="1" x14ac:dyDescent="0.25">
      <c r="A95" s="364" t="s">
        <v>216</v>
      </c>
      <c r="B95" s="364" t="s">
        <v>217</v>
      </c>
      <c r="C95" s="364" t="s">
        <v>218</v>
      </c>
      <c r="D95" s="364" t="s">
        <v>219</v>
      </c>
      <c r="E95" s="363">
        <f t="shared" si="53"/>
        <v>8678645</v>
      </c>
      <c r="F95" s="228">
        <f>((8469945)+36000)+200700-28000</f>
        <v>8678645</v>
      </c>
      <c r="G95" s="228">
        <f>(6369770)+200700</f>
        <v>6570470</v>
      </c>
      <c r="H95" s="228">
        <f>(353700+6305+65870+12100+18000)-28000</f>
        <v>427975</v>
      </c>
      <c r="I95" s="228"/>
      <c r="J95" s="363">
        <f t="shared" si="51"/>
        <v>204000</v>
      </c>
      <c r="K95" s="228">
        <v>114000</v>
      </c>
      <c r="L95" s="228">
        <v>90000</v>
      </c>
      <c r="M95" s="228">
        <v>12200</v>
      </c>
      <c r="N95" s="228">
        <v>19000</v>
      </c>
      <c r="O95" s="361">
        <f t="shared" si="54"/>
        <v>114000</v>
      </c>
      <c r="P95" s="363">
        <f t="shared" si="52"/>
        <v>8882645</v>
      </c>
      <c r="R95" s="335" t="b">
        <f>K95='d5'!J112</f>
        <v>1</v>
      </c>
    </row>
    <row r="96" spans="1:18" ht="93" thickTop="1" thickBot="1" x14ac:dyDescent="0.25">
      <c r="A96" s="364" t="s">
        <v>220</v>
      </c>
      <c r="B96" s="364" t="s">
        <v>221</v>
      </c>
      <c r="C96" s="364" t="s">
        <v>218</v>
      </c>
      <c r="D96" s="364" t="s">
        <v>630</v>
      </c>
      <c r="E96" s="363">
        <f t="shared" si="53"/>
        <v>1786778</v>
      </c>
      <c r="F96" s="228">
        <f>((1483478)+150000)+158300+33000-20000-18000</f>
        <v>1786778</v>
      </c>
      <c r="G96" s="228">
        <f>(901100)+158300</f>
        <v>1059400</v>
      </c>
      <c r="H96" s="228">
        <f>(148500+3168+49110+2500)-20000-18000</f>
        <v>165278</v>
      </c>
      <c r="I96" s="228"/>
      <c r="J96" s="363">
        <f t="shared" si="51"/>
        <v>5756000</v>
      </c>
      <c r="K96" s="228">
        <f>((5000000)+80000)+500000+100000</f>
        <v>5680000</v>
      </c>
      <c r="L96" s="228">
        <v>76000</v>
      </c>
      <c r="M96" s="228">
        <v>9400</v>
      </c>
      <c r="N96" s="228">
        <v>4000</v>
      </c>
      <c r="O96" s="361">
        <f t="shared" si="54"/>
        <v>5680000</v>
      </c>
      <c r="P96" s="363">
        <f t="shared" si="52"/>
        <v>7542778</v>
      </c>
      <c r="R96" s="335" t="b">
        <f>K96='d5'!J113+'d5'!J114</f>
        <v>1</v>
      </c>
    </row>
    <row r="97" spans="1:18" ht="184.5" thickTop="1" thickBot="1" x14ac:dyDescent="0.25">
      <c r="A97" s="364" t="s">
        <v>222</v>
      </c>
      <c r="B97" s="364" t="s">
        <v>213</v>
      </c>
      <c r="C97" s="364" t="s">
        <v>223</v>
      </c>
      <c r="D97" s="364" t="s">
        <v>224</v>
      </c>
      <c r="E97" s="363">
        <f t="shared" si="53"/>
        <v>6474565</v>
      </c>
      <c r="F97" s="228">
        <f>(6389600)+135500+29465-40000-40000</f>
        <v>6474565</v>
      </c>
      <c r="G97" s="228">
        <f>(4545315)+135500</f>
        <v>4680815</v>
      </c>
      <c r="H97" s="228">
        <f>(406340+8325+83610+35600+8000)-40000-40000</f>
        <v>461875</v>
      </c>
      <c r="I97" s="228"/>
      <c r="J97" s="363">
        <f t="shared" si="51"/>
        <v>536989</v>
      </c>
      <c r="K97" s="228">
        <v>149889</v>
      </c>
      <c r="L97" s="228">
        <v>374020</v>
      </c>
      <c r="M97" s="228">
        <v>254600</v>
      </c>
      <c r="N97" s="228">
        <v>39700</v>
      </c>
      <c r="O97" s="361">
        <f>K97+13080</f>
        <v>162969</v>
      </c>
      <c r="P97" s="363">
        <f t="shared" si="52"/>
        <v>7011554</v>
      </c>
      <c r="R97" s="335" t="b">
        <f>K97='d5'!J115</f>
        <v>1</v>
      </c>
    </row>
    <row r="98" spans="1:18" ht="138.75" thickTop="1" thickBot="1" x14ac:dyDescent="0.25">
      <c r="A98" s="364" t="s">
        <v>405</v>
      </c>
      <c r="B98" s="364" t="s">
        <v>406</v>
      </c>
      <c r="C98" s="364" t="s">
        <v>227</v>
      </c>
      <c r="D98" s="364" t="s">
        <v>631</v>
      </c>
      <c r="E98" s="363">
        <f>F98</f>
        <v>15324382</v>
      </c>
      <c r="F98" s="228">
        <f>(14990960)+252110+55210+15000+11102</f>
        <v>15324382</v>
      </c>
      <c r="G98" s="228">
        <f>(11550600)+252110</f>
        <v>11802710</v>
      </c>
      <c r="H98" s="228">
        <f>(31230+2900+350)</f>
        <v>34480</v>
      </c>
      <c r="I98" s="228"/>
      <c r="J98" s="363">
        <f t="shared" si="51"/>
        <v>148000</v>
      </c>
      <c r="K98" s="228"/>
      <c r="L98" s="228">
        <v>113000</v>
      </c>
      <c r="M98" s="228">
        <v>5800</v>
      </c>
      <c r="N98" s="228"/>
      <c r="O98" s="361">
        <f>K98+35000</f>
        <v>35000</v>
      </c>
      <c r="P98" s="363">
        <f t="shared" si="52"/>
        <v>15472382</v>
      </c>
      <c r="R98" s="335"/>
    </row>
    <row r="99" spans="1:18" ht="93" thickTop="1" thickBot="1" x14ac:dyDescent="0.25">
      <c r="A99" s="364" t="s">
        <v>407</v>
      </c>
      <c r="B99" s="364" t="s">
        <v>408</v>
      </c>
      <c r="C99" s="364" t="s">
        <v>227</v>
      </c>
      <c r="D99" s="364" t="s">
        <v>632</v>
      </c>
      <c r="E99" s="363">
        <f>F99</f>
        <v>2573700</v>
      </c>
      <c r="F99" s="228">
        <f>((8238100)-3081000)-2588000+4600</f>
        <v>2573700</v>
      </c>
      <c r="G99" s="228"/>
      <c r="H99" s="228"/>
      <c r="I99" s="228"/>
      <c r="J99" s="363">
        <f t="shared" si="51"/>
        <v>0</v>
      </c>
      <c r="K99" s="228"/>
      <c r="L99" s="228"/>
      <c r="M99" s="228"/>
      <c r="N99" s="228"/>
      <c r="O99" s="361">
        <f t="shared" si="54"/>
        <v>0</v>
      </c>
      <c r="P99" s="363">
        <f t="shared" si="52"/>
        <v>2573700</v>
      </c>
      <c r="R99" s="335"/>
    </row>
    <row r="100" spans="1:18" ht="136.5" thickTop="1" thickBot="1" x14ac:dyDescent="0.25">
      <c r="A100" s="451" t="s">
        <v>26</v>
      </c>
      <c r="B100" s="451"/>
      <c r="C100" s="451"/>
      <c r="D100" s="452" t="s">
        <v>27</v>
      </c>
      <c r="E100" s="453">
        <f>E101</f>
        <v>61035782</v>
      </c>
      <c r="F100" s="454">
        <f t="shared" ref="F100:G100" si="55">F101</f>
        <v>61035782</v>
      </c>
      <c r="G100" s="454">
        <f t="shared" si="55"/>
        <v>25244945</v>
      </c>
      <c r="H100" s="454">
        <f>H101</f>
        <v>1471223</v>
      </c>
      <c r="I100" s="453">
        <f t="shared" ref="I100" si="56">I101</f>
        <v>0</v>
      </c>
      <c r="J100" s="453">
        <f>J101</f>
        <v>6962997</v>
      </c>
      <c r="K100" s="454">
        <f>K101</f>
        <v>4867193</v>
      </c>
      <c r="L100" s="454">
        <f>L101</f>
        <v>2077804</v>
      </c>
      <c r="M100" s="454">
        <f t="shared" ref="M100" si="57">M101</f>
        <v>995332</v>
      </c>
      <c r="N100" s="453">
        <f>N101</f>
        <v>337122</v>
      </c>
      <c r="O100" s="453">
        <f>O101</f>
        <v>4885193</v>
      </c>
      <c r="P100" s="454">
        <f t="shared" ref="P100" si="58">P101</f>
        <v>67998779</v>
      </c>
    </row>
    <row r="101" spans="1:18" ht="136.5" thickTop="1" thickBot="1" x14ac:dyDescent="0.25">
      <c r="A101" s="455" t="s">
        <v>25</v>
      </c>
      <c r="B101" s="455"/>
      <c r="C101" s="455"/>
      <c r="D101" s="456" t="s">
        <v>43</v>
      </c>
      <c r="E101" s="457">
        <f>SUM(E102:E114)</f>
        <v>61035782</v>
      </c>
      <c r="F101" s="457">
        <f>SUM(F102:F114)</f>
        <v>61035782</v>
      </c>
      <c r="G101" s="457">
        <f>SUM(G102:G114)</f>
        <v>25244945</v>
      </c>
      <c r="H101" s="457">
        <f>SUM(H102:H114)</f>
        <v>1471223</v>
      </c>
      <c r="I101" s="457">
        <f>SUM(I102:I114)</f>
        <v>0</v>
      </c>
      <c r="J101" s="457">
        <f>L101+O101</f>
        <v>6962997</v>
      </c>
      <c r="K101" s="457">
        <f>SUM(K102:K114)</f>
        <v>4867193</v>
      </c>
      <c r="L101" s="457">
        <f>SUM(L102:L114)</f>
        <v>2077804</v>
      </c>
      <c r="M101" s="457">
        <f>SUM(M102:M114)</f>
        <v>995332</v>
      </c>
      <c r="N101" s="457">
        <f>SUM(N102:N114)</f>
        <v>337122</v>
      </c>
      <c r="O101" s="457">
        <f>SUM(O102:O114)</f>
        <v>4885193</v>
      </c>
      <c r="P101" s="458">
        <f>E101+J101</f>
        <v>67998779</v>
      </c>
      <c r="Q101" s="334" t="b">
        <f>P101=P102+P103+P104+P105+P106+P107+P108+P109+P110+P112+P114+P113+P111</f>
        <v>1</v>
      </c>
      <c r="R101" s="335" t="b">
        <f>K101='d5'!J117</f>
        <v>1</v>
      </c>
    </row>
    <row r="102" spans="1:18" ht="138.75" thickTop="1" thickBot="1" x14ac:dyDescent="0.25">
      <c r="A102" s="364" t="s">
        <v>228</v>
      </c>
      <c r="B102" s="364" t="s">
        <v>229</v>
      </c>
      <c r="C102" s="364" t="s">
        <v>230</v>
      </c>
      <c r="D102" s="364" t="s">
        <v>231</v>
      </c>
      <c r="E102" s="253">
        <f t="shared" ref="E102:E111" si="59">F102</f>
        <v>4377637</v>
      </c>
      <c r="F102" s="231">
        <f>(4377637)</f>
        <v>4377637</v>
      </c>
      <c r="G102" s="231">
        <f>(3404700)</f>
        <v>3404700</v>
      </c>
      <c r="H102" s="231">
        <f>40653+2690+26810+2400</f>
        <v>72553</v>
      </c>
      <c r="I102" s="231"/>
      <c r="J102" s="363">
        <f t="shared" ref="J102:J114" si="60">L102+O102</f>
        <v>55000</v>
      </c>
      <c r="K102" s="231">
        <v>55000</v>
      </c>
      <c r="L102" s="254"/>
      <c r="M102" s="254"/>
      <c r="N102" s="254"/>
      <c r="O102" s="361">
        <f t="shared" ref="O102:O114" si="61">K102</f>
        <v>55000</v>
      </c>
      <c r="P102" s="363">
        <f>+J102+E102</f>
        <v>4432637</v>
      </c>
      <c r="Q102" s="335"/>
      <c r="R102" s="335" t="b">
        <f>K102='d5'!J119</f>
        <v>1</v>
      </c>
    </row>
    <row r="103" spans="1:18" ht="93" thickTop="1" thickBot="1" x14ac:dyDescent="0.25">
      <c r="A103" s="364" t="s">
        <v>235</v>
      </c>
      <c r="B103" s="364" t="s">
        <v>236</v>
      </c>
      <c r="C103" s="364" t="s">
        <v>230</v>
      </c>
      <c r="D103" s="364" t="s">
        <v>12</v>
      </c>
      <c r="E103" s="253">
        <f t="shared" si="59"/>
        <v>3789224</v>
      </c>
      <c r="F103" s="231">
        <f>((3722024)-35000)+97200+5000+10000-10000</f>
        <v>3789224</v>
      </c>
      <c r="G103" s="231">
        <f>(2215100)+97200</f>
        <v>2312300</v>
      </c>
      <c r="H103" s="231">
        <f>(309408+3330+71000+2300)-10000</f>
        <v>376038</v>
      </c>
      <c r="I103" s="231"/>
      <c r="J103" s="363">
        <f t="shared" si="60"/>
        <v>475000</v>
      </c>
      <c r="K103" s="231">
        <v>150000</v>
      </c>
      <c r="L103" s="254">
        <v>325000</v>
      </c>
      <c r="M103" s="254">
        <v>165000</v>
      </c>
      <c r="N103" s="254">
        <f>(88400)+560</f>
        <v>88960</v>
      </c>
      <c r="O103" s="361">
        <f t="shared" si="61"/>
        <v>150000</v>
      </c>
      <c r="P103" s="363">
        <f t="shared" ref="P103:P114" si="62">E103+J103</f>
        <v>4264224</v>
      </c>
      <c r="R103" s="335" t="b">
        <f>K103='d5'!J120</f>
        <v>1</v>
      </c>
    </row>
    <row r="104" spans="1:18" ht="93" thickTop="1" thickBot="1" x14ac:dyDescent="0.25">
      <c r="A104" s="364" t="s">
        <v>429</v>
      </c>
      <c r="B104" s="364" t="s">
        <v>430</v>
      </c>
      <c r="C104" s="364" t="s">
        <v>230</v>
      </c>
      <c r="D104" s="364" t="s">
        <v>431</v>
      </c>
      <c r="E104" s="253">
        <f t="shared" si="59"/>
        <v>6058298</v>
      </c>
      <c r="F104" s="231">
        <f>((1299340+1103463+3968450)+108629-500000)+70217+8199</f>
        <v>6058298</v>
      </c>
      <c r="G104" s="231">
        <f>(817400)+70217</f>
        <v>887617</v>
      </c>
      <c r="H104" s="231">
        <f>30000+1550+21860</f>
        <v>53410</v>
      </c>
      <c r="I104" s="231"/>
      <c r="J104" s="363">
        <f t="shared" si="60"/>
        <v>70107</v>
      </c>
      <c r="K104" s="231">
        <f>(60000)+10107</f>
        <v>70107</v>
      </c>
      <c r="L104" s="254"/>
      <c r="M104" s="254"/>
      <c r="N104" s="254"/>
      <c r="O104" s="361">
        <f t="shared" si="61"/>
        <v>70107</v>
      </c>
      <c r="P104" s="363">
        <f t="shared" si="62"/>
        <v>6128405</v>
      </c>
      <c r="R104" s="335" t="b">
        <f>K104='d5'!J121+'d5'!J122</f>
        <v>1</v>
      </c>
    </row>
    <row r="105" spans="1:18" ht="138.75" thickTop="1" thickBot="1" x14ac:dyDescent="0.25">
      <c r="A105" s="364" t="s">
        <v>54</v>
      </c>
      <c r="B105" s="364" t="s">
        <v>232</v>
      </c>
      <c r="C105" s="364" t="s">
        <v>241</v>
      </c>
      <c r="D105" s="364" t="s">
        <v>55</v>
      </c>
      <c r="E105" s="253">
        <f t="shared" si="59"/>
        <v>10780000</v>
      </c>
      <c r="F105" s="231">
        <f>((14000000)-4000000)+500000+280000</f>
        <v>10780000</v>
      </c>
      <c r="G105" s="228"/>
      <c r="H105" s="228"/>
      <c r="I105" s="228"/>
      <c r="J105" s="363">
        <f t="shared" si="60"/>
        <v>0</v>
      </c>
      <c r="K105" s="228"/>
      <c r="L105" s="228"/>
      <c r="M105" s="228"/>
      <c r="N105" s="228"/>
      <c r="O105" s="361">
        <f t="shared" si="61"/>
        <v>0</v>
      </c>
      <c r="P105" s="363">
        <f t="shared" si="62"/>
        <v>10780000</v>
      </c>
      <c r="R105" s="335"/>
    </row>
    <row r="106" spans="1:18" ht="138.75" thickTop="1" thickBot="1" x14ac:dyDescent="0.25">
      <c r="A106" s="364" t="s">
        <v>56</v>
      </c>
      <c r="B106" s="364" t="s">
        <v>233</v>
      </c>
      <c r="C106" s="364" t="s">
        <v>241</v>
      </c>
      <c r="D106" s="364" t="s">
        <v>5</v>
      </c>
      <c r="E106" s="253">
        <f t="shared" si="59"/>
        <v>1779668</v>
      </c>
      <c r="F106" s="231">
        <f>(2015668)-236000</f>
        <v>1779668</v>
      </c>
      <c r="G106" s="228"/>
      <c r="H106" s="228"/>
      <c r="I106" s="228"/>
      <c r="J106" s="363">
        <f t="shared" si="60"/>
        <v>0</v>
      </c>
      <c r="K106" s="228"/>
      <c r="L106" s="228"/>
      <c r="M106" s="228"/>
      <c r="N106" s="228"/>
      <c r="O106" s="361">
        <f t="shared" si="61"/>
        <v>0</v>
      </c>
      <c r="P106" s="363">
        <f t="shared" si="62"/>
        <v>1779668</v>
      </c>
      <c r="R106" s="335"/>
    </row>
    <row r="107" spans="1:18" ht="184.5" thickTop="1" thickBot="1" x14ac:dyDescent="0.25">
      <c r="A107" s="364" t="s">
        <v>57</v>
      </c>
      <c r="B107" s="364" t="s">
        <v>234</v>
      </c>
      <c r="C107" s="364" t="s">
        <v>241</v>
      </c>
      <c r="D107" s="364" t="s">
        <v>426</v>
      </c>
      <c r="E107" s="253">
        <f>F107</f>
        <v>56195</v>
      </c>
      <c r="F107" s="231">
        <v>56195</v>
      </c>
      <c r="G107" s="231"/>
      <c r="H107" s="231"/>
      <c r="I107" s="228"/>
      <c r="J107" s="363">
        <f t="shared" si="60"/>
        <v>0</v>
      </c>
      <c r="K107" s="228"/>
      <c r="L107" s="231"/>
      <c r="M107" s="231"/>
      <c r="N107" s="231"/>
      <c r="O107" s="361">
        <f t="shared" si="61"/>
        <v>0</v>
      </c>
      <c r="P107" s="363">
        <f t="shared" si="62"/>
        <v>56195</v>
      </c>
      <c r="R107" s="335"/>
    </row>
    <row r="108" spans="1:18" ht="184.5" thickTop="1" thickBot="1" x14ac:dyDescent="0.25">
      <c r="A108" s="364" t="s">
        <v>34</v>
      </c>
      <c r="B108" s="364" t="s">
        <v>238</v>
      </c>
      <c r="C108" s="364" t="s">
        <v>241</v>
      </c>
      <c r="D108" s="364" t="s">
        <v>58</v>
      </c>
      <c r="E108" s="253">
        <f t="shared" si="59"/>
        <v>25011043</v>
      </c>
      <c r="F108" s="231">
        <f>((22943822)+55800-243100-19900-10000-50000)+1230593+32800+216800+7200-30000-10000+429105+94403+10940+289000+63580</f>
        <v>25011043</v>
      </c>
      <c r="G108" s="231">
        <f>(15609500)+1230593+32800+429105+289000</f>
        <v>17590998</v>
      </c>
      <c r="H108" s="231">
        <f>((464245+81769+327290+155710+4268)-10000-25000)-30000-10000+10940</f>
        <v>969222</v>
      </c>
      <c r="I108" s="231"/>
      <c r="J108" s="363">
        <f t="shared" si="60"/>
        <v>5694290</v>
      </c>
      <c r="K108" s="231">
        <f>((3819415)+74450+455200-550000)+150000-25579</f>
        <v>3923486</v>
      </c>
      <c r="L108" s="231">
        <f>(1763304)-10500</f>
        <v>1752804</v>
      </c>
      <c r="M108" s="231">
        <f>(792332)+38000</f>
        <v>830332</v>
      </c>
      <c r="N108" s="231">
        <v>248162</v>
      </c>
      <c r="O108" s="361">
        <f>(K108+7500)+10500</f>
        <v>3941486</v>
      </c>
      <c r="P108" s="363">
        <f t="shared" si="62"/>
        <v>30705333</v>
      </c>
      <c r="R108" s="335" t="b">
        <f>K108='d5'!J126+'d5'!J125+'d5'!J124+'d5'!J123</f>
        <v>1</v>
      </c>
    </row>
    <row r="109" spans="1:18" ht="184.5" thickTop="1" thickBot="1" x14ac:dyDescent="0.25">
      <c r="A109" s="364" t="s">
        <v>35</v>
      </c>
      <c r="B109" s="364" t="s">
        <v>239</v>
      </c>
      <c r="C109" s="364" t="s">
        <v>241</v>
      </c>
      <c r="D109" s="364" t="s">
        <v>59</v>
      </c>
      <c r="E109" s="253">
        <f t="shared" si="59"/>
        <v>6478069</v>
      </c>
      <c r="F109" s="231">
        <f>(6068200)+123031+67000-67000+286838+40500-40500</f>
        <v>6478069</v>
      </c>
      <c r="G109" s="231"/>
      <c r="H109" s="231"/>
      <c r="I109" s="231"/>
      <c r="J109" s="363">
        <f t="shared" si="60"/>
        <v>468600</v>
      </c>
      <c r="K109" s="231">
        <v>468600</v>
      </c>
      <c r="L109" s="231"/>
      <c r="M109" s="231"/>
      <c r="N109" s="231"/>
      <c r="O109" s="361">
        <f t="shared" si="61"/>
        <v>468600</v>
      </c>
      <c r="P109" s="363">
        <f t="shared" si="62"/>
        <v>6946669</v>
      </c>
      <c r="R109" s="335" t="b">
        <f>K109='d5'!J128+'d5'!J127</f>
        <v>1</v>
      </c>
    </row>
    <row r="110" spans="1:18" ht="276" thickTop="1" thickBot="1" x14ac:dyDescent="0.25">
      <c r="A110" s="225" t="s">
        <v>36</v>
      </c>
      <c r="B110" s="225" t="s">
        <v>240</v>
      </c>
      <c r="C110" s="225" t="s">
        <v>241</v>
      </c>
      <c r="D110" s="364" t="s">
        <v>37</v>
      </c>
      <c r="E110" s="253">
        <f t="shared" si="59"/>
        <v>1163547</v>
      </c>
      <c r="F110" s="231">
        <f>((2027547)-584000)-280000</f>
        <v>1163547</v>
      </c>
      <c r="G110" s="228"/>
      <c r="H110" s="228"/>
      <c r="I110" s="228"/>
      <c r="J110" s="363">
        <f t="shared" si="60"/>
        <v>0</v>
      </c>
      <c r="K110" s="228"/>
      <c r="L110" s="228"/>
      <c r="M110" s="228"/>
      <c r="N110" s="228"/>
      <c r="O110" s="361">
        <f t="shared" si="61"/>
        <v>0</v>
      </c>
      <c r="P110" s="363">
        <f t="shared" si="62"/>
        <v>1163547</v>
      </c>
      <c r="R110" s="335"/>
    </row>
    <row r="111" spans="1:18" ht="184.5" hidden="1" thickTop="1" thickBot="1" x14ac:dyDescent="0.25">
      <c r="A111" s="423" t="s">
        <v>730</v>
      </c>
      <c r="B111" s="423" t="s">
        <v>728</v>
      </c>
      <c r="C111" s="423" t="s">
        <v>241</v>
      </c>
      <c r="D111" s="406" t="s">
        <v>729</v>
      </c>
      <c r="E111" s="422">
        <f t="shared" si="59"/>
        <v>0</v>
      </c>
      <c r="F111" s="408"/>
      <c r="G111" s="410"/>
      <c r="H111" s="410"/>
      <c r="I111" s="410"/>
      <c r="J111" s="363">
        <f t="shared" si="60"/>
        <v>0</v>
      </c>
      <c r="K111" s="228"/>
      <c r="L111" s="228"/>
      <c r="M111" s="228"/>
      <c r="N111" s="228"/>
      <c r="O111" s="361">
        <f t="shared" si="61"/>
        <v>0</v>
      </c>
      <c r="P111" s="363">
        <f t="shared" si="62"/>
        <v>0</v>
      </c>
      <c r="R111" s="335"/>
    </row>
    <row r="112" spans="1:18" ht="93" thickTop="1" thickBot="1" x14ac:dyDescent="0.25">
      <c r="A112" s="225" t="s">
        <v>38</v>
      </c>
      <c r="B112" s="225" t="s">
        <v>242</v>
      </c>
      <c r="C112" s="225" t="s">
        <v>241</v>
      </c>
      <c r="D112" s="364" t="s">
        <v>39</v>
      </c>
      <c r="E112" s="253">
        <f>F112</f>
        <v>1522890</v>
      </c>
      <c r="F112" s="231">
        <v>1522890</v>
      </c>
      <c r="G112" s="228">
        <v>1049330</v>
      </c>
      <c r="H112" s="228"/>
      <c r="I112" s="228"/>
      <c r="J112" s="363">
        <f t="shared" si="60"/>
        <v>0</v>
      </c>
      <c r="K112" s="228"/>
      <c r="L112" s="228"/>
      <c r="M112" s="228"/>
      <c r="N112" s="228"/>
      <c r="O112" s="361">
        <f t="shared" si="61"/>
        <v>0</v>
      </c>
      <c r="P112" s="363">
        <f t="shared" si="62"/>
        <v>1522890</v>
      </c>
      <c r="R112" s="335"/>
    </row>
    <row r="113" spans="1:18" ht="276" thickTop="1" thickBot="1" x14ac:dyDescent="0.25">
      <c r="A113" s="225" t="s">
        <v>417</v>
      </c>
      <c r="B113" s="225" t="s">
        <v>416</v>
      </c>
      <c r="C113" s="225" t="s">
        <v>415</v>
      </c>
      <c r="D113" s="364" t="s">
        <v>414</v>
      </c>
      <c r="E113" s="253">
        <f>F113</f>
        <v>19211</v>
      </c>
      <c r="F113" s="231">
        <f>(9036)+10175</f>
        <v>19211</v>
      </c>
      <c r="G113" s="228"/>
      <c r="H113" s="228"/>
      <c r="I113" s="228"/>
      <c r="J113" s="363">
        <f t="shared" si="60"/>
        <v>0</v>
      </c>
      <c r="K113" s="228"/>
      <c r="L113" s="228"/>
      <c r="M113" s="228"/>
      <c r="N113" s="228"/>
      <c r="O113" s="361">
        <f t="shared" si="61"/>
        <v>0</v>
      </c>
      <c r="P113" s="363">
        <f t="shared" si="62"/>
        <v>19211</v>
      </c>
      <c r="R113" s="335"/>
    </row>
    <row r="114" spans="1:18" ht="93" thickTop="1" thickBot="1" x14ac:dyDescent="0.25">
      <c r="A114" s="364" t="s">
        <v>463</v>
      </c>
      <c r="B114" s="364" t="s">
        <v>443</v>
      </c>
      <c r="C114" s="364" t="s">
        <v>53</v>
      </c>
      <c r="D114" s="364" t="s">
        <v>444</v>
      </c>
      <c r="E114" s="253">
        <f>F114</f>
        <v>0</v>
      </c>
      <c r="F114" s="231"/>
      <c r="G114" s="228"/>
      <c r="H114" s="228"/>
      <c r="I114" s="228"/>
      <c r="J114" s="363">
        <f t="shared" si="60"/>
        <v>200000</v>
      </c>
      <c r="K114" s="228">
        <v>200000</v>
      </c>
      <c r="L114" s="228"/>
      <c r="M114" s="228"/>
      <c r="N114" s="228"/>
      <c r="O114" s="361">
        <f t="shared" si="61"/>
        <v>200000</v>
      </c>
      <c r="P114" s="363">
        <f t="shared" si="62"/>
        <v>200000</v>
      </c>
      <c r="R114" s="335" t="b">
        <f>K114='d5'!J129</f>
        <v>1</v>
      </c>
    </row>
    <row r="115" spans="1:18" ht="181.5" thickTop="1" thickBot="1" x14ac:dyDescent="0.25">
      <c r="A115" s="451" t="s">
        <v>198</v>
      </c>
      <c r="B115" s="451"/>
      <c r="C115" s="451"/>
      <c r="D115" s="452" t="s">
        <v>28</v>
      </c>
      <c r="E115" s="453">
        <f>E116</f>
        <v>268668364</v>
      </c>
      <c r="F115" s="454">
        <f t="shared" ref="F115:G115" si="63">F116</f>
        <v>268668364</v>
      </c>
      <c r="G115" s="454">
        <f t="shared" si="63"/>
        <v>9454104</v>
      </c>
      <c r="H115" s="454">
        <f>H116</f>
        <v>254669</v>
      </c>
      <c r="I115" s="453">
        <f t="shared" ref="I115" si="64">I116</f>
        <v>0</v>
      </c>
      <c r="J115" s="453">
        <f>J116</f>
        <v>146780800.29000002</v>
      </c>
      <c r="K115" s="454">
        <f>K116</f>
        <v>146555521.59</v>
      </c>
      <c r="L115" s="454">
        <f>L116</f>
        <v>205900</v>
      </c>
      <c r="M115" s="454">
        <f t="shared" ref="M115" si="65">M116</f>
        <v>0</v>
      </c>
      <c r="N115" s="453">
        <f>N116</f>
        <v>0</v>
      </c>
      <c r="O115" s="453">
        <f>O116</f>
        <v>146574900.29000002</v>
      </c>
      <c r="P115" s="454">
        <f>P116</f>
        <v>415449164.29000002</v>
      </c>
    </row>
    <row r="116" spans="1:18" ht="181.5" thickTop="1" thickBot="1" x14ac:dyDescent="0.25">
      <c r="A116" s="455" t="s">
        <v>199</v>
      </c>
      <c r="B116" s="455"/>
      <c r="C116" s="455"/>
      <c r="D116" s="456" t="s">
        <v>48</v>
      </c>
      <c r="E116" s="457">
        <f>SUM(E117:E134)</f>
        <v>268668364</v>
      </c>
      <c r="F116" s="457">
        <f>SUM(F117:F134)</f>
        <v>268668364</v>
      </c>
      <c r="G116" s="457">
        <f>SUM(G117:G134)</f>
        <v>9454104</v>
      </c>
      <c r="H116" s="457">
        <f>SUM(H117:H134)</f>
        <v>254669</v>
      </c>
      <c r="I116" s="457">
        <f>SUM(I117:I134)</f>
        <v>0</v>
      </c>
      <c r="J116" s="457">
        <f t="shared" ref="J116:J131" si="66">L116+O116</f>
        <v>146780800.29000002</v>
      </c>
      <c r="K116" s="457">
        <f>SUM(K117:K134)</f>
        <v>146555521.59</v>
      </c>
      <c r="L116" s="457">
        <f>SUM(L117:L134)</f>
        <v>205900</v>
      </c>
      <c r="M116" s="457">
        <f>SUM(M117:M134)</f>
        <v>0</v>
      </c>
      <c r="N116" s="457">
        <f>SUM(N117:N134)</f>
        <v>0</v>
      </c>
      <c r="O116" s="457">
        <f>SUM(O117:O134)</f>
        <v>146574900.29000002</v>
      </c>
      <c r="P116" s="458">
        <f>E116+J116</f>
        <v>415449164.29000002</v>
      </c>
      <c r="Q116" s="334" t="b">
        <f>P116=P119+P121+P122+P123+P124+P125+P126+P128+P129+P130+P134+P120+P117+P131+P118+P127+P133</f>
        <v>1</v>
      </c>
      <c r="R116" s="335" t="b">
        <f>K116='d5'!J130</f>
        <v>1</v>
      </c>
    </row>
    <row r="117" spans="1:18" ht="230.25" thickTop="1" thickBot="1" x14ac:dyDescent="0.25">
      <c r="A117" s="364" t="s">
        <v>522</v>
      </c>
      <c r="B117" s="364" t="s">
        <v>286</v>
      </c>
      <c r="C117" s="364" t="s">
        <v>284</v>
      </c>
      <c r="D117" s="364" t="s">
        <v>285</v>
      </c>
      <c r="E117" s="253">
        <f>F117</f>
        <v>11130780</v>
      </c>
      <c r="F117" s="231">
        <f>((11300780)-170000)</f>
        <v>11130780</v>
      </c>
      <c r="G117" s="231">
        <f>((8433900)-140000)</f>
        <v>8293900</v>
      </c>
      <c r="H117" s="231">
        <f>(99400+4200+54700+5300)+12000+3520+241</f>
        <v>179361</v>
      </c>
      <c r="I117" s="231"/>
      <c r="J117" s="363">
        <f t="shared" si="66"/>
        <v>17000</v>
      </c>
      <c r="K117" s="231">
        <v>17000</v>
      </c>
      <c r="L117" s="254"/>
      <c r="M117" s="254"/>
      <c r="N117" s="254"/>
      <c r="O117" s="361">
        <f t="shared" ref="O117:O130" si="67">K117</f>
        <v>17000</v>
      </c>
      <c r="P117" s="363">
        <f t="shared" ref="P117:P123" si="68">+J117+E117</f>
        <v>11147780</v>
      </c>
      <c r="Q117" s="334"/>
      <c r="R117" s="335" t="b">
        <f>K117='d5'!J132</f>
        <v>1</v>
      </c>
    </row>
    <row r="118" spans="1:18" ht="93" thickTop="1" thickBot="1" x14ac:dyDescent="0.25">
      <c r="A118" s="364" t="s">
        <v>552</v>
      </c>
      <c r="B118" s="364" t="s">
        <v>53</v>
      </c>
      <c r="C118" s="364" t="s">
        <v>52</v>
      </c>
      <c r="D118" s="364" t="s">
        <v>298</v>
      </c>
      <c r="E118" s="253">
        <f>F118</f>
        <v>150000</v>
      </c>
      <c r="F118" s="231">
        <v>150000</v>
      </c>
      <c r="G118" s="231"/>
      <c r="H118" s="231"/>
      <c r="I118" s="231"/>
      <c r="J118" s="363">
        <f t="shared" si="66"/>
        <v>0</v>
      </c>
      <c r="K118" s="231"/>
      <c r="L118" s="254"/>
      <c r="M118" s="254"/>
      <c r="N118" s="254"/>
      <c r="O118" s="361">
        <f t="shared" si="67"/>
        <v>0</v>
      </c>
      <c r="P118" s="363">
        <f t="shared" si="68"/>
        <v>150000</v>
      </c>
      <c r="Q118" s="334"/>
      <c r="R118" s="335"/>
    </row>
    <row r="119" spans="1:18" ht="138.75" thickTop="1" thickBot="1" x14ac:dyDescent="0.25">
      <c r="A119" s="364" t="s">
        <v>331</v>
      </c>
      <c r="B119" s="364" t="s">
        <v>332</v>
      </c>
      <c r="C119" s="364" t="s">
        <v>415</v>
      </c>
      <c r="D119" s="364" t="s">
        <v>333</v>
      </c>
      <c r="E119" s="253">
        <f t="shared" ref="E119:E134" si="69">F119</f>
        <v>2576700</v>
      </c>
      <c r="F119" s="231">
        <f>(((3300000)-1323300)+100000)+500000</f>
        <v>2576700</v>
      </c>
      <c r="G119" s="231"/>
      <c r="H119" s="231"/>
      <c r="I119" s="231"/>
      <c r="J119" s="363">
        <f t="shared" si="66"/>
        <v>6421200</v>
      </c>
      <c r="K119" s="231">
        <f>((4097900)+1323300)+1000000</f>
        <v>6421200</v>
      </c>
      <c r="L119" s="254"/>
      <c r="M119" s="254"/>
      <c r="N119" s="254"/>
      <c r="O119" s="361">
        <f t="shared" si="67"/>
        <v>6421200</v>
      </c>
      <c r="P119" s="363">
        <f t="shared" si="68"/>
        <v>8997900</v>
      </c>
    </row>
    <row r="120" spans="1:18" ht="138.75" thickTop="1" thickBot="1" x14ac:dyDescent="0.25">
      <c r="A120" s="364" t="s">
        <v>464</v>
      </c>
      <c r="B120" s="364" t="s">
        <v>465</v>
      </c>
      <c r="C120" s="364" t="s">
        <v>334</v>
      </c>
      <c r="D120" s="364" t="s">
        <v>466</v>
      </c>
      <c r="E120" s="253">
        <f t="shared" si="69"/>
        <v>37000000</v>
      </c>
      <c r="F120" s="231">
        <f>((22000000+3000000)+2000000)+8000000+2000000</f>
        <v>37000000</v>
      </c>
      <c r="G120" s="231"/>
      <c r="H120" s="231"/>
      <c r="I120" s="231"/>
      <c r="J120" s="363">
        <f t="shared" si="66"/>
        <v>0</v>
      </c>
      <c r="K120" s="231"/>
      <c r="L120" s="254"/>
      <c r="M120" s="254"/>
      <c r="N120" s="254"/>
      <c r="O120" s="361">
        <f t="shared" si="67"/>
        <v>0</v>
      </c>
      <c r="P120" s="363">
        <f t="shared" si="68"/>
        <v>37000000</v>
      </c>
    </row>
    <row r="121" spans="1:18" ht="138.75" thickTop="1" thickBot="1" x14ac:dyDescent="0.25">
      <c r="A121" s="364" t="s">
        <v>337</v>
      </c>
      <c r="B121" s="364" t="s">
        <v>338</v>
      </c>
      <c r="C121" s="364" t="s">
        <v>334</v>
      </c>
      <c r="D121" s="364" t="s">
        <v>339</v>
      </c>
      <c r="E121" s="253">
        <f t="shared" si="69"/>
        <v>9595480</v>
      </c>
      <c r="F121" s="231">
        <f>(10645480-2000000)+500000+450000</f>
        <v>9595480</v>
      </c>
      <c r="G121" s="231"/>
      <c r="H121" s="231"/>
      <c r="I121" s="231"/>
      <c r="J121" s="363">
        <f t="shared" si="66"/>
        <v>0</v>
      </c>
      <c r="K121" s="231"/>
      <c r="L121" s="254"/>
      <c r="M121" s="254"/>
      <c r="N121" s="254"/>
      <c r="O121" s="361">
        <f t="shared" si="67"/>
        <v>0</v>
      </c>
      <c r="P121" s="363">
        <f t="shared" si="68"/>
        <v>9595480</v>
      </c>
    </row>
    <row r="122" spans="1:18" ht="138.75" thickTop="1" thickBot="1" x14ac:dyDescent="0.25">
      <c r="A122" s="364" t="s">
        <v>356</v>
      </c>
      <c r="B122" s="364" t="s">
        <v>357</v>
      </c>
      <c r="C122" s="364" t="s">
        <v>334</v>
      </c>
      <c r="D122" s="364" t="s">
        <v>358</v>
      </c>
      <c r="E122" s="253">
        <f t="shared" si="69"/>
        <v>0</v>
      </c>
      <c r="F122" s="231"/>
      <c r="G122" s="231"/>
      <c r="H122" s="231"/>
      <c r="I122" s="231"/>
      <c r="J122" s="363">
        <f t="shared" si="66"/>
        <v>10235016</v>
      </c>
      <c r="K122" s="231">
        <f>((5000000)+4235016)+1000000</f>
        <v>10235016</v>
      </c>
      <c r="L122" s="254"/>
      <c r="M122" s="254"/>
      <c r="N122" s="254"/>
      <c r="O122" s="361">
        <f t="shared" si="67"/>
        <v>10235016</v>
      </c>
      <c r="P122" s="363">
        <f t="shared" si="68"/>
        <v>10235016</v>
      </c>
    </row>
    <row r="123" spans="1:18" ht="138.75" thickTop="1" thickBot="1" x14ac:dyDescent="0.25">
      <c r="A123" s="364" t="s">
        <v>335</v>
      </c>
      <c r="B123" s="364" t="s">
        <v>336</v>
      </c>
      <c r="C123" s="364" t="s">
        <v>334</v>
      </c>
      <c r="D123" s="364" t="s">
        <v>633</v>
      </c>
      <c r="E123" s="253">
        <f t="shared" si="69"/>
        <v>500000</v>
      </c>
      <c r="F123" s="231">
        <v>500000</v>
      </c>
      <c r="G123" s="231"/>
      <c r="H123" s="231"/>
      <c r="I123" s="231"/>
      <c r="J123" s="363">
        <f t="shared" si="66"/>
        <v>18172317</v>
      </c>
      <c r="K123" s="231">
        <f>((17000000)+972317)+200000</f>
        <v>18172317</v>
      </c>
      <c r="L123" s="254"/>
      <c r="M123" s="254"/>
      <c r="N123" s="254"/>
      <c r="O123" s="361">
        <f t="shared" si="67"/>
        <v>18172317</v>
      </c>
      <c r="P123" s="363">
        <f t="shared" si="68"/>
        <v>18672317</v>
      </c>
    </row>
    <row r="124" spans="1:18" ht="230.25" thickTop="1" thickBot="1" x14ac:dyDescent="0.25">
      <c r="A124" s="364" t="s">
        <v>351</v>
      </c>
      <c r="B124" s="364" t="s">
        <v>352</v>
      </c>
      <c r="C124" s="364" t="s">
        <v>334</v>
      </c>
      <c r="D124" s="364" t="s">
        <v>353</v>
      </c>
      <c r="E124" s="253">
        <f t="shared" si="69"/>
        <v>6600000</v>
      </c>
      <c r="F124" s="231">
        <v>6600000</v>
      </c>
      <c r="G124" s="231"/>
      <c r="H124" s="231"/>
      <c r="I124" s="231"/>
      <c r="J124" s="363">
        <f t="shared" si="66"/>
        <v>0</v>
      </c>
      <c r="K124" s="228"/>
      <c r="L124" s="231"/>
      <c r="M124" s="231"/>
      <c r="N124" s="231"/>
      <c r="O124" s="361">
        <f t="shared" si="67"/>
        <v>0</v>
      </c>
      <c r="P124" s="363">
        <f t="shared" ref="P124:P127" si="70">E124+J124</f>
        <v>6600000</v>
      </c>
    </row>
    <row r="125" spans="1:18" ht="93" thickTop="1" thickBot="1" x14ac:dyDescent="0.25">
      <c r="A125" s="364" t="s">
        <v>340</v>
      </c>
      <c r="B125" s="364" t="s">
        <v>341</v>
      </c>
      <c r="C125" s="364" t="s">
        <v>334</v>
      </c>
      <c r="D125" s="364" t="s">
        <v>342</v>
      </c>
      <c r="E125" s="253">
        <f t="shared" si="69"/>
        <v>159176346</v>
      </c>
      <c r="F125" s="231">
        <f>((156465346)+115835)+2519165+76000</f>
        <v>159176346</v>
      </c>
      <c r="G125" s="231"/>
      <c r="H125" s="231">
        <v>55000</v>
      </c>
      <c r="I125" s="231"/>
      <c r="J125" s="363">
        <f t="shared" si="66"/>
        <v>12901227</v>
      </c>
      <c r="K125" s="228">
        <f>((13161600)-928373)+668000</f>
        <v>12901227</v>
      </c>
      <c r="L125" s="231"/>
      <c r="M125" s="231"/>
      <c r="N125" s="231"/>
      <c r="O125" s="361">
        <f t="shared" si="67"/>
        <v>12901227</v>
      </c>
      <c r="P125" s="363">
        <f t="shared" si="70"/>
        <v>172077573</v>
      </c>
    </row>
    <row r="126" spans="1:18" ht="99.75" thickTop="1" thickBot="1" x14ac:dyDescent="0.25">
      <c r="A126" s="364" t="s">
        <v>360</v>
      </c>
      <c r="B126" s="364" t="s">
        <v>361</v>
      </c>
      <c r="C126" s="364" t="s">
        <v>359</v>
      </c>
      <c r="D126" s="364" t="s">
        <v>649</v>
      </c>
      <c r="E126" s="253">
        <f t="shared" si="69"/>
        <v>0</v>
      </c>
      <c r="F126" s="231"/>
      <c r="G126" s="231"/>
      <c r="H126" s="231"/>
      <c r="I126" s="231"/>
      <c r="J126" s="363">
        <f>L126+O126</f>
        <v>8172390</v>
      </c>
      <c r="K126" s="228">
        <f>((11211415)-1873000)-1166025</f>
        <v>8172390</v>
      </c>
      <c r="L126" s="231"/>
      <c r="M126" s="231"/>
      <c r="N126" s="231"/>
      <c r="O126" s="361">
        <f>K126</f>
        <v>8172390</v>
      </c>
      <c r="P126" s="363">
        <f t="shared" si="70"/>
        <v>8172390</v>
      </c>
    </row>
    <row r="127" spans="1:18" ht="138.75" thickTop="1" thickBot="1" x14ac:dyDescent="0.25">
      <c r="A127" s="364" t="s">
        <v>558</v>
      </c>
      <c r="B127" s="364" t="s">
        <v>428</v>
      </c>
      <c r="C127" s="364" t="s">
        <v>210</v>
      </c>
      <c r="D127" s="364" t="s">
        <v>313</v>
      </c>
      <c r="E127" s="253">
        <f t="shared" si="69"/>
        <v>0</v>
      </c>
      <c r="F127" s="231"/>
      <c r="G127" s="231"/>
      <c r="H127" s="231"/>
      <c r="I127" s="231"/>
      <c r="J127" s="363">
        <f>L127+O127</f>
        <v>604023.59000000008</v>
      </c>
      <c r="K127" s="228">
        <f>(2000000)-1395976.41</f>
        <v>604023.59000000008</v>
      </c>
      <c r="L127" s="231"/>
      <c r="M127" s="231"/>
      <c r="N127" s="231"/>
      <c r="O127" s="361">
        <f>K127</f>
        <v>604023.59000000008</v>
      </c>
      <c r="P127" s="363">
        <f t="shared" si="70"/>
        <v>604023.59000000008</v>
      </c>
      <c r="R127" s="327"/>
    </row>
    <row r="128" spans="1:18" ht="230.25" thickTop="1" thickBot="1" x14ac:dyDescent="0.25">
      <c r="A128" s="364" t="s">
        <v>346</v>
      </c>
      <c r="B128" s="364" t="s">
        <v>347</v>
      </c>
      <c r="C128" s="364" t="s">
        <v>349</v>
      </c>
      <c r="D128" s="364" t="s">
        <v>348</v>
      </c>
      <c r="E128" s="253">
        <f t="shared" si="69"/>
        <v>39546004</v>
      </c>
      <c r="F128" s="231">
        <f>((70556900)-21449000)-7514095-2076000+28199</f>
        <v>39546004</v>
      </c>
      <c r="G128" s="231"/>
      <c r="H128" s="231"/>
      <c r="I128" s="231"/>
      <c r="J128" s="363">
        <f t="shared" si="66"/>
        <v>49868637.700000003</v>
      </c>
      <c r="K128" s="231">
        <f>((44083234)+5519378.7-19378.7)+266025</f>
        <v>49849259</v>
      </c>
      <c r="L128" s="254"/>
      <c r="M128" s="254"/>
      <c r="N128" s="254"/>
      <c r="O128" s="361">
        <f>K128+19378.7</f>
        <v>49868637.700000003</v>
      </c>
      <c r="P128" s="363">
        <f>+J128+E128</f>
        <v>89414641.700000003</v>
      </c>
    </row>
    <row r="129" spans="1:18" ht="48" thickTop="1" thickBot="1" x14ac:dyDescent="0.25">
      <c r="A129" s="364" t="s">
        <v>350</v>
      </c>
      <c r="B129" s="364" t="s">
        <v>262</v>
      </c>
      <c r="C129" s="364" t="s">
        <v>263</v>
      </c>
      <c r="D129" s="364" t="s">
        <v>51</v>
      </c>
      <c r="E129" s="253">
        <f t="shared" si="69"/>
        <v>850000</v>
      </c>
      <c r="F129" s="231">
        <f>(550000)+300000</f>
        <v>850000</v>
      </c>
      <c r="G129" s="231"/>
      <c r="H129" s="231"/>
      <c r="I129" s="231"/>
      <c r="J129" s="363">
        <f t="shared" si="66"/>
        <v>25855475</v>
      </c>
      <c r="K129" s="228">
        <f>(25688000)+167475</f>
        <v>25855475</v>
      </c>
      <c r="L129" s="231"/>
      <c r="M129" s="231"/>
      <c r="N129" s="231"/>
      <c r="O129" s="361">
        <f t="shared" si="67"/>
        <v>25855475</v>
      </c>
      <c r="P129" s="363">
        <f>E129+J129</f>
        <v>26705475</v>
      </c>
    </row>
    <row r="130" spans="1:18" ht="93" thickTop="1" thickBot="1" x14ac:dyDescent="0.7">
      <c r="A130" s="364" t="s">
        <v>362</v>
      </c>
      <c r="B130" s="364" t="s">
        <v>243</v>
      </c>
      <c r="C130" s="364" t="s">
        <v>210</v>
      </c>
      <c r="D130" s="364" t="s">
        <v>42</v>
      </c>
      <c r="E130" s="253">
        <f t="shared" si="69"/>
        <v>0</v>
      </c>
      <c r="F130" s="231"/>
      <c r="G130" s="231"/>
      <c r="H130" s="231"/>
      <c r="I130" s="231"/>
      <c r="J130" s="363">
        <f t="shared" si="66"/>
        <v>14279614</v>
      </c>
      <c r="K130" s="228">
        <f>(((10349596-48000+300000)+450000)+2162840)+789415+98500+205462-28199</f>
        <v>14279614</v>
      </c>
      <c r="L130" s="231"/>
      <c r="M130" s="231"/>
      <c r="N130" s="231"/>
      <c r="O130" s="361">
        <f t="shared" si="67"/>
        <v>14279614</v>
      </c>
      <c r="P130" s="363">
        <f>E130+J130</f>
        <v>14279614</v>
      </c>
      <c r="Q130" s="112"/>
    </row>
    <row r="131" spans="1:18" ht="358.5" customHeight="1" thickTop="1" thickBot="1" x14ac:dyDescent="0.7">
      <c r="A131" s="554" t="s">
        <v>528</v>
      </c>
      <c r="B131" s="554" t="s">
        <v>412</v>
      </c>
      <c r="C131" s="554" t="s">
        <v>210</v>
      </c>
      <c r="D131" s="232" t="s">
        <v>585</v>
      </c>
      <c r="E131" s="556">
        <f t="shared" si="69"/>
        <v>0</v>
      </c>
      <c r="F131" s="559"/>
      <c r="G131" s="559"/>
      <c r="H131" s="559"/>
      <c r="I131" s="559"/>
      <c r="J131" s="556">
        <f t="shared" si="66"/>
        <v>205900</v>
      </c>
      <c r="K131" s="559"/>
      <c r="L131" s="559">
        <f>(500000)-294100</f>
        <v>205900</v>
      </c>
      <c r="M131" s="559"/>
      <c r="N131" s="559"/>
      <c r="O131" s="561">
        <f>K131+0</f>
        <v>0</v>
      </c>
      <c r="P131" s="563">
        <f>E131+J131</f>
        <v>205900</v>
      </c>
      <c r="Q131" s="339">
        <f>P131</f>
        <v>205900</v>
      </c>
    </row>
    <row r="132" spans="1:18" ht="184.5" thickTop="1" thickBot="1" x14ac:dyDescent="0.7">
      <c r="A132" s="554"/>
      <c r="B132" s="554"/>
      <c r="C132" s="554"/>
      <c r="D132" s="233" t="s">
        <v>586</v>
      </c>
      <c r="E132" s="556"/>
      <c r="F132" s="559"/>
      <c r="G132" s="559"/>
      <c r="H132" s="559"/>
      <c r="I132" s="559"/>
      <c r="J132" s="556"/>
      <c r="K132" s="559"/>
      <c r="L132" s="559"/>
      <c r="M132" s="559"/>
      <c r="N132" s="559"/>
      <c r="O132" s="561"/>
      <c r="P132" s="563"/>
      <c r="Q132" s="112"/>
    </row>
    <row r="133" spans="1:18" ht="138.75" thickTop="1" thickBot="1" x14ac:dyDescent="0.7">
      <c r="A133" s="364" t="s">
        <v>752</v>
      </c>
      <c r="B133" s="364" t="s">
        <v>750</v>
      </c>
      <c r="C133" s="364" t="s">
        <v>302</v>
      </c>
      <c r="D133" s="243" t="s">
        <v>751</v>
      </c>
      <c r="E133" s="253">
        <f t="shared" ref="E133" si="71">F133</f>
        <v>100000</v>
      </c>
      <c r="F133" s="231">
        <v>100000</v>
      </c>
      <c r="G133" s="231"/>
      <c r="H133" s="231"/>
      <c r="I133" s="231"/>
      <c r="J133" s="363">
        <f>L133+O133</f>
        <v>0</v>
      </c>
      <c r="K133" s="228"/>
      <c r="L133" s="231"/>
      <c r="M133" s="231"/>
      <c r="N133" s="231"/>
      <c r="O133" s="361">
        <f>K133</f>
        <v>0</v>
      </c>
      <c r="P133" s="363">
        <f>E133+J133</f>
        <v>100000</v>
      </c>
      <c r="Q133" s="112"/>
    </row>
    <row r="134" spans="1:18" ht="93" thickTop="1" thickBot="1" x14ac:dyDescent="0.25">
      <c r="A134" s="364" t="s">
        <v>300</v>
      </c>
      <c r="B134" s="364" t="s">
        <v>301</v>
      </c>
      <c r="C134" s="364" t="s">
        <v>302</v>
      </c>
      <c r="D134" s="364" t="s">
        <v>299</v>
      </c>
      <c r="E134" s="253">
        <f t="shared" si="69"/>
        <v>1443054</v>
      </c>
      <c r="F134" s="231">
        <v>1443054</v>
      </c>
      <c r="G134" s="231">
        <f>(1143384)+16820</f>
        <v>1160204</v>
      </c>
      <c r="H134" s="231">
        <f>(489+13607+1212)+5000</f>
        <v>20308</v>
      </c>
      <c r="I134" s="231"/>
      <c r="J134" s="363">
        <f>L134+O134</f>
        <v>48000</v>
      </c>
      <c r="K134" s="228">
        <v>48000</v>
      </c>
      <c r="L134" s="231"/>
      <c r="M134" s="231"/>
      <c r="N134" s="231"/>
      <c r="O134" s="361">
        <f>K134</f>
        <v>48000</v>
      </c>
      <c r="P134" s="363">
        <f>E134+J134</f>
        <v>1491054</v>
      </c>
      <c r="R134" s="335" t="b">
        <f>K134='d5'!J205</f>
        <v>1</v>
      </c>
    </row>
    <row r="135" spans="1:18" ht="271.5" thickTop="1" thickBot="1" x14ac:dyDescent="0.25">
      <c r="A135" s="451" t="s">
        <v>30</v>
      </c>
      <c r="B135" s="451"/>
      <c r="C135" s="451"/>
      <c r="D135" s="452" t="s">
        <v>459</v>
      </c>
      <c r="E135" s="453">
        <f>E136</f>
        <v>2583848</v>
      </c>
      <c r="F135" s="454">
        <f t="shared" ref="F135:G135" si="72">F136</f>
        <v>2583848</v>
      </c>
      <c r="G135" s="454">
        <f t="shared" si="72"/>
        <v>1787823</v>
      </c>
      <c r="H135" s="454">
        <f>H136</f>
        <v>64975</v>
      </c>
      <c r="I135" s="453">
        <f t="shared" ref="I135" si="73">I136</f>
        <v>0</v>
      </c>
      <c r="J135" s="453">
        <f>J136</f>
        <v>94440172</v>
      </c>
      <c r="K135" s="454">
        <f>K136</f>
        <v>94440172</v>
      </c>
      <c r="L135" s="454">
        <f>L136</f>
        <v>0</v>
      </c>
      <c r="M135" s="454">
        <f t="shared" ref="M135" si="74">M136</f>
        <v>0</v>
      </c>
      <c r="N135" s="453">
        <f>N136</f>
        <v>0</v>
      </c>
      <c r="O135" s="453">
        <f>O136</f>
        <v>94440172</v>
      </c>
      <c r="P135" s="454">
        <f t="shared" ref="P135" si="75">P136</f>
        <v>97024020</v>
      </c>
    </row>
    <row r="136" spans="1:18" ht="271.5" thickTop="1" thickBot="1" x14ac:dyDescent="0.25">
      <c r="A136" s="455" t="s">
        <v>31</v>
      </c>
      <c r="B136" s="455"/>
      <c r="C136" s="455"/>
      <c r="D136" s="456" t="s">
        <v>458</v>
      </c>
      <c r="E136" s="457">
        <f>SUM(E137:E144)</f>
        <v>2583848</v>
      </c>
      <c r="F136" s="457">
        <f t="shared" ref="F136:O136" si="76">SUM(F137:F144)</f>
        <v>2583848</v>
      </c>
      <c r="G136" s="457">
        <f t="shared" si="76"/>
        <v>1787823</v>
      </c>
      <c r="H136" s="457">
        <f t="shared" si="76"/>
        <v>64975</v>
      </c>
      <c r="I136" s="457">
        <f t="shared" si="76"/>
        <v>0</v>
      </c>
      <c r="J136" s="457">
        <f t="shared" ref="J136:J144" si="77">L136+O136</f>
        <v>94440172</v>
      </c>
      <c r="K136" s="457">
        <f t="shared" si="76"/>
        <v>94440172</v>
      </c>
      <c r="L136" s="457">
        <f t="shared" si="76"/>
        <v>0</v>
      </c>
      <c r="M136" s="457">
        <f t="shared" si="76"/>
        <v>0</v>
      </c>
      <c r="N136" s="457">
        <f t="shared" si="76"/>
        <v>0</v>
      </c>
      <c r="O136" s="457">
        <f t="shared" si="76"/>
        <v>94440172</v>
      </c>
      <c r="P136" s="458">
        <f t="shared" ref="P136:P144" si="78">E136+J136</f>
        <v>97024020</v>
      </c>
      <c r="Q136" s="334" t="b">
        <f>P136=P140+P142+P143+P137+P138+P144+P139+P141</f>
        <v>1</v>
      </c>
      <c r="R136" s="335" t="b">
        <f>K136='d5'!J206</f>
        <v>1</v>
      </c>
    </row>
    <row r="137" spans="1:18" ht="230.25" thickTop="1" thickBot="1" x14ac:dyDescent="0.25">
      <c r="A137" s="364" t="s">
        <v>518</v>
      </c>
      <c r="B137" s="364" t="s">
        <v>286</v>
      </c>
      <c r="C137" s="364" t="s">
        <v>284</v>
      </c>
      <c r="D137" s="364" t="s">
        <v>285</v>
      </c>
      <c r="E137" s="363">
        <f>F137</f>
        <v>2426048</v>
      </c>
      <c r="F137" s="228">
        <f>((2709225)-116000)-167177</f>
        <v>2426048</v>
      </c>
      <c r="G137" s="228">
        <f>((2059000)-104000)-167177</f>
        <v>1787823</v>
      </c>
      <c r="H137" s="228">
        <f>1430+22400+41145</f>
        <v>64975</v>
      </c>
      <c r="I137" s="228"/>
      <c r="J137" s="363">
        <f t="shared" si="77"/>
        <v>0</v>
      </c>
      <c r="K137" s="228"/>
      <c r="L137" s="228"/>
      <c r="M137" s="228"/>
      <c r="N137" s="228"/>
      <c r="O137" s="361">
        <f>K137</f>
        <v>0</v>
      </c>
      <c r="P137" s="363">
        <f t="shared" si="78"/>
        <v>2426048</v>
      </c>
      <c r="Q137" s="334"/>
      <c r="R137" s="335"/>
    </row>
    <row r="138" spans="1:18" ht="93" thickTop="1" thickBot="1" x14ac:dyDescent="0.25">
      <c r="A138" s="364" t="s">
        <v>550</v>
      </c>
      <c r="B138" s="364" t="s">
        <v>53</v>
      </c>
      <c r="C138" s="364" t="s">
        <v>52</v>
      </c>
      <c r="D138" s="364" t="s">
        <v>298</v>
      </c>
      <c r="E138" s="363">
        <f>F138</f>
        <v>157800</v>
      </c>
      <c r="F138" s="228">
        <v>157800</v>
      </c>
      <c r="G138" s="228"/>
      <c r="H138" s="228"/>
      <c r="I138" s="228"/>
      <c r="J138" s="363">
        <f t="shared" si="77"/>
        <v>0</v>
      </c>
      <c r="K138" s="228"/>
      <c r="L138" s="228"/>
      <c r="M138" s="228"/>
      <c r="N138" s="228"/>
      <c r="O138" s="361">
        <f t="shared" ref="O138:O139" si="79">K138</f>
        <v>0</v>
      </c>
      <c r="P138" s="363">
        <f t="shared" si="78"/>
        <v>157800</v>
      </c>
      <c r="Q138" s="334"/>
      <c r="R138" s="335"/>
    </row>
    <row r="139" spans="1:18" ht="321.75" thickTop="1" thickBot="1" x14ac:dyDescent="0.25">
      <c r="A139" s="364" t="s">
        <v>553</v>
      </c>
      <c r="B139" s="364" t="s">
        <v>555</v>
      </c>
      <c r="C139" s="364" t="s">
        <v>241</v>
      </c>
      <c r="D139" s="364" t="s">
        <v>554</v>
      </c>
      <c r="E139" s="363">
        <f t="shared" ref="E139:E142" si="80">F139</f>
        <v>0</v>
      </c>
      <c r="F139" s="228"/>
      <c r="G139" s="228"/>
      <c r="H139" s="228"/>
      <c r="I139" s="228"/>
      <c r="J139" s="363">
        <f t="shared" si="77"/>
        <v>18200000</v>
      </c>
      <c r="K139" s="228">
        <f>(10000000+5000000)+3200000</f>
        <v>18200000</v>
      </c>
      <c r="L139" s="228"/>
      <c r="M139" s="228"/>
      <c r="N139" s="228"/>
      <c r="O139" s="361">
        <f t="shared" si="79"/>
        <v>18200000</v>
      </c>
      <c r="P139" s="363">
        <f t="shared" si="78"/>
        <v>18200000</v>
      </c>
      <c r="Q139" s="334"/>
      <c r="R139" s="335"/>
    </row>
    <row r="140" spans="1:18" ht="99.75" thickTop="1" thickBot="1" x14ac:dyDescent="0.25">
      <c r="A140" s="364" t="s">
        <v>371</v>
      </c>
      <c r="B140" s="364" t="s">
        <v>372</v>
      </c>
      <c r="C140" s="364" t="s">
        <v>359</v>
      </c>
      <c r="D140" s="364" t="s">
        <v>647</v>
      </c>
      <c r="E140" s="363">
        <f t="shared" si="80"/>
        <v>0</v>
      </c>
      <c r="F140" s="228"/>
      <c r="G140" s="228"/>
      <c r="H140" s="228"/>
      <c r="I140" s="228"/>
      <c r="J140" s="363">
        <f t="shared" si="77"/>
        <v>22100000</v>
      </c>
      <c r="K140" s="228">
        <f>((((12200000)+3000000)+2200000)+2400000)+2300000</f>
        <v>22100000</v>
      </c>
      <c r="L140" s="228"/>
      <c r="M140" s="228"/>
      <c r="N140" s="228"/>
      <c r="O140" s="361">
        <f>K140</f>
        <v>22100000</v>
      </c>
      <c r="P140" s="363">
        <f t="shared" si="78"/>
        <v>22100000</v>
      </c>
      <c r="Q140" s="327"/>
    </row>
    <row r="141" spans="1:18" ht="99.75" thickTop="1" thickBot="1" x14ac:dyDescent="0.25">
      <c r="A141" s="364" t="s">
        <v>748</v>
      </c>
      <c r="B141" s="364" t="s">
        <v>749</v>
      </c>
      <c r="C141" s="364" t="s">
        <v>359</v>
      </c>
      <c r="D141" s="364" t="s">
        <v>747</v>
      </c>
      <c r="E141" s="363">
        <f t="shared" si="80"/>
        <v>0</v>
      </c>
      <c r="F141" s="228"/>
      <c r="G141" s="228"/>
      <c r="H141" s="228"/>
      <c r="I141" s="228"/>
      <c r="J141" s="363">
        <f t="shared" si="77"/>
        <v>152378</v>
      </c>
      <c r="K141" s="228">
        <f>52378+100000</f>
        <v>152378</v>
      </c>
      <c r="L141" s="228"/>
      <c r="M141" s="228"/>
      <c r="N141" s="228"/>
      <c r="O141" s="361">
        <f>K141</f>
        <v>152378</v>
      </c>
      <c r="P141" s="363">
        <f t="shared" si="78"/>
        <v>152378</v>
      </c>
      <c r="Q141" s="327"/>
    </row>
    <row r="142" spans="1:18" ht="145.5" thickTop="1" thickBot="1" x14ac:dyDescent="0.25">
      <c r="A142" s="364" t="s">
        <v>373</v>
      </c>
      <c r="B142" s="364" t="s">
        <v>374</v>
      </c>
      <c r="C142" s="364" t="s">
        <v>359</v>
      </c>
      <c r="D142" s="364" t="s">
        <v>646</v>
      </c>
      <c r="E142" s="363">
        <f t="shared" si="80"/>
        <v>0</v>
      </c>
      <c r="F142" s="228"/>
      <c r="G142" s="228"/>
      <c r="H142" s="228"/>
      <c r="I142" s="228"/>
      <c r="J142" s="363">
        <f t="shared" si="77"/>
        <v>600000</v>
      </c>
      <c r="K142" s="228">
        <f>(1000000)-400000</f>
        <v>600000</v>
      </c>
      <c r="L142" s="228"/>
      <c r="M142" s="228"/>
      <c r="N142" s="228"/>
      <c r="O142" s="361">
        <f>K142</f>
        <v>600000</v>
      </c>
      <c r="P142" s="363">
        <f t="shared" si="78"/>
        <v>600000</v>
      </c>
      <c r="Q142" s="327"/>
    </row>
    <row r="143" spans="1:18" ht="99.75" thickTop="1" thickBot="1" x14ac:dyDescent="0.3">
      <c r="A143" s="364" t="s">
        <v>376</v>
      </c>
      <c r="B143" s="364" t="s">
        <v>377</v>
      </c>
      <c r="C143" s="364" t="s">
        <v>359</v>
      </c>
      <c r="D143" s="364" t="s">
        <v>645</v>
      </c>
      <c r="E143" s="363">
        <f>F143</f>
        <v>0</v>
      </c>
      <c r="F143" s="228"/>
      <c r="G143" s="228"/>
      <c r="H143" s="228"/>
      <c r="I143" s="228"/>
      <c r="J143" s="363">
        <f t="shared" si="77"/>
        <v>24117622</v>
      </c>
      <c r="K143" s="228">
        <f>((14800000)+1947622+5670000)+1700000</f>
        <v>24117622</v>
      </c>
      <c r="L143" s="228"/>
      <c r="M143" s="228"/>
      <c r="N143" s="228"/>
      <c r="O143" s="361">
        <f>K143</f>
        <v>24117622</v>
      </c>
      <c r="P143" s="363">
        <f t="shared" si="78"/>
        <v>24117622</v>
      </c>
      <c r="Q143" s="160"/>
    </row>
    <row r="144" spans="1:18" ht="138.75" thickTop="1" thickBot="1" x14ac:dyDescent="0.25">
      <c r="A144" s="364" t="s">
        <v>572</v>
      </c>
      <c r="B144" s="364" t="s">
        <v>428</v>
      </c>
      <c r="C144" s="364" t="s">
        <v>210</v>
      </c>
      <c r="D144" s="364" t="s">
        <v>313</v>
      </c>
      <c r="E144" s="363">
        <f>F144</f>
        <v>0</v>
      </c>
      <c r="F144" s="228"/>
      <c r="G144" s="228"/>
      <c r="H144" s="228"/>
      <c r="I144" s="228"/>
      <c r="J144" s="363">
        <f t="shared" si="77"/>
        <v>29270172</v>
      </c>
      <c r="K144" s="228">
        <f>((((23000000)-3000000)-29828-100000)+9400000)</f>
        <v>29270172</v>
      </c>
      <c r="L144" s="228"/>
      <c r="M144" s="228"/>
      <c r="N144" s="228"/>
      <c r="O144" s="361">
        <f>K144</f>
        <v>29270172</v>
      </c>
      <c r="P144" s="363">
        <f t="shared" si="78"/>
        <v>29270172</v>
      </c>
    </row>
    <row r="145" spans="1:18" ht="271.5" thickTop="1" thickBot="1" x14ac:dyDescent="0.25">
      <c r="A145" s="451" t="s">
        <v>200</v>
      </c>
      <c r="B145" s="451"/>
      <c r="C145" s="451"/>
      <c r="D145" s="452" t="s">
        <v>928</v>
      </c>
      <c r="E145" s="453">
        <f>E146</f>
        <v>4299600</v>
      </c>
      <c r="F145" s="454">
        <f t="shared" ref="F145:G145" si="81">F146</f>
        <v>4299600</v>
      </c>
      <c r="G145" s="454">
        <f t="shared" si="81"/>
        <v>3108000</v>
      </c>
      <c r="H145" s="454">
        <f>H146</f>
        <v>107000</v>
      </c>
      <c r="I145" s="453">
        <f t="shared" ref="I145" si="82">I146</f>
        <v>0</v>
      </c>
      <c r="J145" s="453">
        <f>J146</f>
        <v>441220</v>
      </c>
      <c r="K145" s="454">
        <f>K146</f>
        <v>441220</v>
      </c>
      <c r="L145" s="454">
        <f>L146</f>
        <v>0</v>
      </c>
      <c r="M145" s="454">
        <f t="shared" ref="M145" si="83">M146</f>
        <v>0</v>
      </c>
      <c r="N145" s="453">
        <f>N146</f>
        <v>0</v>
      </c>
      <c r="O145" s="453">
        <f>O146</f>
        <v>441220</v>
      </c>
      <c r="P145" s="454">
        <f t="shared" ref="P145" si="84">P146</f>
        <v>4740820</v>
      </c>
    </row>
    <row r="146" spans="1:18" ht="226.5" thickTop="1" thickBot="1" x14ac:dyDescent="0.25">
      <c r="A146" s="455" t="s">
        <v>201</v>
      </c>
      <c r="B146" s="455"/>
      <c r="C146" s="455"/>
      <c r="D146" s="456" t="s">
        <v>929</v>
      </c>
      <c r="E146" s="457">
        <f>SUM(E147:E148)</f>
        <v>4299600</v>
      </c>
      <c r="F146" s="457">
        <f>SUM(F147:F148)</f>
        <v>4299600</v>
      </c>
      <c r="G146" s="457">
        <f>SUM(G147:G148)</f>
        <v>3108000</v>
      </c>
      <c r="H146" s="457">
        <f>SUM(H147:H148)</f>
        <v>107000</v>
      </c>
      <c r="I146" s="457">
        <f>SUM(I147:I148)</f>
        <v>0</v>
      </c>
      <c r="J146" s="457">
        <f>L146+O146</f>
        <v>441220</v>
      </c>
      <c r="K146" s="457">
        <f>SUM(K147:K148)</f>
        <v>441220</v>
      </c>
      <c r="L146" s="457">
        <f>SUM(L147:L148)</f>
        <v>0</v>
      </c>
      <c r="M146" s="457">
        <f>SUM(M147:M148)</f>
        <v>0</v>
      </c>
      <c r="N146" s="457">
        <f>SUM(N147:N148)</f>
        <v>0</v>
      </c>
      <c r="O146" s="457">
        <f>SUM(O147:O148)</f>
        <v>441220</v>
      </c>
      <c r="P146" s="458">
        <f>E146+J146</f>
        <v>4740820</v>
      </c>
      <c r="Q146" s="334" t="b">
        <f>P146=P147+P148</f>
        <v>1</v>
      </c>
      <c r="R146" s="335" t="b">
        <f>K146='d5'!J227</f>
        <v>1</v>
      </c>
    </row>
    <row r="147" spans="1:18" ht="230.25" thickTop="1" thickBot="1" x14ac:dyDescent="0.25">
      <c r="A147" s="364" t="s">
        <v>520</v>
      </c>
      <c r="B147" s="364" t="s">
        <v>286</v>
      </c>
      <c r="C147" s="364" t="s">
        <v>284</v>
      </c>
      <c r="D147" s="364" t="s">
        <v>285</v>
      </c>
      <c r="E147" s="363">
        <f>F147</f>
        <v>4299600</v>
      </c>
      <c r="F147" s="228">
        <f>((4515600)-216000)</f>
        <v>4299600</v>
      </c>
      <c r="G147" s="228">
        <f>(3285000)-177000</f>
        <v>3108000</v>
      </c>
      <c r="H147" s="228">
        <f>78300+1300+27400</f>
        <v>107000</v>
      </c>
      <c r="I147" s="228"/>
      <c r="J147" s="363">
        <f>L147+O147</f>
        <v>0</v>
      </c>
      <c r="K147" s="228"/>
      <c r="L147" s="228"/>
      <c r="M147" s="228"/>
      <c r="N147" s="228"/>
      <c r="O147" s="361">
        <f>K147</f>
        <v>0</v>
      </c>
      <c r="P147" s="363">
        <f>E147+J147</f>
        <v>4299600</v>
      </c>
      <c r="Q147" s="334"/>
      <c r="R147" s="335"/>
    </row>
    <row r="148" spans="1:18" ht="138.75" thickTop="1" thickBot="1" x14ac:dyDescent="0.25">
      <c r="A148" s="364" t="s">
        <v>754</v>
      </c>
      <c r="B148" s="364" t="s">
        <v>755</v>
      </c>
      <c r="C148" s="364" t="s">
        <v>359</v>
      </c>
      <c r="D148" s="364" t="s">
        <v>756</v>
      </c>
      <c r="E148" s="363">
        <f>F148</f>
        <v>0</v>
      </c>
      <c r="F148" s="228"/>
      <c r="G148" s="228"/>
      <c r="H148" s="228"/>
      <c r="I148" s="228"/>
      <c r="J148" s="363">
        <f>L148+O148</f>
        <v>441220</v>
      </c>
      <c r="K148" s="228">
        <v>441220</v>
      </c>
      <c r="L148" s="228"/>
      <c r="M148" s="228"/>
      <c r="N148" s="228"/>
      <c r="O148" s="361">
        <f>K148</f>
        <v>441220</v>
      </c>
      <c r="P148" s="363">
        <f>E148+J148</f>
        <v>441220</v>
      </c>
      <c r="Q148" s="334"/>
      <c r="R148" s="335"/>
    </row>
    <row r="149" spans="1:18" ht="136.5" thickTop="1" thickBot="1" x14ac:dyDescent="0.25">
      <c r="A149" s="451" t="s">
        <v>591</v>
      </c>
      <c r="B149" s="451"/>
      <c r="C149" s="451"/>
      <c r="D149" s="452" t="s">
        <v>593</v>
      </c>
      <c r="E149" s="453">
        <f>E150</f>
        <v>66373342</v>
      </c>
      <c r="F149" s="454">
        <f t="shared" ref="F149:G149" si="85">F150</f>
        <v>66373342</v>
      </c>
      <c r="G149" s="454">
        <f t="shared" si="85"/>
        <v>1609430</v>
      </c>
      <c r="H149" s="454">
        <f>H150</f>
        <v>112500</v>
      </c>
      <c r="I149" s="453">
        <f t="shared" ref="I149" si="86">I150</f>
        <v>0</v>
      </c>
      <c r="J149" s="453">
        <f>J150</f>
        <v>49000</v>
      </c>
      <c r="K149" s="454">
        <f>K150</f>
        <v>49000</v>
      </c>
      <c r="L149" s="454">
        <f>L150</f>
        <v>0</v>
      </c>
      <c r="M149" s="454">
        <f t="shared" ref="M149" si="87">M150</f>
        <v>0</v>
      </c>
      <c r="N149" s="453">
        <f>N150</f>
        <v>0</v>
      </c>
      <c r="O149" s="453">
        <f>O150</f>
        <v>49000</v>
      </c>
      <c r="P149" s="454">
        <f t="shared" ref="P149" si="88">P150</f>
        <v>66422342</v>
      </c>
    </row>
    <row r="150" spans="1:18" ht="181.5" thickTop="1" thickBot="1" x14ac:dyDescent="0.25">
      <c r="A150" s="455" t="s">
        <v>592</v>
      </c>
      <c r="B150" s="455"/>
      <c r="C150" s="455"/>
      <c r="D150" s="456" t="s">
        <v>594</v>
      </c>
      <c r="E150" s="457">
        <f>SUM(E151:E153)</f>
        <v>66373342</v>
      </c>
      <c r="F150" s="457">
        <f t="shared" ref="F150:O150" si="89">SUM(F151:F153)</f>
        <v>66373342</v>
      </c>
      <c r="G150" s="457">
        <f t="shared" si="89"/>
        <v>1609430</v>
      </c>
      <c r="H150" s="457">
        <f t="shared" si="89"/>
        <v>112500</v>
      </c>
      <c r="I150" s="457">
        <f t="shared" si="89"/>
        <v>0</v>
      </c>
      <c r="J150" s="457">
        <f>L150+O150</f>
        <v>49000</v>
      </c>
      <c r="K150" s="457">
        <f t="shared" si="89"/>
        <v>49000</v>
      </c>
      <c r="L150" s="457">
        <f t="shared" si="89"/>
        <v>0</v>
      </c>
      <c r="M150" s="457">
        <f t="shared" si="89"/>
        <v>0</v>
      </c>
      <c r="N150" s="457">
        <f t="shared" si="89"/>
        <v>0</v>
      </c>
      <c r="O150" s="457">
        <f t="shared" si="89"/>
        <v>49000</v>
      </c>
      <c r="P150" s="458">
        <f>E150+J150</f>
        <v>66422342</v>
      </c>
      <c r="Q150" s="334" t="b">
        <f>P150=P151+P152+P153</f>
        <v>1</v>
      </c>
      <c r="R150" s="335" t="b">
        <f>K150='d5'!J230</f>
        <v>1</v>
      </c>
    </row>
    <row r="151" spans="1:18" ht="230.25" thickTop="1" thickBot="1" x14ac:dyDescent="0.25">
      <c r="A151" s="364" t="s">
        <v>595</v>
      </c>
      <c r="B151" s="364" t="s">
        <v>286</v>
      </c>
      <c r="C151" s="364" t="s">
        <v>284</v>
      </c>
      <c r="D151" s="364" t="s">
        <v>285</v>
      </c>
      <c r="E151" s="363">
        <f>F151</f>
        <v>2632900</v>
      </c>
      <c r="F151" s="228">
        <f>((2688500)+93400)-103170-30500-15330</f>
        <v>2632900</v>
      </c>
      <c r="G151" s="228">
        <f>((1800000)-87400)-103170</f>
        <v>1609430</v>
      </c>
      <c r="H151" s="228">
        <f>(50000+2500+56700+3300)</f>
        <v>112500</v>
      </c>
      <c r="I151" s="228"/>
      <c r="J151" s="363">
        <f>L151+O151</f>
        <v>49000</v>
      </c>
      <c r="K151" s="228">
        <v>49000</v>
      </c>
      <c r="L151" s="228"/>
      <c r="M151" s="228"/>
      <c r="N151" s="228"/>
      <c r="O151" s="361">
        <f>K151</f>
        <v>49000</v>
      </c>
      <c r="P151" s="363">
        <f>E151+J151</f>
        <v>2681900</v>
      </c>
      <c r="Q151" s="334"/>
      <c r="R151" s="335" t="b">
        <f>K151='d5'!J232</f>
        <v>1</v>
      </c>
    </row>
    <row r="152" spans="1:18" ht="93" hidden="1" thickTop="1" thickBot="1" x14ac:dyDescent="0.25">
      <c r="A152" s="364" t="s">
        <v>634</v>
      </c>
      <c r="B152" s="364" t="s">
        <v>510</v>
      </c>
      <c r="C152" s="364" t="s">
        <v>511</v>
      </c>
      <c r="D152" s="364" t="s">
        <v>512</v>
      </c>
      <c r="E152" s="363">
        <f>F152</f>
        <v>0</v>
      </c>
      <c r="F152" s="228">
        <f>(34016813)-19850000-9713396-4453417</f>
        <v>0</v>
      </c>
      <c r="G152" s="228"/>
      <c r="H152" s="228"/>
      <c r="I152" s="228"/>
      <c r="J152" s="363">
        <f>L152+O152</f>
        <v>0</v>
      </c>
      <c r="K152" s="228"/>
      <c r="L152" s="228"/>
      <c r="M152" s="228"/>
      <c r="N152" s="228"/>
      <c r="O152" s="361">
        <f>K152</f>
        <v>0</v>
      </c>
      <c r="P152" s="363">
        <f>E152+J152</f>
        <v>0</v>
      </c>
      <c r="Q152" s="334"/>
      <c r="R152" s="335"/>
    </row>
    <row r="153" spans="1:18" ht="93" thickTop="1" thickBot="1" x14ac:dyDescent="0.25">
      <c r="A153" s="364" t="s">
        <v>635</v>
      </c>
      <c r="B153" s="364" t="s">
        <v>343</v>
      </c>
      <c r="C153" s="364" t="s">
        <v>345</v>
      </c>
      <c r="D153" s="364" t="s">
        <v>344</v>
      </c>
      <c r="E153" s="363">
        <f>F153</f>
        <v>63740442</v>
      </c>
      <c r="F153" s="228">
        <f>(((30868629+9713396+4453417)+6500000)+5400000)+6900000-95000</f>
        <v>63740442</v>
      </c>
      <c r="G153" s="228"/>
      <c r="H153" s="228"/>
      <c r="I153" s="228"/>
      <c r="J153" s="363">
        <f>L153+O153</f>
        <v>0</v>
      </c>
      <c r="K153" s="228"/>
      <c r="L153" s="228"/>
      <c r="M153" s="228"/>
      <c r="N153" s="228"/>
      <c r="O153" s="361">
        <f>K153</f>
        <v>0</v>
      </c>
      <c r="P153" s="363">
        <f>E153+J153</f>
        <v>63740442</v>
      </c>
      <c r="Q153" s="334"/>
      <c r="R153" s="335"/>
    </row>
    <row r="154" spans="1:18" ht="136.5" thickTop="1" thickBot="1" x14ac:dyDescent="0.25">
      <c r="A154" s="451" t="s">
        <v>206</v>
      </c>
      <c r="B154" s="451"/>
      <c r="C154" s="451"/>
      <c r="D154" s="452" t="s">
        <v>432</v>
      </c>
      <c r="E154" s="453">
        <f>E155</f>
        <v>7926912</v>
      </c>
      <c r="F154" s="454">
        <f t="shared" ref="F154:G154" si="90">F155</f>
        <v>7926912</v>
      </c>
      <c r="G154" s="454">
        <f t="shared" si="90"/>
        <v>0</v>
      </c>
      <c r="H154" s="454">
        <f>H155</f>
        <v>0</v>
      </c>
      <c r="I154" s="453">
        <f t="shared" ref="I154" si="91">I155</f>
        <v>0</v>
      </c>
      <c r="J154" s="453">
        <f>J155</f>
        <v>1024064</v>
      </c>
      <c r="K154" s="454">
        <f>K155</f>
        <v>1024064</v>
      </c>
      <c r="L154" s="454">
        <f>L155</f>
        <v>0</v>
      </c>
      <c r="M154" s="454">
        <f t="shared" ref="M154" si="92">M155</f>
        <v>0</v>
      </c>
      <c r="N154" s="453">
        <f>N155</f>
        <v>0</v>
      </c>
      <c r="O154" s="453">
        <f>O155</f>
        <v>1024064</v>
      </c>
      <c r="P154" s="454">
        <f t="shared" ref="P154" si="93">P155</f>
        <v>8950976</v>
      </c>
    </row>
    <row r="155" spans="1:18" ht="136.5" thickTop="1" thickBot="1" x14ac:dyDescent="0.25">
      <c r="A155" s="455" t="s">
        <v>207</v>
      </c>
      <c r="B155" s="455"/>
      <c r="C155" s="455"/>
      <c r="D155" s="456" t="s">
        <v>433</v>
      </c>
      <c r="E155" s="457">
        <f>SUM(E156:E160)</f>
        <v>7926912</v>
      </c>
      <c r="F155" s="457">
        <f>SUM(F156:F160)</f>
        <v>7926912</v>
      </c>
      <c r="G155" s="457">
        <f>SUM(G156:G160)</f>
        <v>0</v>
      </c>
      <c r="H155" s="457">
        <f>SUM(H156:H160)</f>
        <v>0</v>
      </c>
      <c r="I155" s="457">
        <f>SUM(I156:I160)</f>
        <v>0</v>
      </c>
      <c r="J155" s="457">
        <f t="shared" ref="J155:J159" si="94">L155+O155</f>
        <v>1024064</v>
      </c>
      <c r="K155" s="457">
        <f>SUM(K156:K160)</f>
        <v>1024064</v>
      </c>
      <c r="L155" s="457">
        <f>SUM(L156:L160)</f>
        <v>0</v>
      </c>
      <c r="M155" s="457">
        <f>SUM(M156:M160)</f>
        <v>0</v>
      </c>
      <c r="N155" s="457">
        <f>SUM(N156:N160)</f>
        <v>0</v>
      </c>
      <c r="O155" s="457">
        <f>SUM(O156:O160)</f>
        <v>1024064</v>
      </c>
      <c r="P155" s="458">
        <f t="shared" ref="P155:P159" si="95">E155+J155</f>
        <v>8950976</v>
      </c>
      <c r="Q155" s="334" t="b">
        <f>P155=P156+P157+P158+P159+P160</f>
        <v>1</v>
      </c>
      <c r="R155" s="335" t="b">
        <f>K155='d5'!J234</f>
        <v>1</v>
      </c>
    </row>
    <row r="156" spans="1:18" ht="138.75" hidden="1" thickTop="1" thickBot="1" x14ac:dyDescent="0.25">
      <c r="A156" s="406" t="s">
        <v>427</v>
      </c>
      <c r="B156" s="406" t="s">
        <v>428</v>
      </c>
      <c r="C156" s="406" t="s">
        <v>210</v>
      </c>
      <c r="D156" s="406" t="s">
        <v>313</v>
      </c>
      <c r="E156" s="407">
        <f>F156</f>
        <v>0</v>
      </c>
      <c r="F156" s="410"/>
      <c r="G156" s="410"/>
      <c r="H156" s="410"/>
      <c r="I156" s="410"/>
      <c r="J156" s="407">
        <f t="shared" si="94"/>
        <v>0</v>
      </c>
      <c r="K156" s="410">
        <f>(3000000)-3000000</f>
        <v>0</v>
      </c>
      <c r="L156" s="410"/>
      <c r="M156" s="410"/>
      <c r="N156" s="410"/>
      <c r="O156" s="409">
        <f>K156</f>
        <v>0</v>
      </c>
      <c r="P156" s="407">
        <f t="shared" si="95"/>
        <v>0</v>
      </c>
      <c r="R156" s="335" t="b">
        <f>K156='d5'!J235</f>
        <v>1</v>
      </c>
    </row>
    <row r="157" spans="1:18" ht="93" thickTop="1" thickBot="1" x14ac:dyDescent="0.25">
      <c r="A157" s="364" t="s">
        <v>311</v>
      </c>
      <c r="B157" s="364" t="s">
        <v>312</v>
      </c>
      <c r="C157" s="364" t="s">
        <v>310</v>
      </c>
      <c r="D157" s="364" t="s">
        <v>309</v>
      </c>
      <c r="E157" s="363">
        <f t="shared" ref="E157:E159" si="96">F157</f>
        <v>4835555</v>
      </c>
      <c r="F157" s="228">
        <f>((4319000)+500000)+16555</f>
        <v>4835555</v>
      </c>
      <c r="G157" s="228"/>
      <c r="H157" s="228"/>
      <c r="I157" s="228"/>
      <c r="J157" s="363">
        <f t="shared" si="94"/>
        <v>0</v>
      </c>
      <c r="K157" s="228"/>
      <c r="L157" s="228"/>
      <c r="M157" s="228"/>
      <c r="N157" s="228"/>
      <c r="O157" s="361">
        <f>K157</f>
        <v>0</v>
      </c>
      <c r="P157" s="363">
        <f t="shared" si="95"/>
        <v>4835555</v>
      </c>
      <c r="R157" s="335"/>
    </row>
    <row r="158" spans="1:18" ht="138.75" thickTop="1" thickBot="1" x14ac:dyDescent="0.25">
      <c r="A158" s="364" t="s">
        <v>303</v>
      </c>
      <c r="B158" s="364" t="s">
        <v>305</v>
      </c>
      <c r="C158" s="364" t="s">
        <v>263</v>
      </c>
      <c r="D158" s="364" t="s">
        <v>304</v>
      </c>
      <c r="E158" s="363">
        <f t="shared" si="96"/>
        <v>320000</v>
      </c>
      <c r="F158" s="228">
        <f>(420000)-100000</f>
        <v>320000</v>
      </c>
      <c r="G158" s="228"/>
      <c r="H158" s="228"/>
      <c r="I158" s="228"/>
      <c r="J158" s="363">
        <f t="shared" si="94"/>
        <v>0</v>
      </c>
      <c r="K158" s="228"/>
      <c r="L158" s="228"/>
      <c r="M158" s="228"/>
      <c r="N158" s="228"/>
      <c r="O158" s="361">
        <f>K158</f>
        <v>0</v>
      </c>
      <c r="P158" s="363">
        <f t="shared" si="95"/>
        <v>320000</v>
      </c>
      <c r="R158" s="335"/>
    </row>
    <row r="159" spans="1:18" ht="93" thickTop="1" thickBot="1" x14ac:dyDescent="0.25">
      <c r="A159" s="364" t="s">
        <v>307</v>
      </c>
      <c r="B159" s="364" t="s">
        <v>308</v>
      </c>
      <c r="C159" s="364" t="s">
        <v>210</v>
      </c>
      <c r="D159" s="364" t="s">
        <v>306</v>
      </c>
      <c r="E159" s="363">
        <f t="shared" si="96"/>
        <v>2771357</v>
      </c>
      <c r="F159" s="228">
        <f>(((3285765)-50000-220000)-200000)-8-600-5000-38800</f>
        <v>2771357</v>
      </c>
      <c r="G159" s="228"/>
      <c r="H159" s="228"/>
      <c r="I159" s="228"/>
      <c r="J159" s="363">
        <f t="shared" si="94"/>
        <v>524064</v>
      </c>
      <c r="K159" s="228">
        <f>(((200000)+220000)+200000)-15936-80000</f>
        <v>524064</v>
      </c>
      <c r="L159" s="228"/>
      <c r="M159" s="228"/>
      <c r="N159" s="228"/>
      <c r="O159" s="361">
        <f>K159</f>
        <v>524064</v>
      </c>
      <c r="P159" s="363">
        <f t="shared" si="95"/>
        <v>3295421</v>
      </c>
      <c r="R159" s="335" t="b">
        <f>K159='d5'!J236</f>
        <v>1</v>
      </c>
    </row>
    <row r="160" spans="1:18" s="482" customFormat="1" ht="93" thickTop="1" thickBot="1" x14ac:dyDescent="0.25">
      <c r="A160" s="484" t="s">
        <v>996</v>
      </c>
      <c r="B160" s="484" t="s">
        <v>443</v>
      </c>
      <c r="C160" s="484" t="s">
        <v>53</v>
      </c>
      <c r="D160" s="484" t="s">
        <v>444</v>
      </c>
      <c r="E160" s="483">
        <f t="shared" ref="E160" si="97">F160</f>
        <v>0</v>
      </c>
      <c r="F160" s="228"/>
      <c r="G160" s="228"/>
      <c r="H160" s="228"/>
      <c r="I160" s="228"/>
      <c r="J160" s="483">
        <f t="shared" ref="J160" si="98">L160+O160</f>
        <v>500000</v>
      </c>
      <c r="K160" s="228">
        <v>500000</v>
      </c>
      <c r="L160" s="228"/>
      <c r="M160" s="228"/>
      <c r="N160" s="228"/>
      <c r="O160" s="485">
        <f>K160</f>
        <v>500000</v>
      </c>
      <c r="P160" s="483">
        <f t="shared" ref="P160" si="99">E160+J160</f>
        <v>500000</v>
      </c>
      <c r="R160" s="335" t="b">
        <f>K160='d5'!J237</f>
        <v>1</v>
      </c>
    </row>
    <row r="161" spans="1:18" ht="136.5" thickTop="1" thickBot="1" x14ac:dyDescent="0.25">
      <c r="A161" s="451" t="s">
        <v>204</v>
      </c>
      <c r="B161" s="451"/>
      <c r="C161" s="451"/>
      <c r="D161" s="452" t="s">
        <v>32</v>
      </c>
      <c r="E161" s="453">
        <f>E162</f>
        <v>4801190</v>
      </c>
      <c r="F161" s="454">
        <f t="shared" ref="F161:G161" si="100">F162</f>
        <v>4801190</v>
      </c>
      <c r="G161" s="454">
        <f t="shared" si="100"/>
        <v>3624300</v>
      </c>
      <c r="H161" s="454">
        <f>H162</f>
        <v>99381</v>
      </c>
      <c r="I161" s="453">
        <f t="shared" ref="I161" si="101">I162</f>
        <v>0</v>
      </c>
      <c r="J161" s="453">
        <f>J162</f>
        <v>965963.28</v>
      </c>
      <c r="K161" s="454">
        <f>K162</f>
        <v>0</v>
      </c>
      <c r="L161" s="454">
        <f>L162</f>
        <v>477857.28000000003</v>
      </c>
      <c r="M161" s="454">
        <f t="shared" ref="M161" si="102">M162</f>
        <v>0</v>
      </c>
      <c r="N161" s="453">
        <f>N162</f>
        <v>0</v>
      </c>
      <c r="O161" s="453">
        <f>O162</f>
        <v>488106</v>
      </c>
      <c r="P161" s="454">
        <f t="shared" ref="P161" si="103">P162</f>
        <v>5767153.2800000003</v>
      </c>
    </row>
    <row r="162" spans="1:18" ht="181.5" thickTop="1" thickBot="1" x14ac:dyDescent="0.25">
      <c r="A162" s="455" t="s">
        <v>205</v>
      </c>
      <c r="B162" s="455"/>
      <c r="C162" s="455"/>
      <c r="D162" s="456" t="s">
        <v>49</v>
      </c>
      <c r="E162" s="457">
        <f>SUM(E163:E168)</f>
        <v>4801190</v>
      </c>
      <c r="F162" s="457">
        <f>SUM(F163:F168)</f>
        <v>4801190</v>
      </c>
      <c r="G162" s="457">
        <f>SUM(G163:G168)</f>
        <v>3624300</v>
      </c>
      <c r="H162" s="457">
        <f>SUM(H163:H168)</f>
        <v>99381</v>
      </c>
      <c r="I162" s="457">
        <f>SUM(I163:I168)</f>
        <v>0</v>
      </c>
      <c r="J162" s="457">
        <f t="shared" ref="J162:J168" si="104">L162+O162</f>
        <v>965963.28</v>
      </c>
      <c r="K162" s="457">
        <f>SUM(K163:K168)</f>
        <v>0</v>
      </c>
      <c r="L162" s="457">
        <f>SUM(L163:L168)</f>
        <v>477857.28000000003</v>
      </c>
      <c r="M162" s="457">
        <f>SUM(M163:M168)</f>
        <v>0</v>
      </c>
      <c r="N162" s="457">
        <f>SUM(N163:N168)</f>
        <v>0</v>
      </c>
      <c r="O162" s="457">
        <f>SUM(O163:O168)</f>
        <v>488106</v>
      </c>
      <c r="P162" s="458">
        <f t="shared" ref="P162:P168" si="105">E162+J162</f>
        <v>5767153.2800000003</v>
      </c>
      <c r="Q162" s="334" t="b">
        <f>P162=P165+P168+P163+P166+P167+P164</f>
        <v>1</v>
      </c>
      <c r="R162" s="335"/>
    </row>
    <row r="163" spans="1:18" s="222" customFormat="1" ht="230.25" thickTop="1" thickBot="1" x14ac:dyDescent="0.25">
      <c r="A163" s="364" t="s">
        <v>523</v>
      </c>
      <c r="B163" s="364" t="s">
        <v>286</v>
      </c>
      <c r="C163" s="364" t="s">
        <v>284</v>
      </c>
      <c r="D163" s="364" t="s">
        <v>285</v>
      </c>
      <c r="E163" s="363">
        <f>F163</f>
        <v>4762390</v>
      </c>
      <c r="F163" s="228">
        <f>((4823390)-61000)</f>
        <v>4762390</v>
      </c>
      <c r="G163" s="228">
        <f>((3674300)-50000)</f>
        <v>3624300</v>
      </c>
      <c r="H163" s="228">
        <f>(75551+1316+17590+2424)+2500</f>
        <v>99381</v>
      </c>
      <c r="I163" s="228"/>
      <c r="J163" s="363">
        <f t="shared" si="104"/>
        <v>0</v>
      </c>
      <c r="K163" s="228"/>
      <c r="L163" s="228"/>
      <c r="M163" s="228"/>
      <c r="N163" s="228"/>
      <c r="O163" s="361">
        <f>K163</f>
        <v>0</v>
      </c>
      <c r="P163" s="363">
        <f t="shared" si="105"/>
        <v>4762390</v>
      </c>
      <c r="Q163" s="220"/>
      <c r="R163" s="221"/>
    </row>
    <row r="164" spans="1:18" s="222" customFormat="1" ht="93" thickTop="1" thickBot="1" x14ac:dyDescent="0.25">
      <c r="A164" s="364" t="s">
        <v>938</v>
      </c>
      <c r="B164" s="364" t="s">
        <v>308</v>
      </c>
      <c r="C164" s="364" t="s">
        <v>210</v>
      </c>
      <c r="D164" s="364" t="s">
        <v>306</v>
      </c>
      <c r="E164" s="363">
        <f>F164</f>
        <v>38800</v>
      </c>
      <c r="F164" s="228">
        <f>38800</f>
        <v>38800</v>
      </c>
      <c r="G164" s="228"/>
      <c r="H164" s="228"/>
      <c r="I164" s="228"/>
      <c r="J164" s="363">
        <f t="shared" si="104"/>
        <v>0</v>
      </c>
      <c r="K164" s="228"/>
      <c r="L164" s="228"/>
      <c r="M164" s="228"/>
      <c r="N164" s="228"/>
      <c r="O164" s="361">
        <f>K164</f>
        <v>0</v>
      </c>
      <c r="P164" s="363">
        <f t="shared" si="105"/>
        <v>38800</v>
      </c>
      <c r="Q164" s="220"/>
      <c r="R164" s="221"/>
    </row>
    <row r="165" spans="1:18" s="222" customFormat="1" ht="138.75" thickTop="1" thickBot="1" x14ac:dyDescent="0.25">
      <c r="A165" s="364" t="s">
        <v>366</v>
      </c>
      <c r="B165" s="364" t="s">
        <v>367</v>
      </c>
      <c r="C165" s="364" t="s">
        <v>62</v>
      </c>
      <c r="D165" s="364" t="s">
        <v>63</v>
      </c>
      <c r="E165" s="363">
        <f t="shared" ref="E165:E167" si="106">F165</f>
        <v>0</v>
      </c>
      <c r="F165" s="228"/>
      <c r="G165" s="228"/>
      <c r="H165" s="228"/>
      <c r="I165" s="228"/>
      <c r="J165" s="363">
        <f t="shared" si="104"/>
        <v>738106</v>
      </c>
      <c r="K165" s="228"/>
      <c r="L165" s="228">
        <f>(30000)+290000</f>
        <v>320000</v>
      </c>
      <c r="M165" s="228"/>
      <c r="N165" s="228"/>
      <c r="O165" s="361">
        <f>(K165+370000)+48106</f>
        <v>418106</v>
      </c>
      <c r="P165" s="363">
        <f t="shared" si="105"/>
        <v>738106</v>
      </c>
    </row>
    <row r="166" spans="1:18" s="222" customFormat="1" ht="48" thickTop="1" thickBot="1" x14ac:dyDescent="0.25">
      <c r="A166" s="364" t="s">
        <v>650</v>
      </c>
      <c r="B166" s="364" t="s">
        <v>651</v>
      </c>
      <c r="C166" s="364" t="s">
        <v>644</v>
      </c>
      <c r="D166" s="364" t="s">
        <v>652</v>
      </c>
      <c r="E166" s="363">
        <f t="shared" si="106"/>
        <v>0</v>
      </c>
      <c r="F166" s="228"/>
      <c r="G166" s="228"/>
      <c r="H166" s="228"/>
      <c r="I166" s="228"/>
      <c r="J166" s="363">
        <f t="shared" si="104"/>
        <v>70000</v>
      </c>
      <c r="K166" s="228"/>
      <c r="L166" s="228"/>
      <c r="M166" s="228"/>
      <c r="N166" s="228"/>
      <c r="O166" s="361">
        <f>K166+70000</f>
        <v>70000</v>
      </c>
      <c r="P166" s="363">
        <f t="shared" si="105"/>
        <v>70000</v>
      </c>
    </row>
    <row r="167" spans="1:18" s="222" customFormat="1" ht="93" thickTop="1" thickBot="1" x14ac:dyDescent="0.25">
      <c r="A167" s="364" t="s">
        <v>759</v>
      </c>
      <c r="B167" s="364" t="s">
        <v>757</v>
      </c>
      <c r="C167" s="364" t="s">
        <v>760</v>
      </c>
      <c r="D167" s="364" t="s">
        <v>758</v>
      </c>
      <c r="E167" s="363">
        <f t="shared" si="106"/>
        <v>0</v>
      </c>
      <c r="F167" s="228"/>
      <c r="G167" s="228"/>
      <c r="H167" s="228"/>
      <c r="I167" s="228"/>
      <c r="J167" s="363">
        <f t="shared" si="104"/>
        <v>63670</v>
      </c>
      <c r="K167" s="228"/>
      <c r="L167" s="228">
        <v>63670</v>
      </c>
      <c r="M167" s="228"/>
      <c r="N167" s="228"/>
      <c r="O167" s="361">
        <f>K167</f>
        <v>0</v>
      </c>
      <c r="P167" s="363">
        <f t="shared" si="105"/>
        <v>63670</v>
      </c>
    </row>
    <row r="168" spans="1:18" s="222" customFormat="1" ht="93" thickTop="1" thickBot="1" x14ac:dyDescent="0.25">
      <c r="A168" s="364" t="s">
        <v>368</v>
      </c>
      <c r="B168" s="364" t="s">
        <v>369</v>
      </c>
      <c r="C168" s="364" t="s">
        <v>64</v>
      </c>
      <c r="D168" s="364" t="s">
        <v>653</v>
      </c>
      <c r="E168" s="363">
        <v>0</v>
      </c>
      <c r="F168" s="228"/>
      <c r="G168" s="228"/>
      <c r="H168" s="228"/>
      <c r="I168" s="228"/>
      <c r="J168" s="363">
        <f t="shared" si="104"/>
        <v>94187.28</v>
      </c>
      <c r="K168" s="363"/>
      <c r="L168" s="228">
        <f>(30000)+64187.28</f>
        <v>94187.28</v>
      </c>
      <c r="M168" s="228"/>
      <c r="N168" s="228"/>
      <c r="O168" s="361">
        <f>K168</f>
        <v>0</v>
      </c>
      <c r="P168" s="363">
        <f t="shared" si="105"/>
        <v>94187.28</v>
      </c>
    </row>
    <row r="169" spans="1:18" ht="271.5" thickTop="1" thickBot="1" x14ac:dyDescent="0.25">
      <c r="A169" s="451" t="s">
        <v>202</v>
      </c>
      <c r="B169" s="451"/>
      <c r="C169" s="451"/>
      <c r="D169" s="452" t="s">
        <v>930</v>
      </c>
      <c r="E169" s="453">
        <f>E170</f>
        <v>3252521</v>
      </c>
      <c r="F169" s="454">
        <f t="shared" ref="F169:G169" si="107">F170</f>
        <v>3252521</v>
      </c>
      <c r="G169" s="454">
        <f t="shared" si="107"/>
        <v>2300000</v>
      </c>
      <c r="H169" s="454">
        <f>H170</f>
        <v>60000</v>
      </c>
      <c r="I169" s="453">
        <f t="shared" ref="I169" si="108">I170</f>
        <v>0</v>
      </c>
      <c r="J169" s="453">
        <f>J170</f>
        <v>300000</v>
      </c>
      <c r="K169" s="454">
        <f>K170</f>
        <v>300000</v>
      </c>
      <c r="L169" s="454">
        <f>L170</f>
        <v>0</v>
      </c>
      <c r="M169" s="454">
        <f t="shared" ref="M169" si="109">M170</f>
        <v>0</v>
      </c>
      <c r="N169" s="453">
        <f>N170</f>
        <v>0</v>
      </c>
      <c r="O169" s="453">
        <f>O170</f>
        <v>300000</v>
      </c>
      <c r="P169" s="454">
        <f t="shared" ref="P169" si="110">P170</f>
        <v>3552521</v>
      </c>
    </row>
    <row r="170" spans="1:18" ht="271.5" thickTop="1" thickBot="1" x14ac:dyDescent="0.25">
      <c r="A170" s="455" t="s">
        <v>203</v>
      </c>
      <c r="B170" s="455"/>
      <c r="C170" s="455"/>
      <c r="D170" s="456" t="s">
        <v>931</v>
      </c>
      <c r="E170" s="457">
        <f>SUM(E171:E173)</f>
        <v>3252521</v>
      </c>
      <c r="F170" s="457">
        <f t="shared" ref="F170:N170" si="111">SUM(F171:F173)</f>
        <v>3252521</v>
      </c>
      <c r="G170" s="457">
        <f t="shared" si="111"/>
        <v>2300000</v>
      </c>
      <c r="H170" s="457">
        <f t="shared" si="111"/>
        <v>60000</v>
      </c>
      <c r="I170" s="457">
        <f t="shared" si="111"/>
        <v>0</v>
      </c>
      <c r="J170" s="457">
        <f>L170+O170</f>
        <v>300000</v>
      </c>
      <c r="K170" s="457">
        <f t="shared" si="111"/>
        <v>300000</v>
      </c>
      <c r="L170" s="457">
        <f t="shared" si="111"/>
        <v>0</v>
      </c>
      <c r="M170" s="457">
        <f t="shared" si="111"/>
        <v>0</v>
      </c>
      <c r="N170" s="457">
        <f t="shared" si="111"/>
        <v>0</v>
      </c>
      <c r="O170" s="457">
        <f>SUM(O171:O173)</f>
        <v>300000</v>
      </c>
      <c r="P170" s="458">
        <f>E170+J170</f>
        <v>3552521</v>
      </c>
      <c r="Q170" s="334" t="b">
        <f>P170=P172+P173+P171</f>
        <v>1</v>
      </c>
      <c r="R170" s="334" t="b">
        <f>K170='d5'!J238</f>
        <v>1</v>
      </c>
    </row>
    <row r="171" spans="1:18" ht="230.25" thickTop="1" thickBot="1" x14ac:dyDescent="0.25">
      <c r="A171" s="364" t="s">
        <v>519</v>
      </c>
      <c r="B171" s="364" t="s">
        <v>286</v>
      </c>
      <c r="C171" s="364" t="s">
        <v>284</v>
      </c>
      <c r="D171" s="364" t="s">
        <v>285</v>
      </c>
      <c r="E171" s="363">
        <f>F171</f>
        <v>3252521</v>
      </c>
      <c r="F171" s="228">
        <f>((4174521)-201000)-661000-60000</f>
        <v>3252521</v>
      </c>
      <c r="G171" s="228">
        <f>(3150000-189000)-661000</f>
        <v>2300000</v>
      </c>
      <c r="H171" s="228">
        <f>43000+1200+15800</f>
        <v>60000</v>
      </c>
      <c r="I171" s="228"/>
      <c r="J171" s="363">
        <f>L171+O171</f>
        <v>0</v>
      </c>
      <c r="K171" s="228"/>
      <c r="L171" s="228"/>
      <c r="M171" s="228"/>
      <c r="N171" s="228"/>
      <c r="O171" s="361">
        <f>K171</f>
        <v>0</v>
      </c>
      <c r="P171" s="363">
        <f>E171+J171</f>
        <v>3252521</v>
      </c>
      <c r="Q171" s="334"/>
      <c r="R171" s="334"/>
    </row>
    <row r="172" spans="1:18" ht="93" thickTop="1" thickBot="1" x14ac:dyDescent="0.25">
      <c r="A172" s="364" t="s">
        <v>363</v>
      </c>
      <c r="B172" s="364" t="s">
        <v>364</v>
      </c>
      <c r="C172" s="364" t="s">
        <v>365</v>
      </c>
      <c r="D172" s="364" t="s">
        <v>621</v>
      </c>
      <c r="E172" s="363">
        <f>F172</f>
        <v>0</v>
      </c>
      <c r="F172" s="228"/>
      <c r="G172" s="228"/>
      <c r="H172" s="228"/>
      <c r="I172" s="228"/>
      <c r="J172" s="363">
        <f>L172+O172</f>
        <v>250000</v>
      </c>
      <c r="K172" s="228">
        <v>250000</v>
      </c>
      <c r="L172" s="228"/>
      <c r="M172" s="228"/>
      <c r="N172" s="228"/>
      <c r="O172" s="361">
        <f>K172</f>
        <v>250000</v>
      </c>
      <c r="P172" s="363">
        <f>E172+J172</f>
        <v>250000</v>
      </c>
    </row>
    <row r="173" spans="1:18" ht="138.75" thickTop="1" thickBot="1" x14ac:dyDescent="0.25">
      <c r="A173" s="364" t="s">
        <v>448</v>
      </c>
      <c r="B173" s="364" t="s">
        <v>449</v>
      </c>
      <c r="C173" s="364" t="s">
        <v>210</v>
      </c>
      <c r="D173" s="364" t="s">
        <v>450</v>
      </c>
      <c r="E173" s="363">
        <f>F173</f>
        <v>0</v>
      </c>
      <c r="F173" s="228"/>
      <c r="G173" s="228"/>
      <c r="H173" s="228"/>
      <c r="I173" s="228"/>
      <c r="J173" s="363">
        <f>L173+O173</f>
        <v>50000</v>
      </c>
      <c r="K173" s="228">
        <v>50000</v>
      </c>
      <c r="L173" s="228"/>
      <c r="M173" s="228"/>
      <c r="N173" s="228"/>
      <c r="O173" s="361">
        <f>K173</f>
        <v>50000</v>
      </c>
      <c r="P173" s="363">
        <f>E173+J173</f>
        <v>50000</v>
      </c>
    </row>
    <row r="174" spans="1:18" ht="136.5" thickTop="1" thickBot="1" x14ac:dyDescent="0.25">
      <c r="A174" s="451" t="s">
        <v>208</v>
      </c>
      <c r="B174" s="451"/>
      <c r="C174" s="451"/>
      <c r="D174" s="452" t="s">
        <v>33</v>
      </c>
      <c r="E174" s="453">
        <f>E175</f>
        <v>79743974</v>
      </c>
      <c r="F174" s="454">
        <f t="shared" ref="F174:G174" si="112">F175</f>
        <v>79743974</v>
      </c>
      <c r="G174" s="454">
        <f t="shared" si="112"/>
        <v>5488800</v>
      </c>
      <c r="H174" s="454">
        <f>H175</f>
        <v>127300</v>
      </c>
      <c r="I174" s="453">
        <f t="shared" ref="I174" si="113">I175</f>
        <v>0</v>
      </c>
      <c r="J174" s="453">
        <f>J175</f>
        <v>0</v>
      </c>
      <c r="K174" s="454">
        <f>K175</f>
        <v>0</v>
      </c>
      <c r="L174" s="454">
        <f>L175</f>
        <v>0</v>
      </c>
      <c r="M174" s="454">
        <f t="shared" ref="M174" si="114">M175</f>
        <v>0</v>
      </c>
      <c r="N174" s="453">
        <f>N175</f>
        <v>0</v>
      </c>
      <c r="O174" s="453">
        <f>O175</f>
        <v>0</v>
      </c>
      <c r="P174" s="454">
        <f t="shared" ref="P174" si="115">P175</f>
        <v>79743974</v>
      </c>
    </row>
    <row r="175" spans="1:18" ht="136.5" thickTop="1" thickBot="1" x14ac:dyDescent="0.25">
      <c r="A175" s="455" t="s">
        <v>209</v>
      </c>
      <c r="B175" s="455"/>
      <c r="C175" s="455"/>
      <c r="D175" s="456" t="s">
        <v>50</v>
      </c>
      <c r="E175" s="457">
        <f>SUM(E176:E179)</f>
        <v>79743974</v>
      </c>
      <c r="F175" s="457">
        <f t="shared" ref="F175:N175" si="116">SUM(F176:F179)</f>
        <v>79743974</v>
      </c>
      <c r="G175" s="457">
        <f t="shared" si="116"/>
        <v>5488800</v>
      </c>
      <c r="H175" s="457">
        <f t="shared" si="116"/>
        <v>127300</v>
      </c>
      <c r="I175" s="457">
        <f t="shared" si="116"/>
        <v>0</v>
      </c>
      <c r="J175" s="457">
        <f>L175+O175</f>
        <v>0</v>
      </c>
      <c r="K175" s="457">
        <f>SUM(K176:K179)</f>
        <v>0</v>
      </c>
      <c r="L175" s="457">
        <f t="shared" si="116"/>
        <v>0</v>
      </c>
      <c r="M175" s="457">
        <f t="shared" si="116"/>
        <v>0</v>
      </c>
      <c r="N175" s="457">
        <f t="shared" si="116"/>
        <v>0</v>
      </c>
      <c r="O175" s="457">
        <f>SUM(O176:O179)</f>
        <v>0</v>
      </c>
      <c r="P175" s="458">
        <f>E175+J175</f>
        <v>79743974</v>
      </c>
      <c r="Q175" s="334" t="b">
        <f>P175=P177+P178+P179+P176</f>
        <v>1</v>
      </c>
      <c r="R175" s="335"/>
    </row>
    <row r="176" spans="1:18" ht="230.25" thickTop="1" thickBot="1" x14ac:dyDescent="0.25">
      <c r="A176" s="364" t="s">
        <v>521</v>
      </c>
      <c r="B176" s="364" t="s">
        <v>286</v>
      </c>
      <c r="C176" s="364" t="s">
        <v>284</v>
      </c>
      <c r="D176" s="364" t="s">
        <v>285</v>
      </c>
      <c r="E176" s="363">
        <f>F176</f>
        <v>6908020</v>
      </c>
      <c r="F176" s="228">
        <f>(((7922300)-511000)-273280)-200000-30000</f>
        <v>6908020</v>
      </c>
      <c r="G176" s="228">
        <f>(((6138800)-300000)-150000)-200000</f>
        <v>5488800</v>
      </c>
      <c r="H176" s="228">
        <f>(70000+2000+50000+3300)+2000</f>
        <v>127300</v>
      </c>
      <c r="I176" s="228"/>
      <c r="J176" s="363">
        <f>L176+O176</f>
        <v>0</v>
      </c>
      <c r="K176" s="228"/>
      <c r="L176" s="228"/>
      <c r="M176" s="228"/>
      <c r="N176" s="228"/>
      <c r="O176" s="361">
        <f>K176</f>
        <v>0</v>
      </c>
      <c r="P176" s="363">
        <f>E176+J176</f>
        <v>6908020</v>
      </c>
      <c r="Q176" s="334"/>
      <c r="R176" s="335"/>
    </row>
    <row r="177" spans="1:18" ht="48" thickTop="1" thickBot="1" x14ac:dyDescent="0.25">
      <c r="A177" s="229">
        <v>3718600</v>
      </c>
      <c r="B177" s="229">
        <v>8600</v>
      </c>
      <c r="C177" s="364" t="s">
        <v>442</v>
      </c>
      <c r="D177" s="229" t="s">
        <v>603</v>
      </c>
      <c r="E177" s="363">
        <f>F177</f>
        <v>676154</v>
      </c>
      <c r="F177" s="228">
        <f>(1176154)-500000</f>
        <v>676154</v>
      </c>
      <c r="G177" s="228"/>
      <c r="H177" s="228"/>
      <c r="I177" s="228"/>
      <c r="J177" s="363">
        <f>L177+O177</f>
        <v>0</v>
      </c>
      <c r="K177" s="228"/>
      <c r="L177" s="228"/>
      <c r="M177" s="228"/>
      <c r="N177" s="228"/>
      <c r="O177" s="361">
        <f>K177</f>
        <v>0</v>
      </c>
      <c r="P177" s="363">
        <f>E177+J177</f>
        <v>676154</v>
      </c>
    </row>
    <row r="178" spans="1:18" ht="48" thickTop="1" thickBot="1" x14ac:dyDescent="0.25">
      <c r="A178" s="229">
        <v>3718700</v>
      </c>
      <c r="B178" s="229">
        <v>8700</v>
      </c>
      <c r="C178" s="364" t="s">
        <v>52</v>
      </c>
      <c r="D178" s="230" t="s">
        <v>602</v>
      </c>
      <c r="E178" s="363">
        <f>F178</f>
        <v>900000</v>
      </c>
      <c r="F178" s="228">
        <f>(3000000-2000000)-100000</f>
        <v>900000</v>
      </c>
      <c r="G178" s="228"/>
      <c r="H178" s="228"/>
      <c r="I178" s="228"/>
      <c r="J178" s="363">
        <f>L178+O178</f>
        <v>0</v>
      </c>
      <c r="K178" s="228"/>
      <c r="L178" s="228"/>
      <c r="M178" s="228"/>
      <c r="N178" s="228"/>
      <c r="O178" s="361">
        <f>K178</f>
        <v>0</v>
      </c>
      <c r="P178" s="363">
        <f>E178+J178</f>
        <v>900000</v>
      </c>
    </row>
    <row r="179" spans="1:18" ht="48" thickTop="1" thickBot="1" x14ac:dyDescent="0.25">
      <c r="A179" s="229">
        <v>3719110</v>
      </c>
      <c r="B179" s="229">
        <v>9110</v>
      </c>
      <c r="C179" s="364" t="s">
        <v>53</v>
      </c>
      <c r="D179" s="230" t="s">
        <v>601</v>
      </c>
      <c r="E179" s="363">
        <f>F179</f>
        <v>71259800</v>
      </c>
      <c r="F179" s="228">
        <v>71259800</v>
      </c>
      <c r="G179" s="228"/>
      <c r="H179" s="228"/>
      <c r="I179" s="228"/>
      <c r="J179" s="363">
        <f>L179+O179</f>
        <v>0</v>
      </c>
      <c r="K179" s="228"/>
      <c r="L179" s="228"/>
      <c r="M179" s="228"/>
      <c r="N179" s="228"/>
      <c r="O179" s="361">
        <f>K179</f>
        <v>0</v>
      </c>
      <c r="P179" s="363">
        <f>E179+J179</f>
        <v>71259800</v>
      </c>
    </row>
    <row r="180" spans="1:18" ht="159.75" customHeight="1" thickTop="1" thickBot="1" x14ac:dyDescent="0.25">
      <c r="A180" s="175" t="s">
        <v>470</v>
      </c>
      <c r="B180" s="175" t="s">
        <v>470</v>
      </c>
      <c r="C180" s="175" t="s">
        <v>470</v>
      </c>
      <c r="D180" s="176" t="s">
        <v>480</v>
      </c>
      <c r="E180" s="177">
        <f>E17+E30+E101+E43+E57+E92+E116+E136+E146+E175+E155+E162+E170+E150</f>
        <v>2197703768.23</v>
      </c>
      <c r="F180" s="177">
        <f>F17+F30+F101+F43+F56+F92+F116+F136+F146+F175+F155+F162+F170+F150</f>
        <v>2197703768.23</v>
      </c>
      <c r="G180" s="177">
        <f t="shared" ref="G180:O180" si="117">G17+G30+G101+G43+G57+G92+G116+G136+G146+G175+G155+G162+G170+G150</f>
        <v>1051124697.76</v>
      </c>
      <c r="H180" s="177">
        <f t="shared" si="117"/>
        <v>66679932</v>
      </c>
      <c r="I180" s="177">
        <f t="shared" si="117"/>
        <v>0</v>
      </c>
      <c r="J180" s="177">
        <f t="shared" si="117"/>
        <v>510270058.23000002</v>
      </c>
      <c r="K180" s="177">
        <f t="shared" si="117"/>
        <v>359387882.25</v>
      </c>
      <c r="L180" s="177">
        <f t="shared" si="117"/>
        <v>148098271.28</v>
      </c>
      <c r="M180" s="177">
        <f t="shared" si="117"/>
        <v>45888596</v>
      </c>
      <c r="N180" s="177">
        <f t="shared" si="117"/>
        <v>9426912</v>
      </c>
      <c r="O180" s="177">
        <f t="shared" si="117"/>
        <v>362171786.95000005</v>
      </c>
      <c r="P180" s="177">
        <f>P17+P30+P101+P43+P56+P92+P116+P136+P146+P175+P155+P162+P170+P150</f>
        <v>2707973826.4600005</v>
      </c>
      <c r="Q180" s="93" t="b">
        <f>K180='d5'!J245</f>
        <v>1</v>
      </c>
      <c r="R180" s="93"/>
    </row>
    <row r="181" spans="1:18" ht="46.5" thickTop="1" x14ac:dyDescent="0.2">
      <c r="A181" s="573" t="s">
        <v>711</v>
      </c>
      <c r="B181" s="574"/>
      <c r="C181" s="574"/>
      <c r="D181" s="574"/>
      <c r="E181" s="574"/>
      <c r="F181" s="574"/>
      <c r="G181" s="574"/>
      <c r="H181" s="574"/>
      <c r="I181" s="574"/>
      <c r="J181" s="574"/>
      <c r="K181" s="574"/>
      <c r="L181" s="574"/>
      <c r="M181" s="574"/>
      <c r="N181" s="574"/>
      <c r="O181" s="574"/>
      <c r="P181" s="574"/>
      <c r="Q181" s="340"/>
    </row>
    <row r="182" spans="1:18" ht="60.75" hidden="1" x14ac:dyDescent="0.2">
      <c r="A182" s="380"/>
      <c r="B182" s="381"/>
      <c r="C182" s="381"/>
      <c r="D182" s="381"/>
      <c r="E182" s="158">
        <f>F182</f>
        <v>2197703768.23</v>
      </c>
      <c r="F182" s="158">
        <f>2202938938.65+5230514.58-6767985-3697700</f>
        <v>2197703768.23</v>
      </c>
      <c r="G182" s="158">
        <f>1049337190.54-1131347-233190.78+986310+2148915+16820</f>
        <v>1051124697.76</v>
      </c>
      <c r="H182" s="158">
        <f>77572092-23500-85000-10320600-30000-394000-39060</f>
        <v>66679932</v>
      </c>
      <c r="I182" s="158"/>
      <c r="J182" s="158">
        <f>499053876.81+13535973.42-2319792</f>
        <v>510270058.23000002</v>
      </c>
      <c r="K182" s="158">
        <f>348471700.83+13535973.42-2319792-300000</f>
        <v>359387882.25</v>
      </c>
      <c r="L182" s="158">
        <f>147808771.28-10500+300000</f>
        <v>148098271.28</v>
      </c>
      <c r="M182" s="158">
        <f>45850596+38000</f>
        <v>45888596</v>
      </c>
      <c r="N182" s="158">
        <v>9426912</v>
      </c>
      <c r="O182" s="158">
        <f>351245105.53+13535973.42-2319792+10500-300000</f>
        <v>362171786.94999999</v>
      </c>
      <c r="P182" s="158">
        <f>2701992815.46+18766488-2319792-6767985-3697700</f>
        <v>2707973826.46</v>
      </c>
      <c r="Q182" s="93" t="b">
        <f>E182+J182=P182</f>
        <v>1</v>
      </c>
      <c r="R182" s="340"/>
    </row>
    <row r="183" spans="1:18" ht="45.75" x14ac:dyDescent="0.2">
      <c r="A183" s="380"/>
      <c r="B183" s="381"/>
      <c r="C183" s="381"/>
      <c r="D183" s="381"/>
      <c r="E183" s="381"/>
      <c r="F183" s="381"/>
      <c r="G183" s="381"/>
      <c r="H183" s="381"/>
      <c r="I183" s="381"/>
      <c r="J183" s="381"/>
      <c r="K183" s="381"/>
      <c r="L183" s="381"/>
      <c r="M183" s="381"/>
      <c r="N183" s="381"/>
      <c r="O183" s="381"/>
      <c r="P183" s="381"/>
      <c r="Q183" s="340"/>
    </row>
    <row r="184" spans="1:18" ht="45.75" x14ac:dyDescent="0.65">
      <c r="A184" s="366"/>
      <c r="B184" s="366"/>
      <c r="C184" s="366"/>
      <c r="D184" s="541" t="s">
        <v>1001</v>
      </c>
      <c r="E184" s="541"/>
      <c r="F184" s="541"/>
      <c r="G184" s="541"/>
      <c r="H184" s="541"/>
      <c r="I184" s="541"/>
      <c r="J184" s="541"/>
      <c r="K184" s="541"/>
      <c r="L184" s="541"/>
      <c r="M184" s="541"/>
      <c r="N184" s="541"/>
      <c r="O184" s="541"/>
      <c r="P184" s="541"/>
      <c r="Q184" s="7"/>
    </row>
    <row r="185" spans="1:18" ht="150.75" hidden="1" customHeight="1" x14ac:dyDescent="0.65">
      <c r="D185" s="541" t="s">
        <v>923</v>
      </c>
      <c r="E185" s="541"/>
      <c r="F185" s="541"/>
      <c r="G185" s="541"/>
      <c r="H185" s="541"/>
      <c r="I185" s="541"/>
      <c r="J185" s="541"/>
      <c r="K185" s="541"/>
      <c r="L185" s="541"/>
      <c r="M185" s="541"/>
      <c r="N185" s="541"/>
      <c r="O185" s="541"/>
      <c r="P185" s="541"/>
    </row>
    <row r="186" spans="1:18" ht="95.25" customHeight="1" x14ac:dyDescent="0.55000000000000004">
      <c r="Q186" s="331"/>
    </row>
    <row r="187" spans="1:18" hidden="1" x14ac:dyDescent="0.2">
      <c r="E187" s="4"/>
      <c r="F187" s="3"/>
      <c r="J187" s="4"/>
      <c r="K187" s="4"/>
    </row>
    <row r="188" spans="1:18" hidden="1" x14ac:dyDescent="0.2">
      <c r="E188" s="4"/>
      <c r="F188" s="3"/>
      <c r="J188" s="4"/>
      <c r="K188" s="4"/>
    </row>
    <row r="189" spans="1:18" ht="60.75" x14ac:dyDescent="0.2">
      <c r="E189" s="93" t="b">
        <f>E182=E180</f>
        <v>1</v>
      </c>
      <c r="F189" s="93" t="b">
        <f>F182=F180</f>
        <v>1</v>
      </c>
      <c r="G189" s="93" t="b">
        <f>G182=G180</f>
        <v>1</v>
      </c>
      <c r="H189" s="93" t="b">
        <f t="shared" ref="H189:O189" si="118">H182=H180</f>
        <v>1</v>
      </c>
      <c r="I189" s="93" t="b">
        <f>I182=I180</f>
        <v>1</v>
      </c>
      <c r="J189" s="93" t="b">
        <f>J182=J180</f>
        <v>1</v>
      </c>
      <c r="K189" s="93" t="b">
        <f>K182=K180</f>
        <v>1</v>
      </c>
      <c r="L189" s="93" t="b">
        <f t="shared" si="118"/>
        <v>1</v>
      </c>
      <c r="M189" s="93" t="b">
        <f t="shared" si="118"/>
        <v>1</v>
      </c>
      <c r="N189" s="93" t="b">
        <f t="shared" si="118"/>
        <v>1</v>
      </c>
      <c r="O189" s="93" t="b">
        <f t="shared" si="118"/>
        <v>1</v>
      </c>
      <c r="P189" s="93" t="b">
        <f>P182=P180</f>
        <v>1</v>
      </c>
    </row>
    <row r="190" spans="1:18" ht="60.75" x14ac:dyDescent="0.2">
      <c r="E190" s="93" t="b">
        <f>E180=F180</f>
        <v>1</v>
      </c>
      <c r="F190" s="343">
        <f>F178/E180*100</f>
        <v>4.0951834046535192E-2</v>
      </c>
      <c r="G190" s="100" t="s">
        <v>388</v>
      </c>
      <c r="I190" s="344"/>
      <c r="J190" s="93" t="b">
        <f>J182=L182+O182</f>
        <v>1</v>
      </c>
      <c r="K190" s="345"/>
      <c r="L190" s="93"/>
      <c r="M190" s="344"/>
      <c r="N190" s="344"/>
      <c r="O190" s="93"/>
      <c r="P190" s="93" t="b">
        <f>E180+J180=P180</f>
        <v>1</v>
      </c>
    </row>
    <row r="191" spans="1:18" x14ac:dyDescent="0.2">
      <c r="E191" s="346"/>
      <c r="F191" s="347"/>
      <c r="G191" s="346"/>
      <c r="H191" s="346"/>
      <c r="I191" s="346"/>
      <c r="J191" s="4"/>
      <c r="K191" s="4"/>
    </row>
    <row r="192" spans="1:18" ht="45.75" x14ac:dyDescent="0.2">
      <c r="A192" s="359"/>
      <c r="B192" s="359"/>
      <c r="C192" s="359"/>
      <c r="D192" s="6"/>
      <c r="E192" s="359"/>
      <c r="F192" s="100">
        <f>F178/P180*100</f>
        <v>3.3235180901896873E-2</v>
      </c>
      <c r="G192" s="100" t="s">
        <v>388</v>
      </c>
      <c r="I192" s="6"/>
      <c r="J192" s="106"/>
      <c r="K192" s="106">
        <f>K180-K182</f>
        <v>0</v>
      </c>
      <c r="L192" s="106">
        <f t="shared" ref="L192:P192" si="119">L180-L182</f>
        <v>0</v>
      </c>
      <c r="M192" s="106">
        <f t="shared" si="119"/>
        <v>0</v>
      </c>
      <c r="N192" s="106">
        <f t="shared" si="119"/>
        <v>0</v>
      </c>
      <c r="O192" s="106">
        <f t="shared" si="119"/>
        <v>0</v>
      </c>
      <c r="P192" s="106">
        <f t="shared" si="119"/>
        <v>0</v>
      </c>
    </row>
    <row r="193" spans="1:18" ht="60.75" x14ac:dyDescent="0.2">
      <c r="D193" s="6"/>
      <c r="E193" s="106"/>
      <c r="F193" s="348">
        <f>F180-F182</f>
        <v>0</v>
      </c>
      <c r="G193" s="93">
        <f>G180-G182</f>
        <v>0</v>
      </c>
      <c r="I193" s="6"/>
      <c r="J193" s="106"/>
      <c r="K193" s="106"/>
      <c r="L193" s="250"/>
      <c r="P193" s="93"/>
      <c r="Q193" s="337"/>
      <c r="R193" s="93"/>
    </row>
    <row r="194" spans="1:18" ht="60.75" x14ac:dyDescent="0.2">
      <c r="A194" s="359"/>
      <c r="B194" s="359"/>
      <c r="C194" s="359"/>
      <c r="D194" s="6"/>
      <c r="E194" s="328"/>
      <c r="F194" s="328"/>
      <c r="G194" s="328"/>
      <c r="H194" s="328"/>
      <c r="I194" s="349"/>
      <c r="J194" s="328"/>
      <c r="K194" s="328"/>
      <c r="L194" s="328"/>
      <c r="M194" s="328"/>
      <c r="N194" s="328"/>
      <c r="O194" s="328"/>
      <c r="P194" s="328"/>
      <c r="Q194" s="337"/>
      <c r="R194" s="93"/>
    </row>
    <row r="195" spans="1:18" ht="60.75" x14ac:dyDescent="0.2">
      <c r="D195" s="6"/>
      <c r="E195" s="106"/>
      <c r="F195" s="130"/>
      <c r="O195" s="93"/>
      <c r="P195" s="93"/>
    </row>
    <row r="196" spans="1:18" ht="60.75" x14ac:dyDescent="0.2">
      <c r="A196" s="359"/>
      <c r="B196" s="359"/>
      <c r="C196" s="359"/>
      <c r="D196" s="6"/>
      <c r="E196" s="106"/>
      <c r="F196" s="100"/>
      <c r="G196" s="250"/>
      <c r="I196" s="481"/>
      <c r="J196" s="4"/>
      <c r="K196" s="4"/>
      <c r="L196" s="359"/>
      <c r="M196" s="359"/>
      <c r="N196" s="359"/>
      <c r="O196" s="359"/>
      <c r="P196" s="93"/>
    </row>
    <row r="197" spans="1:18" ht="62.25" x14ac:dyDescent="0.8">
      <c r="A197" s="359"/>
      <c r="B197" s="359"/>
      <c r="C197" s="359"/>
      <c r="D197" s="359"/>
      <c r="E197" s="11"/>
      <c r="F197" s="100"/>
      <c r="J197" s="4"/>
      <c r="K197" s="4"/>
      <c r="L197" s="359"/>
      <c r="M197" s="359"/>
      <c r="N197" s="359"/>
      <c r="O197" s="359"/>
      <c r="P197" s="111"/>
    </row>
    <row r="198" spans="1:18" ht="45.75" x14ac:dyDescent="0.2">
      <c r="E198" s="252">
        <f>E178/E180</f>
        <v>4.0951834046535192E-4</v>
      </c>
      <c r="F198" s="130"/>
    </row>
    <row r="199" spans="1:18" ht="45.75" x14ac:dyDescent="0.2">
      <c r="A199" s="359"/>
      <c r="B199" s="359"/>
      <c r="C199" s="359"/>
      <c r="D199" s="359"/>
      <c r="E199" s="11"/>
      <c r="F199" s="100"/>
      <c r="L199" s="359"/>
      <c r="M199" s="359"/>
      <c r="N199" s="359"/>
      <c r="O199" s="359"/>
      <c r="P199" s="359"/>
    </row>
    <row r="200" spans="1:18" ht="45.75" x14ac:dyDescent="0.2">
      <c r="E200" s="12"/>
      <c r="F200" s="130"/>
    </row>
    <row r="201" spans="1:18" ht="45.75" x14ac:dyDescent="0.2">
      <c r="E201" s="12"/>
      <c r="F201" s="130"/>
    </row>
    <row r="202" spans="1:18" ht="45.75" x14ac:dyDescent="0.2">
      <c r="E202" s="12"/>
      <c r="F202" s="130"/>
    </row>
    <row r="203" spans="1:18" ht="45.75" x14ac:dyDescent="0.2">
      <c r="A203" s="359"/>
      <c r="B203" s="359"/>
      <c r="C203" s="359"/>
      <c r="D203" s="359"/>
      <c r="E203" s="12"/>
      <c r="F203" s="130"/>
      <c r="G203" s="359"/>
      <c r="H203" s="359"/>
      <c r="I203" s="359"/>
      <c r="J203" s="359"/>
      <c r="K203" s="359"/>
      <c r="L203" s="359"/>
      <c r="M203" s="359"/>
      <c r="N203" s="359"/>
      <c r="O203" s="359"/>
      <c r="P203" s="359"/>
    </row>
    <row r="204" spans="1:18" ht="45.75" x14ac:dyDescent="0.2">
      <c r="A204" s="359"/>
      <c r="B204" s="359"/>
      <c r="C204" s="359"/>
      <c r="D204" s="359"/>
      <c r="E204" s="12"/>
      <c r="F204" s="130"/>
      <c r="G204" s="359"/>
      <c r="H204" s="359"/>
      <c r="I204" s="359"/>
      <c r="J204" s="359"/>
      <c r="K204" s="359"/>
      <c r="L204" s="359"/>
      <c r="M204" s="359"/>
      <c r="N204" s="359"/>
      <c r="O204" s="359"/>
      <c r="P204" s="359"/>
    </row>
    <row r="205" spans="1:18" ht="45.75" x14ac:dyDescent="0.2">
      <c r="A205" s="359"/>
      <c r="B205" s="359"/>
      <c r="C205" s="359"/>
      <c r="D205" s="359"/>
      <c r="E205" s="12"/>
      <c r="F205" s="130"/>
      <c r="G205" s="359"/>
      <c r="H205" s="359"/>
      <c r="I205" s="359"/>
      <c r="J205" s="359"/>
      <c r="K205" s="359"/>
      <c r="L205" s="359"/>
      <c r="M205" s="359"/>
      <c r="N205" s="359"/>
      <c r="O205" s="359"/>
      <c r="P205" s="359"/>
    </row>
    <row r="206" spans="1:18" ht="45.75" x14ac:dyDescent="0.2">
      <c r="A206" s="359"/>
      <c r="B206" s="359"/>
      <c r="C206" s="359"/>
      <c r="D206" s="359"/>
      <c r="E206" s="12"/>
      <c r="F206" s="130"/>
      <c r="G206" s="359"/>
      <c r="H206" s="359"/>
      <c r="I206" s="359"/>
      <c r="J206" s="359"/>
      <c r="K206" s="359"/>
      <c r="L206" s="359"/>
      <c r="M206" s="359"/>
      <c r="N206" s="359"/>
      <c r="O206" s="359"/>
      <c r="P206" s="359"/>
    </row>
  </sheetData>
  <mergeCells count="116">
    <mergeCell ref="D185:P185"/>
    <mergeCell ref="H131:H132"/>
    <mergeCell ref="I131:I132"/>
    <mergeCell ref="J131:J132"/>
    <mergeCell ref="K131:K132"/>
    <mergeCell ref="L131:L132"/>
    <mergeCell ref="M131:M132"/>
    <mergeCell ref="A131:A132"/>
    <mergeCell ref="B131:B132"/>
    <mergeCell ref="C131:C132"/>
    <mergeCell ref="E131:E132"/>
    <mergeCell ref="F131:F132"/>
    <mergeCell ref="G131:G132"/>
    <mergeCell ref="N131:N132"/>
    <mergeCell ref="O131:O132"/>
    <mergeCell ref="P131:P132"/>
    <mergeCell ref="A181:P181"/>
    <mergeCell ref="D184:P184"/>
    <mergeCell ref="P80:P82"/>
    <mergeCell ref="A88:A89"/>
    <mergeCell ref="B88:B89"/>
    <mergeCell ref="C88:C89"/>
    <mergeCell ref="E88:E89"/>
    <mergeCell ref="F88:F89"/>
    <mergeCell ref="G88:G89"/>
    <mergeCell ref="H88:H89"/>
    <mergeCell ref="I88:I89"/>
    <mergeCell ref="K88:K89"/>
    <mergeCell ref="L88:L89"/>
    <mergeCell ref="M88:M89"/>
    <mergeCell ref="N88:N89"/>
    <mergeCell ref="O88:O89"/>
    <mergeCell ref="P88:P89"/>
    <mergeCell ref="J88:J89"/>
    <mergeCell ref="J80:J82"/>
    <mergeCell ref="K80:K82"/>
    <mergeCell ref="L80:L82"/>
    <mergeCell ref="M80:M82"/>
    <mergeCell ref="N80:N82"/>
    <mergeCell ref="O80:O82"/>
    <mergeCell ref="A80:A82"/>
    <mergeCell ref="B80:B82"/>
    <mergeCell ref="H80:H82"/>
    <mergeCell ref="I80:I82"/>
    <mergeCell ref="C80:C82"/>
    <mergeCell ref="E80:E82"/>
    <mergeCell ref="F80:F82"/>
    <mergeCell ref="G80:G82"/>
    <mergeCell ref="I76:I79"/>
    <mergeCell ref="N73:N75"/>
    <mergeCell ref="O73:O75"/>
    <mergeCell ref="A76:A79"/>
    <mergeCell ref="B76:B79"/>
    <mergeCell ref="C76:C79"/>
    <mergeCell ref="E76:E79"/>
    <mergeCell ref="F76:F79"/>
    <mergeCell ref="G76:G79"/>
    <mergeCell ref="H76:H79"/>
    <mergeCell ref="H73:H75"/>
    <mergeCell ref="I73:I75"/>
    <mergeCell ref="A73:A75"/>
    <mergeCell ref="B73:B75"/>
    <mergeCell ref="C73:C75"/>
    <mergeCell ref="E73:E75"/>
    <mergeCell ref="F73:F75"/>
    <mergeCell ref="G73:G75"/>
    <mergeCell ref="K23:K24"/>
    <mergeCell ref="L23:L24"/>
    <mergeCell ref="M23:M24"/>
    <mergeCell ref="N23:N24"/>
    <mergeCell ref="O23:O24"/>
    <mergeCell ref="P23:P24"/>
    <mergeCell ref="J76:J79"/>
    <mergeCell ref="K76:K79"/>
    <mergeCell ref="L76:L79"/>
    <mergeCell ref="M76:M79"/>
    <mergeCell ref="N76:N79"/>
    <mergeCell ref="P73:P75"/>
    <mergeCell ref="J73:J75"/>
    <mergeCell ref="K73:K75"/>
    <mergeCell ref="L73:L75"/>
    <mergeCell ref="M73:M75"/>
    <mergeCell ref="O76:O79"/>
    <mergeCell ref="P76:P79"/>
    <mergeCell ref="A23:A24"/>
    <mergeCell ref="B23:B24"/>
    <mergeCell ref="C23:C24"/>
    <mergeCell ref="E23:E24"/>
    <mergeCell ref="F23:F24"/>
    <mergeCell ref="G23:G24"/>
    <mergeCell ref="H23:H24"/>
    <mergeCell ref="I23:I24"/>
    <mergeCell ref="J23:J24"/>
    <mergeCell ref="A10:B10"/>
    <mergeCell ref="A12:A14"/>
    <mergeCell ref="B12:B14"/>
    <mergeCell ref="C12:C14"/>
    <mergeCell ref="D12:D14"/>
    <mergeCell ref="E12:I12"/>
    <mergeCell ref="N2:Q2"/>
    <mergeCell ref="N3:Q3"/>
    <mergeCell ref="O4:P4"/>
    <mergeCell ref="A6:P6"/>
    <mergeCell ref="A7:P7"/>
    <mergeCell ref="A9:B9"/>
    <mergeCell ref="J12:O12"/>
    <mergeCell ref="P12:P14"/>
    <mergeCell ref="E13:E14"/>
    <mergeCell ref="F13:F14"/>
    <mergeCell ref="G13:H13"/>
    <mergeCell ref="I13:I14"/>
    <mergeCell ref="J13:J14"/>
    <mergeCell ref="K13:K14"/>
    <mergeCell ref="L13:L14"/>
    <mergeCell ref="M13:N13"/>
    <mergeCell ref="O13:O14"/>
  </mergeCells>
  <conditionalFormatting sqref="Q162:R164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Q176:R176 Q175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Q171 Q170:R170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R175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155:R155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151:Q15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151:R15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150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150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156:R160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Q147:R148 Q146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171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146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fitToHeight="0" orientation="landscape" r:id="rId1"/>
  <headerFooter alignWithMargins="0">
    <oddFooter>&amp;C&amp;"Times New Roman Cyr,курсив"Сторінка &amp;P з &amp;N</oddFooter>
  </headerFooter>
  <rowBreaks count="2" manualBreakCount="2">
    <brk id="32" max="16383" man="1"/>
    <brk id="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4"/>
  <dimension ref="A2:R163"/>
  <sheetViews>
    <sheetView showGridLines="0" showZeros="0" view="pageBreakPreview" topLeftCell="B5" zoomScale="85" zoomScaleNormal="85" zoomScaleSheetLayoutView="85" workbookViewId="0">
      <selection activeCell="E19" sqref="E19"/>
    </sheetView>
  </sheetViews>
  <sheetFormatPr defaultColWidth="7.85546875" defaultRowHeight="12.75" x14ac:dyDescent="0.2"/>
  <cols>
    <col min="1" max="1" width="0" style="9" hidden="1" customWidth="1"/>
    <col min="2" max="2" width="13" style="71" customWidth="1"/>
    <col min="3" max="3" width="13.5703125" style="71" customWidth="1"/>
    <col min="4" max="4" width="15.28515625" style="71" customWidth="1"/>
    <col min="5" max="5" width="37" style="71" customWidth="1"/>
    <col min="6" max="6" width="10.5703125" style="71" customWidth="1"/>
    <col min="7" max="7" width="11.85546875" style="71" customWidth="1"/>
    <col min="8" max="8" width="13.28515625" style="71" customWidth="1"/>
    <col min="9" max="9" width="12.5703125" style="71" customWidth="1"/>
    <col min="10" max="10" width="12.140625" style="71" customWidth="1"/>
    <col min="11" max="11" width="18.140625" style="71" customWidth="1"/>
    <col min="12" max="12" width="13.5703125" style="71" customWidth="1"/>
    <col min="13" max="13" width="13" style="71" customWidth="1"/>
    <col min="14" max="14" width="11.42578125" style="71" customWidth="1"/>
    <col min="15" max="15" width="12.7109375" style="71" customWidth="1"/>
    <col min="16" max="16" width="12.5703125" style="71" customWidth="1"/>
    <col min="17" max="17" width="12.7109375" style="71" customWidth="1"/>
    <col min="18" max="18" width="10" style="71" bestFit="1" customWidth="1"/>
    <col min="19" max="16384" width="7.85546875" style="71"/>
  </cols>
  <sheetData>
    <row r="2" spans="1:18" ht="64.5" customHeight="1" x14ac:dyDescent="0.2">
      <c r="B2" s="9"/>
      <c r="C2" s="9"/>
      <c r="D2" s="9"/>
      <c r="M2" s="578" t="s">
        <v>703</v>
      </c>
      <c r="N2" s="578"/>
      <c r="O2" s="578"/>
      <c r="P2" s="578"/>
      <c r="Q2" s="578"/>
    </row>
    <row r="3" spans="1:18" ht="32.450000000000003" customHeight="1" x14ac:dyDescent="0.2">
      <c r="B3" s="581"/>
      <c r="C3" s="582"/>
      <c r="D3" s="9"/>
      <c r="E3" s="579" t="s">
        <v>582</v>
      </c>
      <c r="F3" s="579"/>
      <c r="G3" s="579"/>
      <c r="H3" s="579"/>
      <c r="I3" s="579"/>
      <c r="J3" s="579"/>
      <c r="K3" s="579"/>
      <c r="L3" s="579"/>
      <c r="M3" s="579"/>
      <c r="N3" s="73"/>
      <c r="O3" s="73"/>
      <c r="P3" s="73"/>
      <c r="Q3" s="73"/>
    </row>
    <row r="4" spans="1:18" ht="12" customHeight="1" x14ac:dyDescent="0.2">
      <c r="B4" s="583"/>
      <c r="C4" s="584"/>
      <c r="D4" s="75"/>
      <c r="E4" s="579"/>
      <c r="F4" s="579"/>
      <c r="G4" s="579"/>
      <c r="H4" s="579"/>
      <c r="I4" s="579"/>
      <c r="J4" s="579"/>
      <c r="K4" s="579"/>
      <c r="L4" s="579"/>
      <c r="M4" s="579"/>
      <c r="N4" s="9"/>
      <c r="O4" s="9"/>
      <c r="P4" s="9"/>
      <c r="Q4" s="76"/>
    </row>
    <row r="5" spans="1:18" s="167" customFormat="1" ht="12" customHeight="1" x14ac:dyDescent="0.2">
      <c r="A5" s="9"/>
      <c r="B5" s="585">
        <v>22201100000</v>
      </c>
      <c r="C5" s="586"/>
      <c r="D5" s="75"/>
      <c r="E5" s="168"/>
      <c r="F5" s="168"/>
      <c r="G5" s="168"/>
      <c r="H5" s="168"/>
      <c r="I5" s="168"/>
      <c r="J5" s="168"/>
      <c r="K5" s="168"/>
      <c r="L5" s="168"/>
      <c r="M5" s="168"/>
      <c r="N5" s="9"/>
      <c r="O5" s="9"/>
      <c r="P5" s="9"/>
      <c r="Q5" s="76"/>
    </row>
    <row r="6" spans="1:18" s="167" customFormat="1" ht="12" customHeight="1" x14ac:dyDescent="0.2">
      <c r="A6" s="9"/>
      <c r="B6" s="587" t="s">
        <v>698</v>
      </c>
      <c r="C6" s="588"/>
      <c r="D6" s="75"/>
      <c r="E6" s="168"/>
      <c r="F6" s="168"/>
      <c r="G6" s="168"/>
      <c r="H6" s="168"/>
      <c r="I6" s="168"/>
      <c r="J6" s="168"/>
      <c r="K6" s="168"/>
      <c r="L6" s="168"/>
      <c r="M6" s="168"/>
      <c r="N6" s="9"/>
      <c r="O6" s="9"/>
      <c r="P6" s="9"/>
      <c r="Q6" s="76"/>
    </row>
    <row r="7" spans="1:18" ht="21" customHeight="1" thickBot="1" x14ac:dyDescent="0.35">
      <c r="B7" s="74"/>
      <c r="C7" s="74"/>
      <c r="D7" s="75"/>
      <c r="E7" s="72"/>
      <c r="F7" s="72"/>
      <c r="G7" s="72"/>
      <c r="H7" s="72"/>
      <c r="I7" s="72"/>
      <c r="J7" s="72"/>
      <c r="K7" s="72"/>
      <c r="L7" s="72"/>
      <c r="M7" s="72"/>
      <c r="N7" s="9"/>
      <c r="O7" s="9"/>
      <c r="P7" s="9"/>
      <c r="Q7" s="178" t="s">
        <v>493</v>
      </c>
    </row>
    <row r="8" spans="1:18" ht="17.25" customHeight="1" thickTop="1" thickBot="1" x14ac:dyDescent="0.25">
      <c r="A8" s="77"/>
      <c r="B8" s="580" t="s">
        <v>699</v>
      </c>
      <c r="C8" s="590" t="s">
        <v>700</v>
      </c>
      <c r="D8" s="590" t="s">
        <v>479</v>
      </c>
      <c r="E8" s="590" t="s">
        <v>701</v>
      </c>
      <c r="F8" s="580" t="s">
        <v>158</v>
      </c>
      <c r="G8" s="580"/>
      <c r="H8" s="580"/>
      <c r="I8" s="580"/>
      <c r="J8" s="580" t="s">
        <v>159</v>
      </c>
      <c r="K8" s="580"/>
      <c r="L8" s="580"/>
      <c r="M8" s="580"/>
      <c r="N8" s="580" t="s">
        <v>478</v>
      </c>
      <c r="O8" s="580"/>
      <c r="P8" s="580"/>
      <c r="Q8" s="580"/>
    </row>
    <row r="9" spans="1:18" ht="28.5" customHeight="1" thickTop="1" thickBot="1" x14ac:dyDescent="0.25">
      <c r="A9" s="78"/>
      <c r="B9" s="580"/>
      <c r="C9" s="546"/>
      <c r="D9" s="546"/>
      <c r="E9" s="591"/>
      <c r="F9" s="575" t="s">
        <v>475</v>
      </c>
      <c r="G9" s="575" t="s">
        <v>476</v>
      </c>
      <c r="H9" s="576"/>
      <c r="I9" s="575" t="s">
        <v>477</v>
      </c>
      <c r="J9" s="575" t="s">
        <v>475</v>
      </c>
      <c r="K9" s="575" t="s">
        <v>476</v>
      </c>
      <c r="L9" s="576"/>
      <c r="M9" s="575" t="s">
        <v>477</v>
      </c>
      <c r="N9" s="575" t="s">
        <v>475</v>
      </c>
      <c r="O9" s="575" t="s">
        <v>476</v>
      </c>
      <c r="P9" s="576"/>
      <c r="Q9" s="575" t="s">
        <v>477</v>
      </c>
    </row>
    <row r="10" spans="1:18" ht="50.25" customHeight="1" thickTop="1" thickBot="1" x14ac:dyDescent="0.25">
      <c r="A10" s="71"/>
      <c r="B10" s="580"/>
      <c r="C10" s="546"/>
      <c r="D10" s="546"/>
      <c r="E10" s="546"/>
      <c r="F10" s="575"/>
      <c r="G10" s="179" t="s">
        <v>473</v>
      </c>
      <c r="H10" s="179" t="s">
        <v>474</v>
      </c>
      <c r="I10" s="575"/>
      <c r="J10" s="575"/>
      <c r="K10" s="179" t="s">
        <v>473</v>
      </c>
      <c r="L10" s="179" t="s">
        <v>474</v>
      </c>
      <c r="M10" s="575"/>
      <c r="N10" s="575"/>
      <c r="O10" s="179" t="s">
        <v>473</v>
      </c>
      <c r="P10" s="179" t="s">
        <v>474</v>
      </c>
      <c r="Q10" s="575"/>
    </row>
    <row r="11" spans="1:18" ht="15" customHeight="1" thickTop="1" thickBot="1" x14ac:dyDescent="0.25">
      <c r="A11" s="71"/>
      <c r="B11" s="180">
        <v>1</v>
      </c>
      <c r="C11" s="181">
        <v>2</v>
      </c>
      <c r="D11" s="180">
        <v>3</v>
      </c>
      <c r="E11" s="181">
        <v>4</v>
      </c>
      <c r="F11" s="180">
        <v>5</v>
      </c>
      <c r="G11" s="181">
        <v>6</v>
      </c>
      <c r="H11" s="180">
        <v>7</v>
      </c>
      <c r="I11" s="181">
        <v>8</v>
      </c>
      <c r="J11" s="180">
        <v>9</v>
      </c>
      <c r="K11" s="181">
        <v>10</v>
      </c>
      <c r="L11" s="180">
        <v>11</v>
      </c>
      <c r="M11" s="181">
        <v>12</v>
      </c>
      <c r="N11" s="180">
        <v>13</v>
      </c>
      <c r="O11" s="181">
        <v>14</v>
      </c>
      <c r="P11" s="180">
        <v>15</v>
      </c>
      <c r="Q11" s="181">
        <v>16</v>
      </c>
    </row>
    <row r="12" spans="1:18" s="80" customFormat="1" ht="46.5" thickTop="1" thickBot="1" x14ac:dyDescent="0.25">
      <c r="A12" s="79"/>
      <c r="B12" s="460" t="s">
        <v>26</v>
      </c>
      <c r="C12" s="471"/>
      <c r="D12" s="461"/>
      <c r="E12" s="461" t="s">
        <v>27</v>
      </c>
      <c r="F12" s="461">
        <f>F13</f>
        <v>0</v>
      </c>
      <c r="G12" s="471">
        <f t="shared" ref="G12:Q12" si="0">G13</f>
        <v>320170.42000000004</v>
      </c>
      <c r="H12" s="471">
        <f t="shared" si="0"/>
        <v>0</v>
      </c>
      <c r="I12" s="461">
        <f t="shared" si="0"/>
        <v>320170.42000000004</v>
      </c>
      <c r="J12" s="461">
        <f t="shared" si="0"/>
        <v>0</v>
      </c>
      <c r="K12" s="461">
        <f t="shared" si="0"/>
        <v>-150600</v>
      </c>
      <c r="L12" s="471">
        <f t="shared" si="0"/>
        <v>0</v>
      </c>
      <c r="M12" s="471">
        <f t="shared" si="0"/>
        <v>-150600</v>
      </c>
      <c r="N12" s="461"/>
      <c r="O12" s="471">
        <f t="shared" si="0"/>
        <v>169570.42000000004</v>
      </c>
      <c r="P12" s="471"/>
      <c r="Q12" s="471">
        <f t="shared" si="0"/>
        <v>169570.42000000004</v>
      </c>
      <c r="R12" s="239" t="b">
        <f>42994.4+126576.02=Q12</f>
        <v>1</v>
      </c>
    </row>
    <row r="13" spans="1:18" ht="44.25" thickTop="1" thickBot="1" x14ac:dyDescent="0.25">
      <c r="B13" s="463" t="s">
        <v>25</v>
      </c>
      <c r="C13" s="472"/>
      <c r="D13" s="464"/>
      <c r="E13" s="464" t="s">
        <v>43</v>
      </c>
      <c r="F13" s="464">
        <f>F14</f>
        <v>0</v>
      </c>
      <c r="G13" s="472">
        <f t="shared" ref="G13:I13" si="1">G14</f>
        <v>320170.42000000004</v>
      </c>
      <c r="H13" s="472">
        <f t="shared" si="1"/>
        <v>0</v>
      </c>
      <c r="I13" s="464">
        <f t="shared" si="1"/>
        <v>320170.42000000004</v>
      </c>
      <c r="J13" s="464">
        <f>J15</f>
        <v>0</v>
      </c>
      <c r="K13" s="464">
        <f>K15+K14+K16</f>
        <v>-150600</v>
      </c>
      <c r="L13" s="472">
        <f t="shared" ref="L13" si="2">L15</f>
        <v>0</v>
      </c>
      <c r="M13" s="464">
        <f>M15+M14+M16</f>
        <v>-150600</v>
      </c>
      <c r="N13" s="464"/>
      <c r="O13" s="464">
        <f>O15+O14+O16</f>
        <v>169570.42000000004</v>
      </c>
      <c r="P13" s="464"/>
      <c r="Q13" s="464">
        <f>Q15+Q14+Q16</f>
        <v>169570.42000000004</v>
      </c>
    </row>
    <row r="14" spans="1:18" ht="61.5" thickTop="1" thickBot="1" x14ac:dyDescent="0.25">
      <c r="B14" s="236" t="s">
        <v>612</v>
      </c>
      <c r="C14" s="236" t="s">
        <v>615</v>
      </c>
      <c r="D14" s="236" t="s">
        <v>60</v>
      </c>
      <c r="E14" s="237" t="s">
        <v>611</v>
      </c>
      <c r="F14" s="238"/>
      <c r="G14" s="238">
        <f>(150600)+169570.42</f>
        <v>320170.42000000004</v>
      </c>
      <c r="H14" s="238">
        <v>0</v>
      </c>
      <c r="I14" s="238">
        <f>F14+G14</f>
        <v>320170.42000000004</v>
      </c>
      <c r="J14" s="238">
        <v>0</v>
      </c>
      <c r="K14" s="238">
        <v>0</v>
      </c>
      <c r="L14" s="238"/>
      <c r="M14" s="238">
        <f>J14+K14</f>
        <v>0</v>
      </c>
      <c r="N14" s="238">
        <f>F14+J14</f>
        <v>0</v>
      </c>
      <c r="O14" s="238">
        <f>G14+K14</f>
        <v>320170.42000000004</v>
      </c>
      <c r="P14" s="238"/>
      <c r="Q14" s="238">
        <f>I14+M14</f>
        <v>320170.42000000004</v>
      </c>
    </row>
    <row r="15" spans="1:18" ht="61.5" thickTop="1" thickBot="1" x14ac:dyDescent="0.25">
      <c r="B15" s="236" t="s">
        <v>613</v>
      </c>
      <c r="C15" s="236" t="s">
        <v>616</v>
      </c>
      <c r="D15" s="236" t="s">
        <v>60</v>
      </c>
      <c r="E15" s="237" t="s">
        <v>614</v>
      </c>
      <c r="F15" s="238"/>
      <c r="G15" s="238">
        <f>H15+I15</f>
        <v>0</v>
      </c>
      <c r="H15" s="238"/>
      <c r="I15" s="238"/>
      <c r="J15" s="238"/>
      <c r="K15" s="238">
        <f>-150600</f>
        <v>-150600</v>
      </c>
      <c r="L15" s="238"/>
      <c r="M15" s="238">
        <f>J15+K15</f>
        <v>-150600</v>
      </c>
      <c r="N15" s="238">
        <f>F15+J15</f>
        <v>0</v>
      </c>
      <c r="O15" s="238">
        <f>G15+K15</f>
        <v>-150600</v>
      </c>
      <c r="P15" s="238"/>
      <c r="Q15" s="238">
        <f>I15+M15</f>
        <v>-150600</v>
      </c>
    </row>
    <row r="16" spans="1:18" s="226" customFormat="1" ht="61.5" hidden="1" thickTop="1" thickBot="1" x14ac:dyDescent="0.25">
      <c r="A16" s="9"/>
      <c r="B16" s="236" t="s">
        <v>721</v>
      </c>
      <c r="C16" s="236" t="s">
        <v>722</v>
      </c>
      <c r="D16" s="236" t="s">
        <v>60</v>
      </c>
      <c r="E16" s="237" t="s">
        <v>720</v>
      </c>
      <c r="F16" s="238"/>
      <c r="G16" s="238"/>
      <c r="H16" s="238"/>
      <c r="I16" s="238"/>
      <c r="J16" s="238"/>
      <c r="K16" s="238"/>
      <c r="L16" s="238"/>
      <c r="M16" s="238">
        <f>J16+K16</f>
        <v>0</v>
      </c>
      <c r="N16" s="238"/>
      <c r="O16" s="238">
        <f>G16+K16</f>
        <v>0</v>
      </c>
      <c r="P16" s="238"/>
      <c r="Q16" s="238">
        <f>I16+M16</f>
        <v>0</v>
      </c>
    </row>
    <row r="17" spans="1:17" ht="27.75" customHeight="1" thickTop="1" thickBot="1" x14ac:dyDescent="0.25">
      <c r="B17" s="182" t="s">
        <v>470</v>
      </c>
      <c r="C17" s="182" t="s">
        <v>470</v>
      </c>
      <c r="D17" s="182" t="s">
        <v>470</v>
      </c>
      <c r="E17" s="183" t="s">
        <v>480</v>
      </c>
      <c r="F17" s="184">
        <f>F12</f>
        <v>0</v>
      </c>
      <c r="G17" s="184">
        <f>H17+I17</f>
        <v>320170.42000000004</v>
      </c>
      <c r="H17" s="184">
        <f t="shared" ref="H17:I17" si="3">H12</f>
        <v>0</v>
      </c>
      <c r="I17" s="184">
        <f t="shared" si="3"/>
        <v>320170.42000000004</v>
      </c>
      <c r="J17" s="184">
        <f>J12</f>
        <v>0</v>
      </c>
      <c r="K17" s="184">
        <f>K12</f>
        <v>-150600</v>
      </c>
      <c r="L17" s="184">
        <f>L12</f>
        <v>0</v>
      </c>
      <c r="M17" s="184">
        <f t="shared" ref="M17:N17" si="4">M12</f>
        <v>-150600</v>
      </c>
      <c r="N17" s="184">
        <f t="shared" si="4"/>
        <v>0</v>
      </c>
      <c r="O17" s="184">
        <f>O14+O15</f>
        <v>169570.42000000004</v>
      </c>
      <c r="P17" s="184"/>
      <c r="Q17" s="184">
        <f>Q14+Q15</f>
        <v>169570.42000000004</v>
      </c>
    </row>
    <row r="18" spans="1:17" s="314" customFormat="1" ht="27.75" customHeight="1" thickTop="1" x14ac:dyDescent="0.2">
      <c r="A18" s="276"/>
      <c r="B18" s="311"/>
      <c r="C18" s="311"/>
      <c r="D18" s="311"/>
      <c r="E18" s="312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3"/>
    </row>
    <row r="19" spans="1:17" s="314" customFormat="1" ht="27.75" customHeight="1" x14ac:dyDescent="0.2">
      <c r="A19" s="276"/>
      <c r="B19" s="311"/>
      <c r="C19" s="324"/>
      <c r="D19" s="493"/>
      <c r="E19" s="493" t="s">
        <v>1002</v>
      </c>
      <c r="F19" s="494"/>
      <c r="G19" s="495"/>
      <c r="H19" s="495"/>
      <c r="I19" s="495"/>
      <c r="J19" s="495"/>
      <c r="K19" s="495"/>
      <c r="L19" s="495"/>
      <c r="M19" s="495" t="s">
        <v>1003</v>
      </c>
      <c r="N19" s="325"/>
      <c r="O19" s="325"/>
      <c r="P19" s="325"/>
      <c r="Q19" s="313"/>
    </row>
    <row r="20" spans="1:17" ht="39.75" hidden="1" customHeight="1" x14ac:dyDescent="0.25">
      <c r="B20" s="113"/>
      <c r="C20" s="322"/>
      <c r="D20" s="577" t="s">
        <v>924</v>
      </c>
      <c r="E20" s="577"/>
      <c r="F20" s="577"/>
      <c r="G20" s="577"/>
      <c r="H20" s="577"/>
      <c r="I20" s="577"/>
      <c r="J20" s="577"/>
      <c r="K20" s="577"/>
      <c r="L20" s="577"/>
      <c r="M20" s="577"/>
      <c r="N20" s="577"/>
      <c r="O20" s="577"/>
      <c r="P20" s="577"/>
      <c r="Q20" s="114"/>
    </row>
    <row r="21" spans="1:17" ht="15.75" customHeight="1" x14ac:dyDescent="0.25">
      <c r="B21" s="113"/>
      <c r="C21" s="113"/>
      <c r="D21" s="577"/>
      <c r="E21" s="577"/>
      <c r="F21" s="577"/>
      <c r="G21" s="577"/>
      <c r="H21" s="577"/>
      <c r="I21" s="577"/>
      <c r="J21" s="577"/>
      <c r="K21" s="577"/>
      <c r="L21" s="577"/>
      <c r="M21" s="577"/>
      <c r="N21" s="577"/>
      <c r="O21" s="577"/>
      <c r="P21" s="577"/>
      <c r="Q21" s="114"/>
    </row>
    <row r="22" spans="1:17" ht="15" x14ac:dyDescent="0.25">
      <c r="D22" s="577"/>
      <c r="E22" s="577"/>
      <c r="F22" s="577"/>
      <c r="G22" s="577"/>
      <c r="H22" s="577"/>
      <c r="I22" s="577"/>
      <c r="J22" s="577"/>
      <c r="K22" s="577"/>
      <c r="L22" s="577"/>
      <c r="M22" s="577"/>
      <c r="N22" s="577"/>
      <c r="O22" s="577"/>
      <c r="P22" s="577"/>
    </row>
    <row r="23" spans="1:17" ht="15" x14ac:dyDescent="0.25">
      <c r="D23" s="577"/>
      <c r="E23" s="577"/>
      <c r="F23" s="577"/>
      <c r="G23" s="577"/>
      <c r="H23" s="577"/>
      <c r="I23" s="577"/>
      <c r="J23" s="577"/>
      <c r="K23" s="577"/>
      <c r="L23" s="577"/>
      <c r="M23" s="577"/>
      <c r="N23" s="577"/>
      <c r="O23" s="577"/>
      <c r="P23" s="577"/>
    </row>
    <row r="24" spans="1:17" ht="15" x14ac:dyDescent="0.2">
      <c r="D24" s="115"/>
      <c r="E24" s="116"/>
      <c r="F24" s="117"/>
      <c r="G24" s="115">
        <f>H24+I24</f>
        <v>0</v>
      </c>
      <c r="H24" s="115"/>
      <c r="I24" s="118"/>
      <c r="J24" s="116"/>
      <c r="K24" s="118"/>
      <c r="L24" s="115"/>
      <c r="M24" s="115"/>
      <c r="N24" s="118"/>
      <c r="O24" s="119"/>
      <c r="P24" s="120"/>
    </row>
    <row r="25" spans="1:17" ht="15" x14ac:dyDescent="0.25">
      <c r="D25" s="121"/>
      <c r="E25" s="121"/>
      <c r="F25" s="121"/>
      <c r="G25" s="121">
        <f>H25+I25</f>
        <v>0</v>
      </c>
      <c r="H25" s="121"/>
      <c r="I25" s="121"/>
      <c r="J25" s="121"/>
      <c r="K25" s="121"/>
      <c r="L25" s="121"/>
      <c r="M25" s="121"/>
      <c r="N25" s="121"/>
      <c r="O25" s="121"/>
      <c r="P25" s="121"/>
    </row>
    <row r="26" spans="1:17" x14ac:dyDescent="0.2">
      <c r="G26" s="71">
        <f>H26+I26</f>
        <v>0</v>
      </c>
    </row>
    <row r="27" spans="1:17" x14ac:dyDescent="0.2">
      <c r="G27" s="71">
        <f>H27+I27</f>
        <v>0</v>
      </c>
    </row>
    <row r="28" spans="1:17" x14ac:dyDescent="0.2">
      <c r="G28" s="71">
        <f>H28+I28</f>
        <v>0</v>
      </c>
    </row>
    <row r="50" spans="7:7" x14ac:dyDescent="0.2">
      <c r="G50" s="71">
        <f>H50+I50</f>
        <v>0</v>
      </c>
    </row>
    <row r="52" spans="7:7" x14ac:dyDescent="0.2">
      <c r="G52" s="71">
        <f t="shared" ref="G52:G70" si="5">H52+I52</f>
        <v>0</v>
      </c>
    </row>
    <row r="53" spans="7:7" x14ac:dyDescent="0.2">
      <c r="G53" s="71">
        <f t="shared" si="5"/>
        <v>0</v>
      </c>
    </row>
    <row r="54" spans="7:7" x14ac:dyDescent="0.2">
      <c r="G54" s="71">
        <f t="shared" si="5"/>
        <v>0</v>
      </c>
    </row>
    <row r="55" spans="7:7" x14ac:dyDescent="0.2">
      <c r="G55" s="71">
        <f t="shared" si="5"/>
        <v>0</v>
      </c>
    </row>
    <row r="56" spans="7:7" x14ac:dyDescent="0.2">
      <c r="G56" s="71">
        <f t="shared" si="5"/>
        <v>0</v>
      </c>
    </row>
    <row r="57" spans="7:7" x14ac:dyDescent="0.2">
      <c r="G57" s="71">
        <f t="shared" si="5"/>
        <v>0</v>
      </c>
    </row>
    <row r="58" spans="7:7" x14ac:dyDescent="0.2">
      <c r="G58" s="71">
        <f t="shared" si="5"/>
        <v>0</v>
      </c>
    </row>
    <row r="59" spans="7:7" x14ac:dyDescent="0.2">
      <c r="G59" s="71">
        <f t="shared" si="5"/>
        <v>0</v>
      </c>
    </row>
    <row r="60" spans="7:7" x14ac:dyDescent="0.2">
      <c r="G60" s="71">
        <f t="shared" si="5"/>
        <v>0</v>
      </c>
    </row>
    <row r="61" spans="7:7" x14ac:dyDescent="0.2">
      <c r="G61" s="71">
        <f t="shared" si="5"/>
        <v>0</v>
      </c>
    </row>
    <row r="62" spans="7:7" x14ac:dyDescent="0.2">
      <c r="G62" s="71">
        <f t="shared" si="5"/>
        <v>0</v>
      </c>
    </row>
    <row r="63" spans="7:7" x14ac:dyDescent="0.2">
      <c r="G63" s="71">
        <f t="shared" si="5"/>
        <v>0</v>
      </c>
    </row>
    <row r="64" spans="7:7" x14ac:dyDescent="0.2">
      <c r="G64" s="71">
        <f t="shared" si="5"/>
        <v>0</v>
      </c>
    </row>
    <row r="65" spans="7:7" x14ac:dyDescent="0.2">
      <c r="G65" s="71">
        <f t="shared" si="5"/>
        <v>0</v>
      </c>
    </row>
    <row r="66" spans="7:7" x14ac:dyDescent="0.2">
      <c r="G66" s="71">
        <f t="shared" si="5"/>
        <v>0</v>
      </c>
    </row>
    <row r="67" spans="7:7" x14ac:dyDescent="0.2">
      <c r="G67" s="71">
        <f t="shared" si="5"/>
        <v>0</v>
      </c>
    </row>
    <row r="68" spans="7:7" x14ac:dyDescent="0.2">
      <c r="G68" s="71">
        <f t="shared" si="5"/>
        <v>0</v>
      </c>
    </row>
    <row r="69" spans="7:7" x14ac:dyDescent="0.2">
      <c r="G69" s="71">
        <f t="shared" si="5"/>
        <v>0</v>
      </c>
    </row>
    <row r="70" spans="7:7" x14ac:dyDescent="0.2">
      <c r="G70" s="71">
        <f t="shared" si="5"/>
        <v>0</v>
      </c>
    </row>
    <row r="72" spans="7:7" x14ac:dyDescent="0.2">
      <c r="G72" s="71">
        <f>H72+I72</f>
        <v>0</v>
      </c>
    </row>
    <row r="73" spans="7:7" x14ac:dyDescent="0.2">
      <c r="G73" s="71">
        <f>H73+I73</f>
        <v>0</v>
      </c>
    </row>
    <row r="74" spans="7:7" x14ac:dyDescent="0.2">
      <c r="G74" s="71">
        <f>H74+I74</f>
        <v>0</v>
      </c>
    </row>
    <row r="75" spans="7:7" x14ac:dyDescent="0.2">
      <c r="G75" s="71">
        <f>H75+I75</f>
        <v>0</v>
      </c>
    </row>
    <row r="77" spans="7:7" x14ac:dyDescent="0.2">
      <c r="G77" s="71">
        <f>H77+I77</f>
        <v>0</v>
      </c>
    </row>
    <row r="80" spans="7:7" x14ac:dyDescent="0.2">
      <c r="G80" s="589"/>
    </row>
    <row r="81" spans="7:7" x14ac:dyDescent="0.2">
      <c r="G81" s="525"/>
    </row>
    <row r="117" spans="7:7" x14ac:dyDescent="0.2">
      <c r="G117" s="71">
        <f>H117+I117</f>
        <v>0</v>
      </c>
    </row>
    <row r="119" spans="7:7" x14ac:dyDescent="0.2">
      <c r="G119" s="71">
        <f t="shared" ref="G119:G129" si="6">H119+I119</f>
        <v>0</v>
      </c>
    </row>
    <row r="120" spans="7:7" x14ac:dyDescent="0.2">
      <c r="G120" s="71">
        <f t="shared" si="6"/>
        <v>0</v>
      </c>
    </row>
    <row r="121" spans="7:7" x14ac:dyDescent="0.2">
      <c r="G121" s="71">
        <f t="shared" si="6"/>
        <v>0</v>
      </c>
    </row>
    <row r="122" spans="7:7" x14ac:dyDescent="0.2">
      <c r="G122" s="71">
        <f t="shared" si="6"/>
        <v>0</v>
      </c>
    </row>
    <row r="123" spans="7:7" x14ac:dyDescent="0.2">
      <c r="G123" s="71">
        <f t="shared" si="6"/>
        <v>0</v>
      </c>
    </row>
    <row r="124" spans="7:7" x14ac:dyDescent="0.2">
      <c r="G124" s="71">
        <f t="shared" si="6"/>
        <v>0</v>
      </c>
    </row>
    <row r="125" spans="7:7" x14ac:dyDescent="0.2">
      <c r="G125" s="71">
        <f t="shared" si="6"/>
        <v>0</v>
      </c>
    </row>
    <row r="126" spans="7:7" x14ac:dyDescent="0.2">
      <c r="G126" s="71">
        <f t="shared" si="6"/>
        <v>0</v>
      </c>
    </row>
    <row r="127" spans="7:7" x14ac:dyDescent="0.2">
      <c r="G127" s="71">
        <f t="shared" si="6"/>
        <v>0</v>
      </c>
    </row>
    <row r="128" spans="7:7" x14ac:dyDescent="0.2">
      <c r="G128" s="71">
        <f t="shared" si="6"/>
        <v>0</v>
      </c>
    </row>
    <row r="129" spans="7:10" x14ac:dyDescent="0.2">
      <c r="G129" s="71">
        <f t="shared" si="6"/>
        <v>0</v>
      </c>
    </row>
    <row r="131" spans="7:10" x14ac:dyDescent="0.2">
      <c r="G131" s="71">
        <f>H132+I132</f>
        <v>0</v>
      </c>
    </row>
    <row r="132" spans="7:10" x14ac:dyDescent="0.2">
      <c r="G132" s="71">
        <f t="shared" ref="G132" si="7">H132+I132</f>
        <v>0</v>
      </c>
    </row>
    <row r="133" spans="7:10" x14ac:dyDescent="0.2">
      <c r="G133" s="71">
        <f>H133+I133</f>
        <v>0</v>
      </c>
    </row>
    <row r="134" spans="7:10" x14ac:dyDescent="0.2">
      <c r="G134" s="71">
        <f>H134+I134</f>
        <v>0</v>
      </c>
    </row>
    <row r="135" spans="7:10" x14ac:dyDescent="0.2">
      <c r="G135" s="71">
        <f>H135+I135</f>
        <v>0</v>
      </c>
    </row>
    <row r="136" spans="7:10" x14ac:dyDescent="0.2">
      <c r="G136" s="71">
        <f>H136+I136</f>
        <v>0</v>
      </c>
    </row>
    <row r="141" spans="7:10" ht="46.5" x14ac:dyDescent="0.65">
      <c r="J141" s="144"/>
    </row>
    <row r="144" spans="7:10" ht="46.5" x14ac:dyDescent="0.65">
      <c r="G144" s="144">
        <f>H144+I144</f>
        <v>0</v>
      </c>
      <c r="J144" s="144"/>
    </row>
    <row r="163" spans="11:11" ht="90" x14ac:dyDescent="1.1499999999999999">
      <c r="K163" s="142" t="b">
        <f>G163=H163+I163</f>
        <v>1</v>
      </c>
    </row>
  </sheetData>
  <mergeCells count="27">
    <mergeCell ref="B3:C3"/>
    <mergeCell ref="B4:C4"/>
    <mergeCell ref="B5:C5"/>
    <mergeCell ref="B6:C6"/>
    <mergeCell ref="G80:G81"/>
    <mergeCell ref="B8:B10"/>
    <mergeCell ref="C8:C10"/>
    <mergeCell ref="D8:D10"/>
    <mergeCell ref="E8:E10"/>
    <mergeCell ref="F8:I8"/>
    <mergeCell ref="F9:F10"/>
    <mergeCell ref="I9:I10"/>
    <mergeCell ref="O9:P9"/>
    <mergeCell ref="D23:P23"/>
    <mergeCell ref="D20:P20"/>
    <mergeCell ref="D22:P22"/>
    <mergeCell ref="M2:Q2"/>
    <mergeCell ref="E3:M4"/>
    <mergeCell ref="J8:M8"/>
    <mergeCell ref="N8:Q8"/>
    <mergeCell ref="Q9:Q10"/>
    <mergeCell ref="M9:M10"/>
    <mergeCell ref="N9:N10"/>
    <mergeCell ref="J9:J10"/>
    <mergeCell ref="D21:P21"/>
    <mergeCell ref="G9:H9"/>
    <mergeCell ref="K9:L9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91"/>
  <sheetViews>
    <sheetView tabSelected="1" view="pageBreakPreview" topLeftCell="B1" zoomScale="55" zoomScaleNormal="40" zoomScaleSheetLayoutView="55" workbookViewId="0">
      <pane ySplit="10" topLeftCell="A56" activePane="bottomLeft" state="frozen"/>
      <selection activeCell="F175" sqref="F175"/>
      <selection pane="bottomLeft" activeCell="AA56" sqref="Z56:AA56"/>
    </sheetView>
  </sheetViews>
  <sheetFormatPr defaultColWidth="7.85546875" defaultRowHeight="12.75" x14ac:dyDescent="0.2"/>
  <cols>
    <col min="1" max="1" width="3.28515625" style="9" hidden="1" customWidth="1"/>
    <col min="2" max="3" width="15.42578125" style="104" customWidth="1"/>
    <col min="4" max="4" width="16.85546875" style="104" customWidth="1"/>
    <col min="5" max="5" width="41.5703125" style="104" customWidth="1"/>
    <col min="6" max="6" width="38.5703125" style="104" customWidth="1"/>
    <col min="7" max="11" width="18.140625" style="263" customWidth="1"/>
    <col min="12" max="12" width="30.7109375" style="9" customWidth="1"/>
    <col min="13" max="13" width="16.5703125" style="9" customWidth="1"/>
    <col min="14" max="14" width="13.7109375" style="9" customWidth="1"/>
    <col min="15" max="15" width="12.7109375" style="9" customWidth="1"/>
    <col min="16" max="16384" width="7.85546875" style="9"/>
  </cols>
  <sheetData>
    <row r="1" spans="2:12" s="8" customFormat="1" ht="22.7" customHeight="1" x14ac:dyDescent="0.25">
      <c r="B1" s="592"/>
      <c r="C1" s="592"/>
      <c r="D1" s="592"/>
      <c r="E1" s="592"/>
      <c r="F1" s="592"/>
      <c r="G1" s="592"/>
      <c r="H1" s="592"/>
      <c r="I1" s="592"/>
      <c r="J1" s="592"/>
      <c r="K1" s="592"/>
    </row>
    <row r="2" spans="2:12" ht="41.25" customHeight="1" x14ac:dyDescent="0.2">
      <c r="G2" s="578" t="s">
        <v>1011</v>
      </c>
      <c r="H2" s="578"/>
      <c r="I2" s="578"/>
      <c r="J2" s="578"/>
      <c r="K2" s="578"/>
    </row>
    <row r="3" spans="2:12" ht="29.25" customHeight="1" x14ac:dyDescent="0.2">
      <c r="G3" s="370"/>
      <c r="H3" s="370"/>
      <c r="I3" s="370"/>
      <c r="J3" s="370"/>
      <c r="K3" s="370"/>
    </row>
    <row r="4" spans="2:12" ht="57" customHeight="1" x14ac:dyDescent="0.2">
      <c r="B4" s="593" t="s">
        <v>772</v>
      </c>
      <c r="C4" s="579"/>
      <c r="D4" s="579"/>
      <c r="E4" s="579"/>
      <c r="F4" s="579"/>
      <c r="G4" s="579"/>
      <c r="H4" s="579"/>
      <c r="I4" s="579"/>
      <c r="J4" s="579"/>
      <c r="K4" s="579"/>
    </row>
    <row r="5" spans="2:12" ht="22.5" x14ac:dyDescent="0.2">
      <c r="B5" s="373"/>
      <c r="C5" s="371"/>
      <c r="D5" s="371"/>
      <c r="E5" s="371"/>
      <c r="F5" s="371"/>
      <c r="G5" s="371"/>
      <c r="H5" s="371"/>
      <c r="I5" s="371"/>
      <c r="J5" s="371"/>
      <c r="K5" s="371"/>
    </row>
    <row r="6" spans="2:12" ht="18.75" x14ac:dyDescent="0.2">
      <c r="B6" s="594">
        <v>22201100000</v>
      </c>
      <c r="C6" s="595"/>
      <c r="D6" s="371"/>
      <c r="E6" s="371"/>
      <c r="F6" s="371"/>
      <c r="G6" s="371"/>
      <c r="H6" s="371"/>
      <c r="I6" s="371"/>
      <c r="J6" s="371"/>
      <c r="K6" s="371"/>
    </row>
    <row r="7" spans="2:12" ht="18.75" x14ac:dyDescent="0.2">
      <c r="B7" s="596" t="s">
        <v>698</v>
      </c>
      <c r="C7" s="597"/>
      <c r="D7" s="371"/>
      <c r="E7" s="371"/>
      <c r="F7" s="371"/>
      <c r="G7" s="371"/>
      <c r="H7" s="371"/>
      <c r="I7" s="371"/>
      <c r="J7" s="371"/>
      <c r="K7" s="371"/>
    </row>
    <row r="8" spans="2:12" ht="6" customHeight="1" thickBot="1" x14ac:dyDescent="0.25">
      <c r="B8" s="256"/>
      <c r="C8" s="360"/>
      <c r="D8" s="371"/>
      <c r="E8" s="371"/>
      <c r="F8" s="371"/>
      <c r="G8" s="371"/>
      <c r="H8" s="371"/>
      <c r="I8" s="371"/>
      <c r="J8" s="371"/>
      <c r="K8" s="371"/>
    </row>
    <row r="9" spans="2:12" ht="120" customHeight="1" thickTop="1" thickBot="1" x14ac:dyDescent="0.25">
      <c r="B9" s="257" t="s">
        <v>699</v>
      </c>
      <c r="C9" s="257" t="s">
        <v>700</v>
      </c>
      <c r="D9" s="257" t="s">
        <v>479</v>
      </c>
      <c r="E9" s="257" t="s">
        <v>773</v>
      </c>
      <c r="F9" s="258" t="s">
        <v>774</v>
      </c>
      <c r="G9" s="258" t="s">
        <v>775</v>
      </c>
      <c r="H9" s="258" t="s">
        <v>776</v>
      </c>
      <c r="I9" s="258" t="s">
        <v>777</v>
      </c>
      <c r="J9" s="258" t="s">
        <v>778</v>
      </c>
      <c r="K9" s="258" t="s">
        <v>779</v>
      </c>
    </row>
    <row r="10" spans="2:12" ht="20.25" customHeight="1" thickTop="1" thickBot="1" x14ac:dyDescent="0.25">
      <c r="B10" s="249">
        <v>1</v>
      </c>
      <c r="C10" s="249">
        <v>2</v>
      </c>
      <c r="D10" s="249">
        <v>3</v>
      </c>
      <c r="E10" s="249">
        <v>4</v>
      </c>
      <c r="F10" s="249">
        <v>5</v>
      </c>
      <c r="G10" s="249">
        <v>6</v>
      </c>
      <c r="H10" s="249">
        <v>7</v>
      </c>
      <c r="I10" s="249">
        <v>8</v>
      </c>
      <c r="J10" s="249">
        <v>9</v>
      </c>
      <c r="K10" s="249">
        <v>10</v>
      </c>
    </row>
    <row r="11" spans="2:12" ht="39.75" customHeight="1" thickTop="1" thickBot="1" x14ac:dyDescent="0.25">
      <c r="B11" s="459" t="s">
        <v>188</v>
      </c>
      <c r="C11" s="459"/>
      <c r="D11" s="459"/>
      <c r="E11" s="460" t="s">
        <v>190</v>
      </c>
      <c r="F11" s="459"/>
      <c r="G11" s="459"/>
      <c r="H11" s="459"/>
      <c r="I11" s="459"/>
      <c r="J11" s="461">
        <f>J12</f>
        <v>5416946</v>
      </c>
      <c r="K11" s="459"/>
    </row>
    <row r="12" spans="2:12" ht="47.25" customHeight="1" thickTop="1" thickBot="1" x14ac:dyDescent="0.25">
      <c r="B12" s="462" t="s">
        <v>189</v>
      </c>
      <c r="C12" s="462"/>
      <c r="D12" s="462"/>
      <c r="E12" s="463" t="s">
        <v>191</v>
      </c>
      <c r="F12" s="462"/>
      <c r="G12" s="462"/>
      <c r="H12" s="462"/>
      <c r="I12" s="462"/>
      <c r="J12" s="464">
        <f>SUM(J13:J20)</f>
        <v>5416946</v>
      </c>
      <c r="K12" s="462"/>
    </row>
    <row r="13" spans="2:12" ht="76.5" thickTop="1" thickBot="1" x14ac:dyDescent="0.25">
      <c r="B13" s="288" t="s">
        <v>282</v>
      </c>
      <c r="C13" s="288" t="s">
        <v>283</v>
      </c>
      <c r="D13" s="288" t="s">
        <v>284</v>
      </c>
      <c r="E13" s="288" t="s">
        <v>281</v>
      </c>
      <c r="F13" s="282" t="s">
        <v>780</v>
      </c>
      <c r="G13" s="388"/>
      <c r="H13" s="389"/>
      <c r="I13" s="388"/>
      <c r="J13" s="295">
        <f>((326000)+20000)+249300</f>
        <v>595300</v>
      </c>
      <c r="K13" s="295"/>
    </row>
    <row r="14" spans="2:12" ht="91.5" hidden="1" thickTop="1" thickBot="1" x14ac:dyDescent="0.25">
      <c r="B14" s="288" t="s">
        <v>282</v>
      </c>
      <c r="C14" s="288" t="s">
        <v>283</v>
      </c>
      <c r="D14" s="288" t="s">
        <v>284</v>
      </c>
      <c r="E14" s="288" t="s">
        <v>281</v>
      </c>
      <c r="F14" s="282" t="s">
        <v>868</v>
      </c>
      <c r="G14" s="289" t="s">
        <v>641</v>
      </c>
      <c r="H14" s="302"/>
      <c r="I14" s="294"/>
      <c r="J14" s="295">
        <f>(278000-178600)-99400</f>
        <v>0</v>
      </c>
      <c r="K14" s="294"/>
      <c r="L14" s="9" t="s">
        <v>869</v>
      </c>
    </row>
    <row r="15" spans="2:12" ht="91.5" hidden="1" thickTop="1" thickBot="1" x14ac:dyDescent="0.25">
      <c r="B15" s="288" t="s">
        <v>282</v>
      </c>
      <c r="C15" s="288" t="s">
        <v>283</v>
      </c>
      <c r="D15" s="288" t="s">
        <v>284</v>
      </c>
      <c r="E15" s="288" t="s">
        <v>281</v>
      </c>
      <c r="F15" s="282" t="s">
        <v>781</v>
      </c>
      <c r="G15" s="289" t="s">
        <v>641</v>
      </c>
      <c r="H15" s="302">
        <v>49900</v>
      </c>
      <c r="I15" s="294">
        <v>0</v>
      </c>
      <c r="J15" s="295">
        <f>(49900)-49900</f>
        <v>0</v>
      </c>
      <c r="K15" s="294">
        <f>(J15)/H15</f>
        <v>0</v>
      </c>
    </row>
    <row r="16" spans="2:12" ht="76.5" hidden="1" thickTop="1" thickBot="1" x14ac:dyDescent="0.25">
      <c r="B16" s="288" t="s">
        <v>282</v>
      </c>
      <c r="C16" s="288" t="s">
        <v>283</v>
      </c>
      <c r="D16" s="288" t="s">
        <v>284</v>
      </c>
      <c r="E16" s="288" t="s">
        <v>281</v>
      </c>
      <c r="F16" s="282" t="s">
        <v>610</v>
      </c>
      <c r="G16" s="289" t="s">
        <v>641</v>
      </c>
      <c r="H16" s="302">
        <v>100000</v>
      </c>
      <c r="I16" s="294">
        <v>0</v>
      </c>
      <c r="J16" s="295">
        <f>(100000)-100000</f>
        <v>0</v>
      </c>
      <c r="K16" s="294">
        <f>(J16)/H16</f>
        <v>0</v>
      </c>
    </row>
    <row r="17" spans="1:11" ht="76.5" thickTop="1" thickBot="1" x14ac:dyDescent="0.25">
      <c r="B17" s="288" t="s">
        <v>282</v>
      </c>
      <c r="C17" s="288" t="s">
        <v>283</v>
      </c>
      <c r="D17" s="288" t="s">
        <v>284</v>
      </c>
      <c r="E17" s="288" t="s">
        <v>281</v>
      </c>
      <c r="F17" s="282" t="s">
        <v>978</v>
      </c>
      <c r="G17" s="289"/>
      <c r="H17" s="302"/>
      <c r="I17" s="294"/>
      <c r="J17" s="295">
        <v>99000</v>
      </c>
      <c r="K17" s="294"/>
    </row>
    <row r="18" spans="1:11" ht="31.5" thickTop="1" thickBot="1" x14ac:dyDescent="0.25">
      <c r="B18" s="288" t="s">
        <v>288</v>
      </c>
      <c r="C18" s="288" t="s">
        <v>289</v>
      </c>
      <c r="D18" s="288" t="s">
        <v>290</v>
      </c>
      <c r="E18" s="288" t="s">
        <v>287</v>
      </c>
      <c r="F18" s="282" t="s">
        <v>780</v>
      </c>
      <c r="G18" s="388"/>
      <c r="H18" s="389"/>
      <c r="I18" s="388"/>
      <c r="J18" s="295">
        <f>(1300000)+51646-17000</f>
        <v>1334646</v>
      </c>
      <c r="K18" s="295"/>
    </row>
    <row r="19" spans="1:11" ht="61.5" thickTop="1" thickBot="1" x14ac:dyDescent="0.25">
      <c r="B19" s="288" t="s">
        <v>735</v>
      </c>
      <c r="C19" s="288" t="s">
        <v>736</v>
      </c>
      <c r="D19" s="288" t="s">
        <v>53</v>
      </c>
      <c r="E19" s="288" t="s">
        <v>737</v>
      </c>
      <c r="F19" s="282" t="s">
        <v>780</v>
      </c>
      <c r="G19" s="388"/>
      <c r="H19" s="389"/>
      <c r="I19" s="388"/>
      <c r="J19" s="295">
        <f>3048000+40000</f>
        <v>3088000</v>
      </c>
      <c r="K19" s="295"/>
    </row>
    <row r="20" spans="1:11" ht="196.5" thickTop="1" thickBot="1" x14ac:dyDescent="0.25">
      <c r="B20" s="288" t="s">
        <v>735</v>
      </c>
      <c r="C20" s="288" t="s">
        <v>736</v>
      </c>
      <c r="D20" s="288" t="s">
        <v>53</v>
      </c>
      <c r="E20" s="288" t="s">
        <v>737</v>
      </c>
      <c r="F20" s="282" t="s">
        <v>870</v>
      </c>
      <c r="G20" s="388"/>
      <c r="H20" s="389"/>
      <c r="I20" s="388"/>
      <c r="J20" s="295">
        <v>300000</v>
      </c>
      <c r="K20" s="295"/>
    </row>
    <row r="21" spans="1:11" ht="16.5" hidden="1" thickTop="1" thickBot="1" x14ac:dyDescent="0.25">
      <c r="B21" s="288"/>
      <c r="C21" s="288"/>
      <c r="D21" s="288"/>
      <c r="E21" s="288"/>
      <c r="F21" s="282"/>
      <c r="G21" s="388"/>
      <c r="H21" s="389"/>
      <c r="I21" s="388"/>
      <c r="J21" s="295"/>
      <c r="K21" s="295"/>
    </row>
    <row r="22" spans="1:11" ht="46.5" thickTop="1" thickBot="1" x14ac:dyDescent="0.25">
      <c r="A22" s="10"/>
      <c r="B22" s="459" t="s">
        <v>192</v>
      </c>
      <c r="C22" s="459"/>
      <c r="D22" s="459"/>
      <c r="E22" s="460" t="s">
        <v>0</v>
      </c>
      <c r="F22" s="459"/>
      <c r="G22" s="459"/>
      <c r="H22" s="459"/>
      <c r="I22" s="459"/>
      <c r="J22" s="461">
        <f>J23</f>
        <v>46353586.690000005</v>
      </c>
      <c r="K22" s="459"/>
    </row>
    <row r="23" spans="1:11" ht="44.25" thickTop="1" thickBot="1" x14ac:dyDescent="0.25">
      <c r="A23" s="10"/>
      <c r="B23" s="462" t="s">
        <v>193</v>
      </c>
      <c r="C23" s="462"/>
      <c r="D23" s="462"/>
      <c r="E23" s="463" t="s">
        <v>1</v>
      </c>
      <c r="F23" s="462"/>
      <c r="G23" s="462"/>
      <c r="H23" s="462"/>
      <c r="I23" s="462"/>
      <c r="J23" s="464">
        <f>SUM(J24:J65)</f>
        <v>46353586.690000005</v>
      </c>
      <c r="K23" s="462"/>
    </row>
    <row r="24" spans="1:11" ht="31.5" thickTop="1" thickBot="1" x14ac:dyDescent="0.25">
      <c r="B24" s="288" t="s">
        <v>244</v>
      </c>
      <c r="C24" s="288" t="s">
        <v>245</v>
      </c>
      <c r="D24" s="288" t="s">
        <v>247</v>
      </c>
      <c r="E24" s="288" t="s">
        <v>248</v>
      </c>
      <c r="F24" s="282" t="s">
        <v>780</v>
      </c>
      <c r="G24" s="390"/>
      <c r="H24" s="302"/>
      <c r="I24" s="290"/>
      <c r="J24" s="295">
        <f>1010035+167800</f>
        <v>1177835</v>
      </c>
      <c r="K24" s="295"/>
    </row>
    <row r="25" spans="1:11" ht="91.5" thickTop="1" thickBot="1" x14ac:dyDescent="0.25">
      <c r="B25" s="465" t="s">
        <v>244</v>
      </c>
      <c r="C25" s="465" t="s">
        <v>245</v>
      </c>
      <c r="D25" s="465" t="s">
        <v>247</v>
      </c>
      <c r="E25" s="465" t="s">
        <v>248</v>
      </c>
      <c r="F25" s="466" t="s">
        <v>782</v>
      </c>
      <c r="G25" s="473" t="s">
        <v>551</v>
      </c>
      <c r="H25" s="468">
        <v>2298771.4900000002</v>
      </c>
      <c r="I25" s="469">
        <f>984339.94/H25</f>
        <v>0.42820260486178202</v>
      </c>
      <c r="J25" s="470">
        <v>460000</v>
      </c>
      <c r="K25" s="469">
        <f>(J25+984339.94)/H25</f>
        <v>0.6283094889087909</v>
      </c>
    </row>
    <row r="26" spans="1:11" ht="76.5" thickTop="1" thickBot="1" x14ac:dyDescent="0.25">
      <c r="B26" s="288" t="s">
        <v>244</v>
      </c>
      <c r="C26" s="288" t="s">
        <v>245</v>
      </c>
      <c r="D26" s="288" t="s">
        <v>247</v>
      </c>
      <c r="E26" s="288" t="s">
        <v>248</v>
      </c>
      <c r="F26" s="282" t="s">
        <v>783</v>
      </c>
      <c r="G26" s="390" t="s">
        <v>551</v>
      </c>
      <c r="H26" s="302">
        <v>8521327.8499999996</v>
      </c>
      <c r="I26" s="294">
        <f>(999840/H26)</f>
        <v>0.11733382608908775</v>
      </c>
      <c r="J26" s="295">
        <f>(((1000000)+3000000-929100)+500000)+580000</f>
        <v>4150900</v>
      </c>
      <c r="K26" s="294">
        <f>(J26+999840)/H26</f>
        <v>0.60445274382912051</v>
      </c>
    </row>
    <row r="27" spans="1:11" ht="61.5" thickTop="1" thickBot="1" x14ac:dyDescent="0.25">
      <c r="B27" s="288" t="s">
        <v>244</v>
      </c>
      <c r="C27" s="288" t="s">
        <v>245</v>
      </c>
      <c r="D27" s="288" t="s">
        <v>247</v>
      </c>
      <c r="E27" s="288" t="s">
        <v>248</v>
      </c>
      <c r="F27" s="282" t="s">
        <v>784</v>
      </c>
      <c r="G27" s="289" t="s">
        <v>641</v>
      </c>
      <c r="H27" s="302">
        <v>200000</v>
      </c>
      <c r="I27" s="294">
        <v>0</v>
      </c>
      <c r="J27" s="295">
        <v>200000</v>
      </c>
      <c r="K27" s="294">
        <v>1</v>
      </c>
    </row>
    <row r="28" spans="1:11" ht="76.5" thickTop="1" thickBot="1" x14ac:dyDescent="0.25">
      <c r="B28" s="288" t="s">
        <v>244</v>
      </c>
      <c r="C28" s="288" t="s">
        <v>245</v>
      </c>
      <c r="D28" s="288" t="s">
        <v>247</v>
      </c>
      <c r="E28" s="288" t="s">
        <v>248</v>
      </c>
      <c r="F28" s="282" t="s">
        <v>785</v>
      </c>
      <c r="G28" s="289" t="s">
        <v>641</v>
      </c>
      <c r="H28" s="302">
        <v>700000</v>
      </c>
      <c r="I28" s="294">
        <v>0</v>
      </c>
      <c r="J28" s="295">
        <v>300000</v>
      </c>
      <c r="K28" s="294">
        <f>(H28*I28+J28)/H28</f>
        <v>0.42857142857142855</v>
      </c>
    </row>
    <row r="29" spans="1:11" ht="76.5" hidden="1" thickTop="1" thickBot="1" x14ac:dyDescent="0.25">
      <c r="B29" s="265" t="s">
        <v>244</v>
      </c>
      <c r="C29" s="265" t="s">
        <v>245</v>
      </c>
      <c r="D29" s="265" t="s">
        <v>247</v>
      </c>
      <c r="E29" s="265" t="s">
        <v>248</v>
      </c>
      <c r="F29" s="266" t="s">
        <v>786</v>
      </c>
      <c r="G29" s="269" t="s">
        <v>641</v>
      </c>
      <c r="H29" s="270">
        <v>1099801</v>
      </c>
      <c r="I29" s="271">
        <v>0</v>
      </c>
      <c r="J29" s="260"/>
      <c r="K29" s="271">
        <v>1</v>
      </c>
    </row>
    <row r="30" spans="1:11" ht="61.5" hidden="1" thickTop="1" thickBot="1" x14ac:dyDescent="0.25">
      <c r="B30" s="265" t="s">
        <v>244</v>
      </c>
      <c r="C30" s="265" t="s">
        <v>245</v>
      </c>
      <c r="D30" s="265" t="s">
        <v>247</v>
      </c>
      <c r="E30" s="265" t="s">
        <v>248</v>
      </c>
      <c r="F30" s="266" t="s">
        <v>787</v>
      </c>
      <c r="G30" s="272" t="s">
        <v>539</v>
      </c>
      <c r="H30" s="270">
        <v>966768</v>
      </c>
      <c r="I30" s="271">
        <f>88927.2/H30</f>
        <v>9.1984012710391735E-2</v>
      </c>
      <c r="J30" s="260"/>
      <c r="K30" s="271">
        <v>1</v>
      </c>
    </row>
    <row r="31" spans="1:11" ht="106.5" thickTop="1" thickBot="1" x14ac:dyDescent="0.25">
      <c r="B31" s="288" t="s">
        <v>244</v>
      </c>
      <c r="C31" s="288" t="s">
        <v>245</v>
      </c>
      <c r="D31" s="288" t="s">
        <v>247</v>
      </c>
      <c r="E31" s="288" t="s">
        <v>248</v>
      </c>
      <c r="F31" s="282" t="s">
        <v>873</v>
      </c>
      <c r="G31" s="390" t="s">
        <v>689</v>
      </c>
      <c r="H31" s="302"/>
      <c r="I31" s="294"/>
      <c r="J31" s="295">
        <f>(1000000-850000)-9000</f>
        <v>141000</v>
      </c>
      <c r="K31" s="294"/>
    </row>
    <row r="32" spans="1:11" ht="61.5" thickTop="1" thickBot="1" x14ac:dyDescent="0.25">
      <c r="B32" s="288" t="s">
        <v>249</v>
      </c>
      <c r="C32" s="288" t="s">
        <v>246</v>
      </c>
      <c r="D32" s="288" t="s">
        <v>250</v>
      </c>
      <c r="E32" s="288" t="s">
        <v>712</v>
      </c>
      <c r="F32" s="282" t="s">
        <v>780</v>
      </c>
      <c r="G32" s="289"/>
      <c r="H32" s="302"/>
      <c r="I32" s="294"/>
      <c r="J32" s="295">
        <f>(((9376980)-15880+5913611+588933+174277+145723+1452531+442740)+548-62825-380775+273600)-24136-145723-91000</f>
        <v>17648604</v>
      </c>
      <c r="K32" s="294"/>
    </row>
    <row r="33" spans="2:12" ht="76.5" thickTop="1" thickBot="1" x14ac:dyDescent="0.25">
      <c r="B33" s="288" t="s">
        <v>249</v>
      </c>
      <c r="C33" s="288" t="s">
        <v>246</v>
      </c>
      <c r="D33" s="288" t="s">
        <v>250</v>
      </c>
      <c r="E33" s="288" t="s">
        <v>712</v>
      </c>
      <c r="F33" s="466" t="s">
        <v>980</v>
      </c>
      <c r="G33" s="467" t="s">
        <v>641</v>
      </c>
      <c r="H33" s="474">
        <v>79664</v>
      </c>
      <c r="I33" s="469">
        <v>0</v>
      </c>
      <c r="J33" s="470">
        <v>49000</v>
      </c>
      <c r="K33" s="469">
        <v>1</v>
      </c>
    </row>
    <row r="34" spans="2:12" ht="61.5" thickTop="1" thickBot="1" x14ac:dyDescent="0.25">
      <c r="B34" s="288" t="s">
        <v>249</v>
      </c>
      <c r="C34" s="288" t="s">
        <v>246</v>
      </c>
      <c r="D34" s="288" t="s">
        <v>250</v>
      </c>
      <c r="E34" s="288" t="s">
        <v>712</v>
      </c>
      <c r="F34" s="391" t="s">
        <v>587</v>
      </c>
      <c r="G34" s="390" t="s">
        <v>551</v>
      </c>
      <c r="H34" s="302">
        <v>1601935</v>
      </c>
      <c r="I34" s="294">
        <f>(71240)/H34</f>
        <v>4.4471217621189371E-2</v>
      </c>
      <c r="J34" s="295">
        <f>(700000)+797539</f>
        <v>1497539</v>
      </c>
      <c r="K34" s="294">
        <v>1</v>
      </c>
      <c r="L34" s="242" t="s">
        <v>788</v>
      </c>
    </row>
    <row r="35" spans="2:12" ht="121.5" hidden="1" thickTop="1" thickBot="1" x14ac:dyDescent="0.25">
      <c r="B35" s="288" t="s">
        <v>249</v>
      </c>
      <c r="C35" s="288" t="s">
        <v>246</v>
      </c>
      <c r="D35" s="288" t="s">
        <v>250</v>
      </c>
      <c r="E35" s="288" t="s">
        <v>712</v>
      </c>
      <c r="F35" s="391" t="s">
        <v>789</v>
      </c>
      <c r="G35" s="289" t="s">
        <v>641</v>
      </c>
      <c r="H35" s="302">
        <v>450000</v>
      </c>
      <c r="I35" s="294">
        <v>0</v>
      </c>
      <c r="J35" s="302">
        <f>450000-450000</f>
        <v>0</v>
      </c>
      <c r="K35" s="294">
        <v>1</v>
      </c>
      <c r="L35" s="242"/>
    </row>
    <row r="36" spans="2:12" ht="91.5" thickTop="1" thickBot="1" x14ac:dyDescent="0.25">
      <c r="B36" s="288" t="s">
        <v>249</v>
      </c>
      <c r="C36" s="288" t="s">
        <v>246</v>
      </c>
      <c r="D36" s="288" t="s">
        <v>250</v>
      </c>
      <c r="E36" s="288" t="s">
        <v>712</v>
      </c>
      <c r="F36" s="282" t="s">
        <v>790</v>
      </c>
      <c r="G36" s="390" t="s">
        <v>551</v>
      </c>
      <c r="H36" s="302">
        <v>414023</v>
      </c>
      <c r="I36" s="294">
        <f>46883/H36</f>
        <v>0.11323767037096973</v>
      </c>
      <c r="J36" s="295">
        <v>367140</v>
      </c>
      <c r="K36" s="294">
        <f>(46883+J36)/H36</f>
        <v>1</v>
      </c>
    </row>
    <row r="37" spans="2:12" ht="61.5" thickTop="1" thickBot="1" x14ac:dyDescent="0.25">
      <c r="B37" s="288" t="s">
        <v>249</v>
      </c>
      <c r="C37" s="288" t="s">
        <v>246</v>
      </c>
      <c r="D37" s="288" t="s">
        <v>250</v>
      </c>
      <c r="E37" s="288" t="s">
        <v>712</v>
      </c>
      <c r="F37" s="391" t="s">
        <v>791</v>
      </c>
      <c r="G37" s="289" t="s">
        <v>641</v>
      </c>
      <c r="H37" s="302">
        <v>300000</v>
      </c>
      <c r="I37" s="294">
        <v>0</v>
      </c>
      <c r="J37" s="295">
        <f>(300000)-18500</f>
        <v>281500</v>
      </c>
      <c r="K37" s="294">
        <v>1</v>
      </c>
    </row>
    <row r="38" spans="2:12" ht="61.5" thickTop="1" thickBot="1" x14ac:dyDescent="0.25">
      <c r="B38" s="288" t="s">
        <v>249</v>
      </c>
      <c r="C38" s="288" t="s">
        <v>246</v>
      </c>
      <c r="D38" s="288" t="s">
        <v>250</v>
      </c>
      <c r="E38" s="288" t="s">
        <v>712</v>
      </c>
      <c r="F38" s="391" t="s">
        <v>792</v>
      </c>
      <c r="G38" s="289" t="s">
        <v>641</v>
      </c>
      <c r="H38" s="302">
        <v>400000</v>
      </c>
      <c r="I38" s="294">
        <v>0</v>
      </c>
      <c r="J38" s="295">
        <f>(400000)-18000</f>
        <v>382000</v>
      </c>
      <c r="K38" s="294">
        <v>1</v>
      </c>
    </row>
    <row r="39" spans="2:12" ht="61.5" thickTop="1" thickBot="1" x14ac:dyDescent="0.25">
      <c r="B39" s="288" t="s">
        <v>249</v>
      </c>
      <c r="C39" s="288" t="s">
        <v>246</v>
      </c>
      <c r="D39" s="288" t="s">
        <v>250</v>
      </c>
      <c r="E39" s="288" t="s">
        <v>712</v>
      </c>
      <c r="F39" s="391" t="s">
        <v>793</v>
      </c>
      <c r="G39" s="390" t="s">
        <v>551</v>
      </c>
      <c r="H39" s="302">
        <v>6849663</v>
      </c>
      <c r="I39" s="294">
        <f>(3991015.32/H39)*100%</f>
        <v>0.58265863882646485</v>
      </c>
      <c r="J39" s="295">
        <f>(1000000)+1858647.68</f>
        <v>2858647.6799999997</v>
      </c>
      <c r="K39" s="294">
        <f>((3991015.32+J39)/H39)*100%</f>
        <v>1</v>
      </c>
    </row>
    <row r="40" spans="2:12" ht="121.5" thickTop="1" thickBot="1" x14ac:dyDescent="0.25">
      <c r="B40" s="288" t="s">
        <v>249</v>
      </c>
      <c r="C40" s="288" t="s">
        <v>246</v>
      </c>
      <c r="D40" s="288" t="s">
        <v>250</v>
      </c>
      <c r="E40" s="288" t="s">
        <v>712</v>
      </c>
      <c r="F40" s="391" t="s">
        <v>794</v>
      </c>
      <c r="G40" s="289" t="s">
        <v>641</v>
      </c>
      <c r="H40" s="302">
        <v>604430</v>
      </c>
      <c r="I40" s="294">
        <v>0</v>
      </c>
      <c r="J40" s="302">
        <v>604430</v>
      </c>
      <c r="K40" s="294">
        <v>1</v>
      </c>
    </row>
    <row r="41" spans="2:12" ht="121.5" hidden="1" thickTop="1" thickBot="1" x14ac:dyDescent="0.25">
      <c r="B41" s="265" t="s">
        <v>249</v>
      </c>
      <c r="C41" s="265" t="s">
        <v>246</v>
      </c>
      <c r="D41" s="265" t="s">
        <v>250</v>
      </c>
      <c r="E41" s="265" t="s">
        <v>712</v>
      </c>
      <c r="F41" s="273" t="s">
        <v>795</v>
      </c>
      <c r="G41" s="269" t="s">
        <v>641</v>
      </c>
      <c r="H41" s="270">
        <v>432673</v>
      </c>
      <c r="I41" s="271">
        <v>0</v>
      </c>
      <c r="J41" s="270"/>
      <c r="K41" s="271">
        <v>1</v>
      </c>
    </row>
    <row r="42" spans="2:12" ht="61.5" thickTop="1" thickBot="1" x14ac:dyDescent="0.25">
      <c r="B42" s="288" t="s">
        <v>249</v>
      </c>
      <c r="C42" s="288" t="s">
        <v>246</v>
      </c>
      <c r="D42" s="288" t="s">
        <v>250</v>
      </c>
      <c r="E42" s="288" t="s">
        <v>712</v>
      </c>
      <c r="F42" s="391" t="s">
        <v>860</v>
      </c>
      <c r="G42" s="289" t="s">
        <v>641</v>
      </c>
      <c r="H42" s="302">
        <v>300000</v>
      </c>
      <c r="I42" s="294">
        <v>0</v>
      </c>
      <c r="J42" s="302">
        <v>300000</v>
      </c>
      <c r="K42" s="294">
        <v>1</v>
      </c>
    </row>
    <row r="43" spans="2:12" ht="61.5" thickTop="1" thickBot="1" x14ac:dyDescent="0.25">
      <c r="B43" s="288" t="s">
        <v>249</v>
      </c>
      <c r="C43" s="288" t="s">
        <v>246</v>
      </c>
      <c r="D43" s="288" t="s">
        <v>250</v>
      </c>
      <c r="E43" s="288" t="s">
        <v>712</v>
      </c>
      <c r="F43" s="391" t="s">
        <v>859</v>
      </c>
      <c r="G43" s="289" t="s">
        <v>641</v>
      </c>
      <c r="H43" s="302">
        <v>299873</v>
      </c>
      <c r="I43" s="294">
        <v>0</v>
      </c>
      <c r="J43" s="302">
        <v>299873</v>
      </c>
      <c r="K43" s="294">
        <v>1</v>
      </c>
    </row>
    <row r="44" spans="2:12" ht="61.5" hidden="1" thickTop="1" thickBot="1" x14ac:dyDescent="0.25">
      <c r="B44" s="288" t="s">
        <v>249</v>
      </c>
      <c r="C44" s="288" t="s">
        <v>246</v>
      </c>
      <c r="D44" s="288" t="s">
        <v>250</v>
      </c>
      <c r="E44" s="288" t="s">
        <v>712</v>
      </c>
      <c r="F44" s="282" t="s">
        <v>861</v>
      </c>
      <c r="G44" s="289" t="s">
        <v>641</v>
      </c>
      <c r="H44" s="302"/>
      <c r="I44" s="294"/>
      <c r="J44" s="302">
        <f>70000-70000</f>
        <v>0</v>
      </c>
      <c r="K44" s="294"/>
    </row>
    <row r="45" spans="2:12" ht="61.5" thickTop="1" thickBot="1" x14ac:dyDescent="0.25">
      <c r="B45" s="288" t="s">
        <v>249</v>
      </c>
      <c r="C45" s="288" t="s">
        <v>246</v>
      </c>
      <c r="D45" s="288" t="s">
        <v>250</v>
      </c>
      <c r="E45" s="288" t="s">
        <v>712</v>
      </c>
      <c r="F45" s="391" t="s">
        <v>874</v>
      </c>
      <c r="G45" s="390" t="s">
        <v>551</v>
      </c>
      <c r="H45" s="302">
        <v>1615339</v>
      </c>
      <c r="I45" s="294">
        <f>(100500/H45)</f>
        <v>6.2216042576821333E-2</v>
      </c>
      <c r="J45" s="295">
        <f>((300000)+1150000)+57100</f>
        <v>1507100</v>
      </c>
      <c r="K45" s="294">
        <v>1</v>
      </c>
    </row>
    <row r="46" spans="2:12" ht="91.5" thickTop="1" thickBot="1" x14ac:dyDescent="0.25">
      <c r="B46" s="288" t="s">
        <v>249</v>
      </c>
      <c r="C46" s="288" t="s">
        <v>246</v>
      </c>
      <c r="D46" s="288" t="s">
        <v>250</v>
      </c>
      <c r="E46" s="288" t="s">
        <v>712</v>
      </c>
      <c r="F46" s="391" t="s">
        <v>796</v>
      </c>
      <c r="G46" s="289" t="s">
        <v>641</v>
      </c>
      <c r="H46" s="302">
        <v>331648</v>
      </c>
      <c r="I46" s="294">
        <v>0</v>
      </c>
      <c r="J46" s="302">
        <f>(331648)-1000</f>
        <v>330648</v>
      </c>
      <c r="K46" s="294">
        <v>1</v>
      </c>
    </row>
    <row r="47" spans="2:12" ht="136.5" thickTop="1" thickBot="1" x14ac:dyDescent="0.25">
      <c r="B47" s="288" t="s">
        <v>249</v>
      </c>
      <c r="C47" s="288" t="s">
        <v>246</v>
      </c>
      <c r="D47" s="288" t="s">
        <v>250</v>
      </c>
      <c r="E47" s="288" t="s">
        <v>712</v>
      </c>
      <c r="F47" s="391" t="s">
        <v>797</v>
      </c>
      <c r="G47" s="390" t="s">
        <v>539</v>
      </c>
      <c r="H47" s="302">
        <v>4810722</v>
      </c>
      <c r="I47" s="294">
        <f>(3944592.36/H47)*100%</f>
        <v>0.81995849271689358</v>
      </c>
      <c r="J47" s="295">
        <f>(500000)+366129.64</f>
        <v>866129.64</v>
      </c>
      <c r="K47" s="294">
        <f>((3944592.36+J47)/H47)*100%</f>
        <v>1</v>
      </c>
    </row>
    <row r="48" spans="2:12" ht="91.5" thickTop="1" thickBot="1" x14ac:dyDescent="0.25">
      <c r="B48" s="288" t="s">
        <v>249</v>
      </c>
      <c r="C48" s="288" t="s">
        <v>246</v>
      </c>
      <c r="D48" s="288" t="s">
        <v>250</v>
      </c>
      <c r="E48" s="288" t="s">
        <v>712</v>
      </c>
      <c r="F48" s="391" t="s">
        <v>798</v>
      </c>
      <c r="G48" s="390" t="s">
        <v>551</v>
      </c>
      <c r="H48" s="302">
        <v>1414079</v>
      </c>
      <c r="I48" s="294">
        <f>(15823.75/H48)</f>
        <v>1.1190145670786427E-2</v>
      </c>
      <c r="J48" s="295">
        <f>(900000)-10500</f>
        <v>889500</v>
      </c>
      <c r="K48" s="294">
        <v>1</v>
      </c>
    </row>
    <row r="49" spans="1:13" ht="106.5" thickTop="1" thickBot="1" x14ac:dyDescent="0.25">
      <c r="B49" s="288" t="s">
        <v>249</v>
      </c>
      <c r="C49" s="288" t="s">
        <v>246</v>
      </c>
      <c r="D49" s="288" t="s">
        <v>250</v>
      </c>
      <c r="E49" s="288" t="s">
        <v>712</v>
      </c>
      <c r="F49" s="391" t="s">
        <v>799</v>
      </c>
      <c r="G49" s="289" t="s">
        <v>641</v>
      </c>
      <c r="H49" s="302">
        <v>1000000</v>
      </c>
      <c r="I49" s="294">
        <v>0</v>
      </c>
      <c r="J49" s="295">
        <f>(300000)</f>
        <v>300000</v>
      </c>
      <c r="K49" s="294">
        <f>J49/H49*100%</f>
        <v>0.3</v>
      </c>
    </row>
    <row r="50" spans="1:13" ht="151.5" thickTop="1" thickBot="1" x14ac:dyDescent="0.25">
      <c r="B50" s="288" t="s">
        <v>249</v>
      </c>
      <c r="C50" s="288" t="s">
        <v>246</v>
      </c>
      <c r="D50" s="288" t="s">
        <v>250</v>
      </c>
      <c r="E50" s="288" t="s">
        <v>712</v>
      </c>
      <c r="F50" s="391" t="s">
        <v>800</v>
      </c>
      <c r="G50" s="289" t="s">
        <v>641</v>
      </c>
      <c r="H50" s="302">
        <v>1490878</v>
      </c>
      <c r="I50" s="294">
        <v>0</v>
      </c>
      <c r="J50" s="295">
        <f>(700000)+790878</f>
        <v>1490878</v>
      </c>
      <c r="K50" s="294">
        <f>J50/H50</f>
        <v>1</v>
      </c>
      <c r="L50" s="242"/>
      <c r="M50" s="259"/>
    </row>
    <row r="51" spans="1:13" ht="151.5" thickTop="1" thickBot="1" x14ac:dyDescent="0.25">
      <c r="B51" s="288" t="s">
        <v>249</v>
      </c>
      <c r="C51" s="288" t="s">
        <v>246</v>
      </c>
      <c r="D51" s="288" t="s">
        <v>250</v>
      </c>
      <c r="E51" s="288" t="s">
        <v>712</v>
      </c>
      <c r="F51" s="391" t="s">
        <v>944</v>
      </c>
      <c r="G51" s="289" t="s">
        <v>641</v>
      </c>
      <c r="H51" s="302">
        <v>1500000</v>
      </c>
      <c r="I51" s="294">
        <v>0</v>
      </c>
      <c r="J51" s="295">
        <f>(((700000)+800000)-400000)-36062.01</f>
        <v>1063937.99</v>
      </c>
      <c r="K51" s="294">
        <v>1</v>
      </c>
      <c r="L51" s="242">
        <v>1044982</v>
      </c>
    </row>
    <row r="52" spans="1:13" ht="136.5" hidden="1" thickTop="1" thickBot="1" x14ac:dyDescent="0.25">
      <c r="B52" s="265" t="s">
        <v>249</v>
      </c>
      <c r="C52" s="265" t="s">
        <v>246</v>
      </c>
      <c r="D52" s="265" t="s">
        <v>250</v>
      </c>
      <c r="E52" s="265" t="s">
        <v>712</v>
      </c>
      <c r="F52" s="273" t="s">
        <v>801</v>
      </c>
      <c r="G52" s="269"/>
      <c r="H52" s="270"/>
      <c r="I52" s="271"/>
      <c r="J52" s="260"/>
      <c r="K52" s="271"/>
    </row>
    <row r="53" spans="1:13" ht="166.5" thickTop="1" thickBot="1" x14ac:dyDescent="0.25">
      <c r="B53" s="288" t="s">
        <v>249</v>
      </c>
      <c r="C53" s="288" t="s">
        <v>246</v>
      </c>
      <c r="D53" s="288" t="s">
        <v>250</v>
      </c>
      <c r="E53" s="288" t="s">
        <v>712</v>
      </c>
      <c r="F53" s="391" t="s">
        <v>875</v>
      </c>
      <c r="G53" s="289" t="s">
        <v>641</v>
      </c>
      <c r="H53" s="302">
        <v>1489695</v>
      </c>
      <c r="I53" s="294">
        <v>0</v>
      </c>
      <c r="J53" s="295">
        <f>(700000)+789695</f>
        <v>1489695</v>
      </c>
      <c r="K53" s="294">
        <f>J53/H53</f>
        <v>1</v>
      </c>
      <c r="L53" s="242"/>
      <c r="M53" s="259"/>
    </row>
    <row r="54" spans="1:13" ht="106.5" thickTop="1" thickBot="1" x14ac:dyDescent="0.25">
      <c r="B54" s="288" t="s">
        <v>249</v>
      </c>
      <c r="C54" s="288" t="s">
        <v>246</v>
      </c>
      <c r="D54" s="288" t="s">
        <v>250</v>
      </c>
      <c r="E54" s="288" t="s">
        <v>712</v>
      </c>
      <c r="F54" s="391" t="s">
        <v>907</v>
      </c>
      <c r="G54" s="390" t="s">
        <v>551</v>
      </c>
      <c r="H54" s="302">
        <v>1499056</v>
      </c>
      <c r="I54" s="294">
        <f>1281636.5/H54</f>
        <v>0.85496238966389515</v>
      </c>
      <c r="J54" s="295">
        <f>(1499056-1281636.5)-8780</f>
        <v>208639.5</v>
      </c>
      <c r="K54" s="294">
        <v>1</v>
      </c>
      <c r="L54" s="242"/>
      <c r="M54" s="259"/>
    </row>
    <row r="55" spans="1:13" ht="151.5" thickTop="1" thickBot="1" x14ac:dyDescent="0.25">
      <c r="B55" s="288" t="s">
        <v>249</v>
      </c>
      <c r="C55" s="288" t="s">
        <v>246</v>
      </c>
      <c r="D55" s="288" t="s">
        <v>250</v>
      </c>
      <c r="E55" s="288" t="s">
        <v>712</v>
      </c>
      <c r="F55" s="391" t="s">
        <v>802</v>
      </c>
      <c r="G55" s="289" t="s">
        <v>641</v>
      </c>
      <c r="H55" s="302">
        <v>1498929</v>
      </c>
      <c r="I55" s="294">
        <v>0</v>
      </c>
      <c r="J55" s="295">
        <f>(60000)-1000</f>
        <v>59000</v>
      </c>
      <c r="K55" s="294">
        <f>J55/H55</f>
        <v>3.9361437399636677E-2</v>
      </c>
      <c r="L55" s="242"/>
      <c r="M55" s="259"/>
    </row>
    <row r="56" spans="1:13" ht="76.5" thickTop="1" thickBot="1" x14ac:dyDescent="0.25">
      <c r="B56" s="288" t="s">
        <v>714</v>
      </c>
      <c r="C56" s="288" t="s">
        <v>251</v>
      </c>
      <c r="D56" s="288" t="s">
        <v>253</v>
      </c>
      <c r="E56" s="288" t="s">
        <v>713</v>
      </c>
      <c r="F56" s="282" t="s">
        <v>780</v>
      </c>
      <c r="G56" s="390"/>
      <c r="H56" s="302"/>
      <c r="I56" s="290"/>
      <c r="J56" s="295">
        <f>(((32000)+16250+1849+548+19452)-548)-19452</f>
        <v>50099</v>
      </c>
      <c r="K56" s="295"/>
    </row>
    <row r="57" spans="1:13" ht="46.5" thickTop="1" thickBot="1" x14ac:dyDescent="0.25">
      <c r="B57" s="288" t="s">
        <v>254</v>
      </c>
      <c r="C57" s="288" t="s">
        <v>237</v>
      </c>
      <c r="D57" s="288" t="s">
        <v>226</v>
      </c>
      <c r="E57" s="288" t="s">
        <v>715</v>
      </c>
      <c r="F57" s="282" t="s">
        <v>780</v>
      </c>
      <c r="G57" s="390"/>
      <c r="H57" s="302"/>
      <c r="I57" s="290"/>
      <c r="J57" s="295">
        <v>619000</v>
      </c>
      <c r="K57" s="295"/>
    </row>
    <row r="58" spans="1:13" ht="76.5" thickTop="1" thickBot="1" x14ac:dyDescent="0.25">
      <c r="B58" s="288" t="s">
        <v>254</v>
      </c>
      <c r="C58" s="288" t="s">
        <v>237</v>
      </c>
      <c r="D58" s="288" t="s">
        <v>226</v>
      </c>
      <c r="E58" s="288" t="s">
        <v>715</v>
      </c>
      <c r="F58" s="282" t="s">
        <v>803</v>
      </c>
      <c r="G58" s="390" t="s">
        <v>804</v>
      </c>
      <c r="H58" s="302">
        <v>15246271</v>
      </c>
      <c r="I58" s="294">
        <f>(10870900.41)/H58</f>
        <v>0.71302027951621749</v>
      </c>
      <c r="J58" s="295">
        <f>(1000000)+2000000</f>
        <v>3000000</v>
      </c>
      <c r="K58" s="294">
        <f>(10870900.41+J58)/H58</f>
        <v>0.90978970595498398</v>
      </c>
    </row>
    <row r="59" spans="1:13" ht="76.5" thickTop="1" thickBot="1" x14ac:dyDescent="0.25">
      <c r="B59" s="288" t="s">
        <v>254</v>
      </c>
      <c r="C59" s="288" t="s">
        <v>237</v>
      </c>
      <c r="D59" s="288" t="s">
        <v>226</v>
      </c>
      <c r="E59" s="288" t="s">
        <v>715</v>
      </c>
      <c r="F59" s="282" t="s">
        <v>805</v>
      </c>
      <c r="G59" s="289" t="s">
        <v>641</v>
      </c>
      <c r="H59" s="302">
        <v>1500000</v>
      </c>
      <c r="I59" s="294">
        <v>0</v>
      </c>
      <c r="J59" s="295">
        <v>1500000</v>
      </c>
      <c r="K59" s="294">
        <f>J59/H59</f>
        <v>1</v>
      </c>
    </row>
    <row r="60" spans="1:13" ht="106.5" hidden="1" thickTop="1" thickBot="1" x14ac:dyDescent="0.25">
      <c r="B60" s="265" t="s">
        <v>254</v>
      </c>
      <c r="C60" s="265" t="s">
        <v>237</v>
      </c>
      <c r="D60" s="265" t="s">
        <v>226</v>
      </c>
      <c r="E60" s="265" t="s">
        <v>715</v>
      </c>
      <c r="F60" s="266" t="s">
        <v>806</v>
      </c>
      <c r="G60" s="269"/>
      <c r="H60" s="270"/>
      <c r="I60" s="271"/>
      <c r="J60" s="260"/>
      <c r="K60" s="271"/>
    </row>
    <row r="61" spans="1:13" ht="46.5" thickTop="1" thickBot="1" x14ac:dyDescent="0.25">
      <c r="B61" s="465" t="s">
        <v>255</v>
      </c>
      <c r="C61" s="465" t="s">
        <v>256</v>
      </c>
      <c r="D61" s="465" t="s">
        <v>257</v>
      </c>
      <c r="E61" s="465" t="s">
        <v>717</v>
      </c>
      <c r="F61" s="466" t="s">
        <v>780</v>
      </c>
      <c r="G61" s="467"/>
      <c r="H61" s="468"/>
      <c r="I61" s="469"/>
      <c r="J61" s="470">
        <v>68000</v>
      </c>
      <c r="K61" s="469"/>
    </row>
    <row r="62" spans="1:13" ht="151.5" thickTop="1" thickBot="1" x14ac:dyDescent="0.25">
      <c r="B62" s="288" t="s">
        <v>255</v>
      </c>
      <c r="C62" s="288" t="s">
        <v>256</v>
      </c>
      <c r="D62" s="288" t="s">
        <v>257</v>
      </c>
      <c r="E62" s="288" t="s">
        <v>717</v>
      </c>
      <c r="F62" s="391" t="s">
        <v>1009</v>
      </c>
      <c r="G62" s="289"/>
      <c r="H62" s="302"/>
      <c r="I62" s="294"/>
      <c r="J62" s="295">
        <v>200000</v>
      </c>
      <c r="K62" s="469"/>
    </row>
    <row r="63" spans="1:13" ht="76.5" thickTop="1" thickBot="1" x14ac:dyDescent="0.25">
      <c r="A63" s="276"/>
      <c r="B63" s="465" t="s">
        <v>255</v>
      </c>
      <c r="C63" s="465" t="s">
        <v>256</v>
      </c>
      <c r="D63" s="465" t="s">
        <v>257</v>
      </c>
      <c r="E63" s="465" t="s">
        <v>717</v>
      </c>
      <c r="F63" s="466" t="s">
        <v>807</v>
      </c>
      <c r="G63" s="473" t="s">
        <v>827</v>
      </c>
      <c r="H63" s="468">
        <v>4786834</v>
      </c>
      <c r="I63" s="469">
        <f>199700/H63</f>
        <v>4.1718597302517695E-2</v>
      </c>
      <c r="J63" s="470">
        <v>1000000</v>
      </c>
      <c r="K63" s="469">
        <f>(J63+3720000)/H63</f>
        <v>0.98603795326932164</v>
      </c>
      <c r="L63" s="242" t="s">
        <v>979</v>
      </c>
    </row>
    <row r="64" spans="1:13" ht="31.5" hidden="1" thickTop="1" thickBot="1" x14ac:dyDescent="0.25">
      <c r="B64" s="265" t="s">
        <v>389</v>
      </c>
      <c r="C64" s="265" t="s">
        <v>390</v>
      </c>
      <c r="D64" s="265" t="s">
        <v>260</v>
      </c>
      <c r="E64" s="265" t="s">
        <v>719</v>
      </c>
      <c r="F64" s="266" t="s">
        <v>780</v>
      </c>
      <c r="G64" s="272"/>
      <c r="H64" s="270"/>
      <c r="I64" s="271"/>
      <c r="J64" s="260"/>
      <c r="K64" s="271"/>
      <c r="L64" s="242"/>
    </row>
    <row r="65" spans="2:12" ht="16.5" thickTop="1" thickBot="1" x14ac:dyDescent="0.25">
      <c r="B65" s="288" t="s">
        <v>766</v>
      </c>
      <c r="C65" s="288" t="s">
        <v>262</v>
      </c>
      <c r="D65" s="288" t="s">
        <v>263</v>
      </c>
      <c r="E65" s="288" t="s">
        <v>51</v>
      </c>
      <c r="F65" s="282" t="s">
        <v>872</v>
      </c>
      <c r="G65" s="390" t="s">
        <v>497</v>
      </c>
      <c r="H65" s="302">
        <v>23948149.890000001</v>
      </c>
      <c r="I65" s="294">
        <f>22955659.01/H65</f>
        <v>0.95855667830046309</v>
      </c>
      <c r="J65" s="295">
        <v>992490.88</v>
      </c>
      <c r="K65" s="294">
        <v>1</v>
      </c>
      <c r="L65" s="242"/>
    </row>
    <row r="66" spans="2:12" ht="46.5" thickTop="1" thickBot="1" x14ac:dyDescent="0.25">
      <c r="B66" s="459" t="s">
        <v>194</v>
      </c>
      <c r="C66" s="459"/>
      <c r="D66" s="459"/>
      <c r="E66" s="460" t="s">
        <v>22</v>
      </c>
      <c r="F66" s="459"/>
      <c r="G66" s="459"/>
      <c r="H66" s="459"/>
      <c r="I66" s="459"/>
      <c r="J66" s="461">
        <f>J67</f>
        <v>28918505.030000001</v>
      </c>
      <c r="K66" s="459"/>
    </row>
    <row r="67" spans="2:12" ht="44.25" thickTop="1" thickBot="1" x14ac:dyDescent="0.25">
      <c r="B67" s="462" t="s">
        <v>195</v>
      </c>
      <c r="C67" s="462"/>
      <c r="D67" s="462"/>
      <c r="E67" s="463" t="s">
        <v>44</v>
      </c>
      <c r="F67" s="462"/>
      <c r="G67" s="462"/>
      <c r="H67" s="462"/>
      <c r="I67" s="462"/>
      <c r="J67" s="464">
        <f>SUM(J68:J77)</f>
        <v>28918505.030000001</v>
      </c>
      <c r="K67" s="462"/>
    </row>
    <row r="68" spans="2:12" ht="31.5" thickTop="1" thickBot="1" x14ac:dyDescent="0.25">
      <c r="B68" s="288" t="s">
        <v>264</v>
      </c>
      <c r="C68" s="288" t="s">
        <v>261</v>
      </c>
      <c r="D68" s="288" t="s">
        <v>265</v>
      </c>
      <c r="E68" s="288" t="s">
        <v>23</v>
      </c>
      <c r="F68" s="277" t="s">
        <v>780</v>
      </c>
      <c r="G68" s="278"/>
      <c r="H68" s="278"/>
      <c r="I68" s="278"/>
      <c r="J68" s="279">
        <f>(12800000)-610000-2102890</f>
        <v>10087110</v>
      </c>
      <c r="K68" s="278"/>
    </row>
    <row r="69" spans="2:12" ht="91.5" thickTop="1" thickBot="1" x14ac:dyDescent="0.25">
      <c r="B69" s="288" t="s">
        <v>563</v>
      </c>
      <c r="C69" s="288" t="s">
        <v>243</v>
      </c>
      <c r="D69" s="288" t="s">
        <v>210</v>
      </c>
      <c r="E69" s="288" t="s">
        <v>42</v>
      </c>
      <c r="F69" s="392" t="s">
        <v>808</v>
      </c>
      <c r="G69" s="390"/>
      <c r="H69" s="302"/>
      <c r="I69" s="289"/>
      <c r="J69" s="295">
        <f>3560300+358852</f>
        <v>3919152</v>
      </c>
      <c r="K69" s="295"/>
    </row>
    <row r="70" spans="2:12" ht="151.5" thickTop="1" thickBot="1" x14ac:dyDescent="0.25">
      <c r="B70" s="288" t="s">
        <v>563</v>
      </c>
      <c r="C70" s="288" t="s">
        <v>243</v>
      </c>
      <c r="D70" s="288" t="s">
        <v>210</v>
      </c>
      <c r="E70" s="288" t="s">
        <v>42</v>
      </c>
      <c r="F70" s="392" t="s">
        <v>871</v>
      </c>
      <c r="G70" s="289" t="s">
        <v>641</v>
      </c>
      <c r="H70" s="302">
        <v>457500</v>
      </c>
      <c r="I70" s="294">
        <v>0</v>
      </c>
      <c r="J70" s="295">
        <v>457500</v>
      </c>
      <c r="K70" s="294">
        <f>(J70)/H70</f>
        <v>1</v>
      </c>
    </row>
    <row r="71" spans="2:12" ht="136.5" thickTop="1" thickBot="1" x14ac:dyDescent="0.25">
      <c r="B71" s="288" t="s">
        <v>563</v>
      </c>
      <c r="C71" s="288" t="s">
        <v>243</v>
      </c>
      <c r="D71" s="288" t="s">
        <v>210</v>
      </c>
      <c r="E71" s="288" t="s">
        <v>42</v>
      </c>
      <c r="F71" s="391" t="s">
        <v>809</v>
      </c>
      <c r="G71" s="390" t="s">
        <v>551</v>
      </c>
      <c r="H71" s="302">
        <v>8340131</v>
      </c>
      <c r="I71" s="294">
        <f>(1589999.97)/H71</f>
        <v>0.1906444838816081</v>
      </c>
      <c r="J71" s="295">
        <f>(3250100)+3257900</f>
        <v>6508000</v>
      </c>
      <c r="K71" s="294">
        <v>1</v>
      </c>
    </row>
    <row r="72" spans="2:12" ht="91.5" thickTop="1" thickBot="1" x14ac:dyDescent="0.25">
      <c r="B72" s="288" t="s">
        <v>563</v>
      </c>
      <c r="C72" s="288" t="s">
        <v>243</v>
      </c>
      <c r="D72" s="288" t="s">
        <v>210</v>
      </c>
      <c r="E72" s="288" t="s">
        <v>42</v>
      </c>
      <c r="F72" s="392" t="s">
        <v>810</v>
      </c>
      <c r="G72" s="390"/>
      <c r="H72" s="302"/>
      <c r="I72" s="289"/>
      <c r="J72" s="295">
        <f>(3288000)+139000+175000-124600-21000</f>
        <v>3456400</v>
      </c>
      <c r="K72" s="295"/>
    </row>
    <row r="73" spans="2:12" ht="91.5" thickTop="1" thickBot="1" x14ac:dyDescent="0.25">
      <c r="B73" s="288" t="s">
        <v>563</v>
      </c>
      <c r="C73" s="288" t="s">
        <v>243</v>
      </c>
      <c r="D73" s="288" t="s">
        <v>210</v>
      </c>
      <c r="E73" s="288" t="s">
        <v>42</v>
      </c>
      <c r="F73" s="392" t="s">
        <v>862</v>
      </c>
      <c r="G73" s="289"/>
      <c r="H73" s="302"/>
      <c r="I73" s="294"/>
      <c r="J73" s="295">
        <f>(731270)-123402.57</f>
        <v>607867.42999999993</v>
      </c>
      <c r="K73" s="294"/>
    </row>
    <row r="74" spans="2:12" ht="136.5" thickTop="1" thickBot="1" x14ac:dyDescent="0.25">
      <c r="B74" s="288" t="s">
        <v>563</v>
      </c>
      <c r="C74" s="288" t="s">
        <v>243</v>
      </c>
      <c r="D74" s="288" t="s">
        <v>210</v>
      </c>
      <c r="E74" s="288" t="s">
        <v>42</v>
      </c>
      <c r="F74" s="392" t="s">
        <v>811</v>
      </c>
      <c r="G74" s="289" t="s">
        <v>641</v>
      </c>
      <c r="H74" s="302">
        <v>300000</v>
      </c>
      <c r="I74" s="294">
        <v>0</v>
      </c>
      <c r="J74" s="295">
        <v>300000</v>
      </c>
      <c r="K74" s="294">
        <f>(J74)/H74</f>
        <v>1</v>
      </c>
    </row>
    <row r="75" spans="2:12" ht="151.5" hidden="1" thickTop="1" thickBot="1" x14ac:dyDescent="0.25">
      <c r="B75" s="265" t="s">
        <v>563</v>
      </c>
      <c r="C75" s="265" t="s">
        <v>243</v>
      </c>
      <c r="D75" s="265" t="s">
        <v>210</v>
      </c>
      <c r="E75" s="265" t="s">
        <v>42</v>
      </c>
      <c r="F75" s="393" t="s">
        <v>812</v>
      </c>
      <c r="G75" s="269" t="s">
        <v>641</v>
      </c>
      <c r="H75" s="270">
        <v>100000</v>
      </c>
      <c r="I75" s="271">
        <v>0</v>
      </c>
      <c r="J75" s="260"/>
      <c r="K75" s="271">
        <f t="shared" ref="K75" si="0">(J75)/H75</f>
        <v>0</v>
      </c>
    </row>
    <row r="76" spans="2:12" ht="91.5" thickTop="1" thickBot="1" x14ac:dyDescent="0.25">
      <c r="B76" s="288" t="s">
        <v>563</v>
      </c>
      <c r="C76" s="288" t="s">
        <v>243</v>
      </c>
      <c r="D76" s="288" t="s">
        <v>210</v>
      </c>
      <c r="E76" s="288" t="s">
        <v>42</v>
      </c>
      <c r="F76" s="392" t="s">
        <v>813</v>
      </c>
      <c r="G76" s="390"/>
      <c r="H76" s="302"/>
      <c r="I76" s="289"/>
      <c r="J76" s="295">
        <f>(820200)+10000+15500-109985+109985-111024.4+28000</f>
        <v>762675.6</v>
      </c>
      <c r="K76" s="295"/>
    </row>
    <row r="77" spans="2:12" ht="106.5" thickTop="1" thickBot="1" x14ac:dyDescent="0.25">
      <c r="B77" s="288" t="s">
        <v>563</v>
      </c>
      <c r="C77" s="288" t="s">
        <v>243</v>
      </c>
      <c r="D77" s="288" t="s">
        <v>210</v>
      </c>
      <c r="E77" s="288" t="s">
        <v>42</v>
      </c>
      <c r="F77" s="392" t="s">
        <v>814</v>
      </c>
      <c r="G77" s="390"/>
      <c r="H77" s="302"/>
      <c r="I77" s="289"/>
      <c r="J77" s="295">
        <f>2846000-26200</f>
        <v>2819800</v>
      </c>
      <c r="K77" s="295"/>
    </row>
    <row r="78" spans="2:12" ht="46.5" thickTop="1" thickBot="1" x14ac:dyDescent="0.25">
      <c r="B78" s="459" t="s">
        <v>196</v>
      </c>
      <c r="C78" s="459"/>
      <c r="D78" s="459"/>
      <c r="E78" s="460" t="s">
        <v>45</v>
      </c>
      <c r="F78" s="459"/>
      <c r="G78" s="459"/>
      <c r="H78" s="459"/>
      <c r="I78" s="459"/>
      <c r="J78" s="461">
        <f>J79</f>
        <v>24297784.940000001</v>
      </c>
      <c r="K78" s="459"/>
    </row>
    <row r="79" spans="2:12" ht="58.5" thickTop="1" thickBot="1" x14ac:dyDescent="0.25">
      <c r="B79" s="462" t="s">
        <v>197</v>
      </c>
      <c r="C79" s="462"/>
      <c r="D79" s="462"/>
      <c r="E79" s="463" t="s">
        <v>46</v>
      </c>
      <c r="F79" s="462"/>
      <c r="G79" s="462"/>
      <c r="H79" s="462"/>
      <c r="I79" s="462"/>
      <c r="J79" s="464">
        <f>SUM(J80:J105)</f>
        <v>24297784.940000001</v>
      </c>
      <c r="K79" s="462"/>
    </row>
    <row r="80" spans="2:12" ht="61.5" thickTop="1" thickBot="1" x14ac:dyDescent="0.25">
      <c r="B80" s="288" t="s">
        <v>513</v>
      </c>
      <c r="C80" s="288" t="s">
        <v>286</v>
      </c>
      <c r="D80" s="288" t="s">
        <v>284</v>
      </c>
      <c r="E80" s="288" t="s">
        <v>285</v>
      </c>
      <c r="F80" s="392" t="s">
        <v>780</v>
      </c>
      <c r="G80" s="390"/>
      <c r="H80" s="302"/>
      <c r="I80" s="289"/>
      <c r="J80" s="302">
        <f>(500000)</f>
        <v>500000</v>
      </c>
      <c r="K80" s="302"/>
    </row>
    <row r="81" spans="2:11" ht="91.5" thickTop="1" thickBot="1" x14ac:dyDescent="0.25">
      <c r="B81" s="288" t="s">
        <v>513</v>
      </c>
      <c r="C81" s="288" t="s">
        <v>286</v>
      </c>
      <c r="D81" s="288" t="s">
        <v>284</v>
      </c>
      <c r="E81" s="288" t="s">
        <v>285</v>
      </c>
      <c r="F81" s="392" t="s">
        <v>863</v>
      </c>
      <c r="G81" s="390" t="s">
        <v>551</v>
      </c>
      <c r="H81" s="302">
        <v>400000</v>
      </c>
      <c r="I81" s="294">
        <v>0</v>
      </c>
      <c r="J81" s="290">
        <v>400000</v>
      </c>
      <c r="K81" s="294">
        <v>1</v>
      </c>
    </row>
    <row r="82" spans="2:11" ht="31.5" thickTop="1" thickBot="1" x14ac:dyDescent="0.25">
      <c r="B82" s="288" t="s">
        <v>320</v>
      </c>
      <c r="C82" s="288" t="s">
        <v>321</v>
      </c>
      <c r="D82" s="288" t="s">
        <v>251</v>
      </c>
      <c r="E82" s="298" t="s">
        <v>322</v>
      </c>
      <c r="F82" s="282" t="s">
        <v>815</v>
      </c>
      <c r="G82" s="289" t="s">
        <v>641</v>
      </c>
      <c r="H82" s="394"/>
      <c r="I82" s="395"/>
      <c r="J82" s="295">
        <f>(100000)+50000</f>
        <v>150000</v>
      </c>
      <c r="K82" s="294">
        <v>1</v>
      </c>
    </row>
    <row r="83" spans="2:11" ht="61.5" hidden="1" thickTop="1" thickBot="1" x14ac:dyDescent="0.25">
      <c r="B83" s="265" t="s">
        <v>318</v>
      </c>
      <c r="C83" s="265" t="s">
        <v>316</v>
      </c>
      <c r="D83" s="265" t="s">
        <v>246</v>
      </c>
      <c r="E83" s="265" t="s">
        <v>21</v>
      </c>
      <c r="F83" s="393" t="s">
        <v>780</v>
      </c>
      <c r="G83" s="269"/>
      <c r="H83" s="274"/>
      <c r="I83" s="275"/>
      <c r="J83" s="260"/>
      <c r="K83" s="271"/>
    </row>
    <row r="84" spans="2:11" ht="31.5" thickTop="1" thickBot="1" x14ac:dyDescent="0.25">
      <c r="B84" s="288" t="s">
        <v>319</v>
      </c>
      <c r="C84" s="288" t="s">
        <v>317</v>
      </c>
      <c r="D84" s="288" t="s">
        <v>245</v>
      </c>
      <c r="E84" s="288" t="s">
        <v>606</v>
      </c>
      <c r="F84" s="392" t="s">
        <v>780</v>
      </c>
      <c r="G84" s="390"/>
      <c r="H84" s="302"/>
      <c r="I84" s="289"/>
      <c r="J84" s="302">
        <f>((15000)+69800)+25000+12499+80000</f>
        <v>202299</v>
      </c>
      <c r="K84" s="302"/>
    </row>
    <row r="85" spans="2:11" ht="105.75" thickTop="1" x14ac:dyDescent="0.25">
      <c r="B85" s="607" t="s">
        <v>949</v>
      </c>
      <c r="C85" s="607" t="s">
        <v>950</v>
      </c>
      <c r="D85" s="608" t="s">
        <v>60</v>
      </c>
      <c r="E85" s="396" t="s">
        <v>951</v>
      </c>
      <c r="F85" s="607" t="s">
        <v>819</v>
      </c>
      <c r="G85" s="598"/>
      <c r="H85" s="598"/>
      <c r="I85" s="598"/>
      <c r="J85" s="601">
        <v>4456154.9400000004</v>
      </c>
      <c r="K85" s="598"/>
    </row>
    <row r="86" spans="2:11" ht="105" x14ac:dyDescent="0.2">
      <c r="B86" s="605"/>
      <c r="C86" s="605"/>
      <c r="D86" s="609"/>
      <c r="E86" s="397" t="s">
        <v>952</v>
      </c>
      <c r="F86" s="605"/>
      <c r="G86" s="599"/>
      <c r="H86" s="599"/>
      <c r="I86" s="599"/>
      <c r="J86" s="602"/>
      <c r="K86" s="599"/>
    </row>
    <row r="87" spans="2:11" ht="105.75" thickBot="1" x14ac:dyDescent="0.25">
      <c r="B87" s="606"/>
      <c r="C87" s="606"/>
      <c r="D87" s="610"/>
      <c r="E87" s="398" t="s">
        <v>953</v>
      </c>
      <c r="F87" s="606"/>
      <c r="G87" s="600"/>
      <c r="H87" s="600"/>
      <c r="I87" s="600"/>
      <c r="J87" s="603"/>
      <c r="K87" s="600"/>
    </row>
    <row r="88" spans="2:11" ht="120.75" thickTop="1" x14ac:dyDescent="0.2">
      <c r="B88" s="604" t="s">
        <v>954</v>
      </c>
      <c r="C88" s="604" t="s">
        <v>955</v>
      </c>
      <c r="D88" s="604" t="s">
        <v>60</v>
      </c>
      <c r="E88" s="399" t="s">
        <v>956</v>
      </c>
      <c r="F88" s="604" t="s">
        <v>819</v>
      </c>
      <c r="G88" s="598"/>
      <c r="H88" s="598"/>
      <c r="I88" s="598"/>
      <c r="J88" s="601">
        <v>1917540</v>
      </c>
      <c r="K88" s="598"/>
    </row>
    <row r="89" spans="2:11" ht="105" x14ac:dyDescent="0.2">
      <c r="B89" s="605"/>
      <c r="C89" s="605"/>
      <c r="D89" s="605"/>
      <c r="E89" s="397" t="s">
        <v>957</v>
      </c>
      <c r="F89" s="605"/>
      <c r="G89" s="599"/>
      <c r="H89" s="599"/>
      <c r="I89" s="599"/>
      <c r="J89" s="602"/>
      <c r="K89" s="599"/>
    </row>
    <row r="90" spans="2:11" ht="105" x14ac:dyDescent="0.2">
      <c r="B90" s="605"/>
      <c r="C90" s="605"/>
      <c r="D90" s="605"/>
      <c r="E90" s="397" t="s">
        <v>958</v>
      </c>
      <c r="F90" s="605"/>
      <c r="G90" s="599"/>
      <c r="H90" s="599"/>
      <c r="I90" s="599"/>
      <c r="J90" s="602"/>
      <c r="K90" s="599"/>
    </row>
    <row r="91" spans="2:11" ht="75.75" thickBot="1" x14ac:dyDescent="0.25">
      <c r="B91" s="606"/>
      <c r="C91" s="606"/>
      <c r="D91" s="606"/>
      <c r="E91" s="400" t="s">
        <v>959</v>
      </c>
      <c r="F91" s="606"/>
      <c r="G91" s="600"/>
      <c r="H91" s="600"/>
      <c r="I91" s="600"/>
      <c r="J91" s="603"/>
      <c r="K91" s="600"/>
    </row>
    <row r="92" spans="2:11" ht="120.75" thickTop="1" x14ac:dyDescent="0.2">
      <c r="B92" s="604" t="s">
        <v>960</v>
      </c>
      <c r="C92" s="604" t="s">
        <v>961</v>
      </c>
      <c r="D92" s="604" t="s">
        <v>60</v>
      </c>
      <c r="E92" s="399" t="s">
        <v>962</v>
      </c>
      <c r="F92" s="604" t="s">
        <v>819</v>
      </c>
      <c r="G92" s="601"/>
      <c r="H92" s="601"/>
      <c r="I92" s="601"/>
      <c r="J92" s="601">
        <v>1344563</v>
      </c>
      <c r="K92" s="601"/>
    </row>
    <row r="93" spans="2:11" ht="105" x14ac:dyDescent="0.2">
      <c r="B93" s="605"/>
      <c r="C93" s="605"/>
      <c r="D93" s="605"/>
      <c r="E93" s="397" t="s">
        <v>963</v>
      </c>
      <c r="F93" s="605"/>
      <c r="G93" s="602"/>
      <c r="H93" s="602"/>
      <c r="I93" s="602"/>
      <c r="J93" s="602"/>
      <c r="K93" s="602"/>
    </row>
    <row r="94" spans="2:11" ht="15.75" thickBot="1" x14ac:dyDescent="0.25">
      <c r="B94" s="605"/>
      <c r="C94" s="605"/>
      <c r="D94" s="605"/>
      <c r="E94" s="400" t="s">
        <v>964</v>
      </c>
      <c r="F94" s="605"/>
      <c r="G94" s="602"/>
      <c r="H94" s="602"/>
      <c r="I94" s="602"/>
      <c r="J94" s="602"/>
      <c r="K94" s="602"/>
    </row>
    <row r="95" spans="2:11" ht="46.5" thickTop="1" thickBot="1" x14ac:dyDescent="0.25">
      <c r="B95" s="288" t="s">
        <v>399</v>
      </c>
      <c r="C95" s="288" t="s">
        <v>401</v>
      </c>
      <c r="D95" s="288" t="s">
        <v>237</v>
      </c>
      <c r="E95" s="277" t="s">
        <v>403</v>
      </c>
      <c r="F95" s="392" t="s">
        <v>780</v>
      </c>
      <c r="G95" s="295"/>
      <c r="H95" s="295"/>
      <c r="I95" s="401"/>
      <c r="J95" s="302">
        <f>((62500)+94620)+27000</f>
        <v>184120</v>
      </c>
      <c r="K95" s="302"/>
    </row>
    <row r="96" spans="2:11" ht="166.5" thickTop="1" thickBot="1" x14ac:dyDescent="0.25">
      <c r="B96" s="288" t="s">
        <v>399</v>
      </c>
      <c r="C96" s="288" t="s">
        <v>401</v>
      </c>
      <c r="D96" s="288" t="s">
        <v>237</v>
      </c>
      <c r="E96" s="277" t="s">
        <v>403</v>
      </c>
      <c r="F96" s="392" t="s">
        <v>981</v>
      </c>
      <c r="G96" s="302" t="s">
        <v>689</v>
      </c>
      <c r="H96" s="295">
        <v>2158151</v>
      </c>
      <c r="I96" s="294">
        <v>0</v>
      </c>
      <c r="J96" s="468">
        <f>(500000)+364000-364000</f>
        <v>500000</v>
      </c>
      <c r="K96" s="294">
        <f>J96/H96</f>
        <v>0.23167980368380156</v>
      </c>
    </row>
    <row r="97" spans="1:12" ht="76.5" thickTop="1" thickBot="1" x14ac:dyDescent="0.25">
      <c r="B97" s="288" t="s">
        <v>399</v>
      </c>
      <c r="C97" s="288" t="s">
        <v>401</v>
      </c>
      <c r="D97" s="288" t="s">
        <v>237</v>
      </c>
      <c r="E97" s="277" t="s">
        <v>403</v>
      </c>
      <c r="F97" s="392" t="s">
        <v>816</v>
      </c>
      <c r="G97" s="289" t="s">
        <v>641</v>
      </c>
      <c r="H97" s="295">
        <v>1498897</v>
      </c>
      <c r="I97" s="294">
        <v>0</v>
      </c>
      <c r="J97" s="302">
        <f>(525000)+973897</f>
        <v>1498897</v>
      </c>
      <c r="K97" s="294">
        <f>J97/H97</f>
        <v>1</v>
      </c>
    </row>
    <row r="98" spans="1:12" ht="76.5" thickTop="1" thickBot="1" x14ac:dyDescent="0.25">
      <c r="B98" s="288" t="s">
        <v>399</v>
      </c>
      <c r="C98" s="288" t="s">
        <v>401</v>
      </c>
      <c r="D98" s="288" t="s">
        <v>237</v>
      </c>
      <c r="E98" s="277" t="s">
        <v>403</v>
      </c>
      <c r="F98" s="392" t="s">
        <v>817</v>
      </c>
      <c r="G98" s="289" t="s">
        <v>641</v>
      </c>
      <c r="H98" s="295">
        <v>1217131</v>
      </c>
      <c r="I98" s="294">
        <v>0</v>
      </c>
      <c r="J98" s="302">
        <f>(396000)+821131</f>
        <v>1217131</v>
      </c>
      <c r="K98" s="294">
        <f>J98/H98</f>
        <v>1</v>
      </c>
    </row>
    <row r="99" spans="1:12" ht="76.5" thickTop="1" thickBot="1" x14ac:dyDescent="0.25">
      <c r="B99" s="288" t="s">
        <v>399</v>
      </c>
      <c r="C99" s="288" t="s">
        <v>401</v>
      </c>
      <c r="D99" s="288" t="s">
        <v>237</v>
      </c>
      <c r="E99" s="277" t="s">
        <v>403</v>
      </c>
      <c r="F99" s="392" t="s">
        <v>818</v>
      </c>
      <c r="G99" s="302" t="s">
        <v>551</v>
      </c>
      <c r="H99" s="295">
        <f>1113815.39+53051</f>
        <v>1166866.3899999999</v>
      </c>
      <c r="I99" s="294">
        <f>1113815.39/H99</f>
        <v>0.95453549741886046</v>
      </c>
      <c r="J99" s="302">
        <v>53051</v>
      </c>
      <c r="K99" s="294">
        <f>(1113815.39+J99)/H99</f>
        <v>1</v>
      </c>
    </row>
    <row r="100" spans="1:12" ht="46.5" thickTop="1" thickBot="1" x14ac:dyDescent="0.25">
      <c r="B100" s="288" t="s">
        <v>400</v>
      </c>
      <c r="C100" s="288" t="s">
        <v>402</v>
      </c>
      <c r="D100" s="288" t="s">
        <v>237</v>
      </c>
      <c r="E100" s="277" t="s">
        <v>404</v>
      </c>
      <c r="F100" s="391" t="s">
        <v>661</v>
      </c>
      <c r="G100" s="289" t="s">
        <v>641</v>
      </c>
      <c r="H100" s="295"/>
      <c r="I100" s="295"/>
      <c r="J100" s="302">
        <v>300000</v>
      </c>
      <c r="K100" s="294">
        <v>1</v>
      </c>
    </row>
    <row r="101" spans="1:12" ht="31.5" thickTop="1" thickBot="1" x14ac:dyDescent="0.25">
      <c r="B101" s="288" t="s">
        <v>400</v>
      </c>
      <c r="C101" s="288" t="s">
        <v>402</v>
      </c>
      <c r="D101" s="288" t="s">
        <v>237</v>
      </c>
      <c r="E101" s="277" t="s">
        <v>404</v>
      </c>
      <c r="F101" s="282" t="s">
        <v>815</v>
      </c>
      <c r="G101" s="289" t="s">
        <v>641</v>
      </c>
      <c r="H101" s="295"/>
      <c r="I101" s="401"/>
      <c r="J101" s="302">
        <v>150000</v>
      </c>
      <c r="K101" s="294">
        <v>1</v>
      </c>
      <c r="L101" s="146"/>
    </row>
    <row r="102" spans="1:12" ht="31.5" thickTop="1" thickBot="1" x14ac:dyDescent="0.25">
      <c r="B102" s="288" t="s">
        <v>447</v>
      </c>
      <c r="C102" s="288" t="s">
        <v>445</v>
      </c>
      <c r="D102" s="288" t="s">
        <v>415</v>
      </c>
      <c r="E102" s="277" t="s">
        <v>446</v>
      </c>
      <c r="F102" s="390" t="s">
        <v>819</v>
      </c>
      <c r="G102" s="289"/>
      <c r="H102" s="295"/>
      <c r="I102" s="401"/>
      <c r="J102" s="302">
        <f>(3000000)+1104237</f>
        <v>4104237</v>
      </c>
      <c r="K102" s="294"/>
    </row>
    <row r="103" spans="1:12" ht="106.5" thickTop="1" thickBot="1" x14ac:dyDescent="0.25">
      <c r="B103" s="288" t="s">
        <v>934</v>
      </c>
      <c r="C103" s="288" t="s">
        <v>935</v>
      </c>
      <c r="D103" s="288" t="s">
        <v>415</v>
      </c>
      <c r="E103" s="277" t="s">
        <v>936</v>
      </c>
      <c r="F103" s="390" t="s">
        <v>819</v>
      </c>
      <c r="G103" s="289"/>
      <c r="H103" s="295"/>
      <c r="I103" s="401"/>
      <c r="J103" s="302">
        <f>(364000+2319792)-364000</f>
        <v>2319792</v>
      </c>
      <c r="K103" s="294"/>
    </row>
    <row r="104" spans="1:12" ht="106.5" thickTop="1" thickBot="1" x14ac:dyDescent="0.25">
      <c r="B104" s="288" t="s">
        <v>500</v>
      </c>
      <c r="C104" s="288" t="s">
        <v>501</v>
      </c>
      <c r="D104" s="288" t="s">
        <v>359</v>
      </c>
      <c r="E104" s="277" t="s">
        <v>820</v>
      </c>
      <c r="F104" s="391" t="s">
        <v>503</v>
      </c>
      <c r="G104" s="302" t="s">
        <v>551</v>
      </c>
      <c r="H104" s="295">
        <v>8638500</v>
      </c>
      <c r="I104" s="294">
        <f>1996859.63/H104</f>
        <v>0.23115814435376511</v>
      </c>
      <c r="J104" s="468">
        <f>((2000000)+2000000)+2000000+364000-1364000</f>
        <v>5000000</v>
      </c>
      <c r="K104" s="297">
        <f>(1996859.63+J104)/H104</f>
        <v>0.80996233489610459</v>
      </c>
    </row>
    <row r="105" spans="1:12" ht="31.5" hidden="1" thickTop="1" thickBot="1" x14ac:dyDescent="0.25">
      <c r="B105" s="288" t="s">
        <v>939</v>
      </c>
      <c r="C105" s="288" t="s">
        <v>308</v>
      </c>
      <c r="D105" s="288" t="s">
        <v>210</v>
      </c>
      <c r="E105" s="288" t="s">
        <v>306</v>
      </c>
      <c r="F105" s="390" t="s">
        <v>70</v>
      </c>
      <c r="G105" s="302"/>
      <c r="H105" s="295"/>
      <c r="I105" s="294"/>
      <c r="J105" s="302"/>
      <c r="K105" s="297"/>
    </row>
    <row r="106" spans="1:12" ht="46.5" thickTop="1" thickBot="1" x14ac:dyDescent="0.25">
      <c r="A106" s="147"/>
      <c r="B106" s="459">
        <v>1000000</v>
      </c>
      <c r="C106" s="459"/>
      <c r="D106" s="459"/>
      <c r="E106" s="460" t="s">
        <v>29</v>
      </c>
      <c r="F106" s="459"/>
      <c r="G106" s="459"/>
      <c r="H106" s="459"/>
      <c r="I106" s="459"/>
      <c r="J106" s="461">
        <f>J107</f>
        <v>6723889</v>
      </c>
      <c r="K106" s="459"/>
    </row>
    <row r="107" spans="1:12" ht="44.25" thickTop="1" thickBot="1" x14ac:dyDescent="0.25">
      <c r="A107" s="147"/>
      <c r="B107" s="462">
        <v>1010000</v>
      </c>
      <c r="C107" s="462"/>
      <c r="D107" s="462"/>
      <c r="E107" s="463" t="s">
        <v>47</v>
      </c>
      <c r="F107" s="462"/>
      <c r="G107" s="462"/>
      <c r="H107" s="462"/>
      <c r="I107" s="462"/>
      <c r="J107" s="464">
        <f>SUM(J108:J116)</f>
        <v>6723889</v>
      </c>
      <c r="K107" s="462"/>
    </row>
    <row r="108" spans="1:12" ht="31.5" hidden="1" thickTop="1" thickBot="1" x14ac:dyDescent="0.25">
      <c r="A108" s="147"/>
      <c r="B108" s="265" t="s">
        <v>20</v>
      </c>
      <c r="C108" s="265" t="s">
        <v>225</v>
      </c>
      <c r="D108" s="265" t="s">
        <v>226</v>
      </c>
      <c r="E108" s="265" t="s">
        <v>716</v>
      </c>
      <c r="F108" s="266" t="s">
        <v>780</v>
      </c>
      <c r="G108" s="269"/>
      <c r="H108" s="260"/>
      <c r="I108" s="271"/>
      <c r="J108" s="270"/>
      <c r="K108" s="271"/>
    </row>
    <row r="109" spans="1:12" ht="61.5" hidden="1" thickTop="1" thickBot="1" x14ac:dyDescent="0.25">
      <c r="A109" s="147"/>
      <c r="B109" s="265" t="s">
        <v>20</v>
      </c>
      <c r="C109" s="265" t="s">
        <v>225</v>
      </c>
      <c r="D109" s="265" t="s">
        <v>226</v>
      </c>
      <c r="E109" s="265" t="s">
        <v>716</v>
      </c>
      <c r="F109" s="266" t="s">
        <v>821</v>
      </c>
      <c r="G109" s="269" t="s">
        <v>641</v>
      </c>
      <c r="H109" s="260">
        <v>250000</v>
      </c>
      <c r="I109" s="271">
        <v>0</v>
      </c>
      <c r="J109" s="270"/>
      <c r="K109" s="271">
        <f>J109/H109</f>
        <v>0</v>
      </c>
    </row>
    <row r="110" spans="1:12" ht="61.5" thickTop="1" thickBot="1" x14ac:dyDescent="0.25">
      <c r="A110" s="147"/>
      <c r="B110" s="288" t="s">
        <v>20</v>
      </c>
      <c r="C110" s="288" t="s">
        <v>225</v>
      </c>
      <c r="D110" s="288" t="s">
        <v>226</v>
      </c>
      <c r="E110" s="288" t="s">
        <v>716</v>
      </c>
      <c r="F110" s="282" t="s">
        <v>822</v>
      </c>
      <c r="G110" s="289" t="s">
        <v>641</v>
      </c>
      <c r="H110" s="295">
        <v>80000</v>
      </c>
      <c r="I110" s="294">
        <v>0</v>
      </c>
      <c r="J110" s="302">
        <v>80000</v>
      </c>
      <c r="K110" s="294">
        <f>J110/H110</f>
        <v>1</v>
      </c>
    </row>
    <row r="111" spans="1:12" ht="61.5" thickTop="1" thickBot="1" x14ac:dyDescent="0.25">
      <c r="A111" s="147"/>
      <c r="B111" s="288" t="s">
        <v>20</v>
      </c>
      <c r="C111" s="288" t="s">
        <v>225</v>
      </c>
      <c r="D111" s="288" t="s">
        <v>226</v>
      </c>
      <c r="E111" s="288" t="s">
        <v>716</v>
      </c>
      <c r="F111" s="282" t="s">
        <v>823</v>
      </c>
      <c r="G111" s="302" t="s">
        <v>539</v>
      </c>
      <c r="H111" s="295">
        <f>1590760+1000000</f>
        <v>2590760</v>
      </c>
      <c r="I111" s="294">
        <f>1072954.75/H111</f>
        <v>0.41414671756550203</v>
      </c>
      <c r="J111" s="302">
        <v>700000</v>
      </c>
      <c r="K111" s="294">
        <f>(J111+1072954.75)/H111</f>
        <v>0.6843377039941948</v>
      </c>
    </row>
    <row r="112" spans="1:12" ht="31.5" thickTop="1" thickBot="1" x14ac:dyDescent="0.25">
      <c r="A112" s="147"/>
      <c r="B112" s="288" t="s">
        <v>216</v>
      </c>
      <c r="C112" s="288" t="s">
        <v>217</v>
      </c>
      <c r="D112" s="288" t="s">
        <v>218</v>
      </c>
      <c r="E112" s="288" t="s">
        <v>219</v>
      </c>
      <c r="F112" s="282" t="s">
        <v>780</v>
      </c>
      <c r="G112" s="302"/>
      <c r="H112" s="302"/>
      <c r="I112" s="303"/>
      <c r="J112" s="302">
        <v>114000</v>
      </c>
      <c r="K112" s="303"/>
    </row>
    <row r="113" spans="1:12" ht="31.5" thickTop="1" thickBot="1" x14ac:dyDescent="0.25">
      <c r="A113" s="147"/>
      <c r="B113" s="288" t="s">
        <v>220</v>
      </c>
      <c r="C113" s="288" t="s">
        <v>221</v>
      </c>
      <c r="D113" s="288" t="s">
        <v>218</v>
      </c>
      <c r="E113" s="288" t="s">
        <v>630</v>
      </c>
      <c r="F113" s="282" t="s">
        <v>780</v>
      </c>
      <c r="G113" s="302"/>
      <c r="H113" s="302"/>
      <c r="I113" s="303"/>
      <c r="J113" s="302">
        <v>80000</v>
      </c>
      <c r="K113" s="303"/>
    </row>
    <row r="114" spans="1:12" ht="61.5" thickTop="1" thickBot="1" x14ac:dyDescent="0.25">
      <c r="A114" s="147"/>
      <c r="B114" s="288" t="s">
        <v>220</v>
      </c>
      <c r="C114" s="288" t="s">
        <v>221</v>
      </c>
      <c r="D114" s="288" t="s">
        <v>218</v>
      </c>
      <c r="E114" s="288" t="s">
        <v>630</v>
      </c>
      <c r="F114" s="391" t="s">
        <v>19</v>
      </c>
      <c r="G114" s="302" t="s">
        <v>824</v>
      </c>
      <c r="H114" s="302">
        <v>27064985</v>
      </c>
      <c r="I114" s="303">
        <f>(1430336+2994769.5+4929931.79)/H114</f>
        <v>0.3456509320067977</v>
      </c>
      <c r="J114" s="302">
        <f>(5000000)+500000+100000</f>
        <v>5600000</v>
      </c>
      <c r="K114" s="303">
        <f>(1430336+2994769.5+4929931.79+J114)/H114</f>
        <v>0.55256033912451819</v>
      </c>
    </row>
    <row r="115" spans="1:12" ht="46.5" thickTop="1" thickBot="1" x14ac:dyDescent="0.25">
      <c r="A115" s="147"/>
      <c r="B115" s="288" t="s">
        <v>222</v>
      </c>
      <c r="C115" s="288" t="s">
        <v>213</v>
      </c>
      <c r="D115" s="288" t="s">
        <v>223</v>
      </c>
      <c r="E115" s="288" t="s">
        <v>224</v>
      </c>
      <c r="F115" s="282" t="s">
        <v>780</v>
      </c>
      <c r="G115" s="302"/>
      <c r="H115" s="302"/>
      <c r="I115" s="303"/>
      <c r="J115" s="302">
        <v>149889</v>
      </c>
      <c r="K115" s="303"/>
    </row>
    <row r="116" spans="1:12" ht="61.5" hidden="1" thickTop="1" thickBot="1" x14ac:dyDescent="0.25">
      <c r="B116" s="265" t="s">
        <v>222</v>
      </c>
      <c r="C116" s="265" t="s">
        <v>213</v>
      </c>
      <c r="D116" s="265" t="s">
        <v>223</v>
      </c>
      <c r="E116" s="265" t="s">
        <v>224</v>
      </c>
      <c r="F116" s="273" t="s">
        <v>825</v>
      </c>
      <c r="G116" s="270" t="s">
        <v>551</v>
      </c>
      <c r="H116" s="260">
        <v>4015432</v>
      </c>
      <c r="I116" s="271">
        <f>499652.88/H116</f>
        <v>0.12443315688075406</v>
      </c>
      <c r="J116" s="270">
        <v>0</v>
      </c>
      <c r="K116" s="271">
        <f>(J116+499652.88)/H116</f>
        <v>0.12443315688075406</v>
      </c>
    </row>
    <row r="117" spans="1:12" ht="46.5" thickTop="1" thickBot="1" x14ac:dyDescent="0.25">
      <c r="B117" s="459" t="s">
        <v>26</v>
      </c>
      <c r="C117" s="459"/>
      <c r="D117" s="459"/>
      <c r="E117" s="460" t="s">
        <v>27</v>
      </c>
      <c r="F117" s="459"/>
      <c r="G117" s="459"/>
      <c r="H117" s="459"/>
      <c r="I117" s="459"/>
      <c r="J117" s="461">
        <f>J118</f>
        <v>4867193</v>
      </c>
      <c r="K117" s="459"/>
    </row>
    <row r="118" spans="1:12" ht="44.25" thickTop="1" thickBot="1" x14ac:dyDescent="0.25">
      <c r="B118" s="462" t="s">
        <v>25</v>
      </c>
      <c r="C118" s="462"/>
      <c r="D118" s="462"/>
      <c r="E118" s="463" t="s">
        <v>43</v>
      </c>
      <c r="F118" s="462"/>
      <c r="G118" s="462"/>
      <c r="H118" s="462"/>
      <c r="I118" s="462"/>
      <c r="J118" s="464">
        <f>SUM(J119:J129)</f>
        <v>4867193</v>
      </c>
      <c r="K118" s="462"/>
    </row>
    <row r="119" spans="1:12" ht="46.5" thickTop="1" thickBot="1" x14ac:dyDescent="0.25">
      <c r="B119" s="288" t="s">
        <v>228</v>
      </c>
      <c r="C119" s="288" t="s">
        <v>229</v>
      </c>
      <c r="D119" s="288" t="s">
        <v>230</v>
      </c>
      <c r="E119" s="288" t="s">
        <v>231</v>
      </c>
      <c r="F119" s="282" t="s">
        <v>780</v>
      </c>
      <c r="G119" s="289"/>
      <c r="H119" s="290"/>
      <c r="I119" s="289"/>
      <c r="J119" s="295">
        <v>55000</v>
      </c>
      <c r="K119" s="295"/>
    </row>
    <row r="120" spans="1:12" ht="31.5" thickTop="1" thickBot="1" x14ac:dyDescent="0.25">
      <c r="B120" s="288" t="s">
        <v>235</v>
      </c>
      <c r="C120" s="288" t="s">
        <v>236</v>
      </c>
      <c r="D120" s="288" t="s">
        <v>230</v>
      </c>
      <c r="E120" s="288" t="s">
        <v>12</v>
      </c>
      <c r="F120" s="282" t="s">
        <v>780</v>
      </c>
      <c r="G120" s="289"/>
      <c r="H120" s="290"/>
      <c r="I120" s="289"/>
      <c r="J120" s="295">
        <v>150000</v>
      </c>
      <c r="K120" s="295"/>
    </row>
    <row r="121" spans="1:12" s="105" customFormat="1" ht="31.5" thickTop="1" thickBot="1" x14ac:dyDescent="0.25">
      <c r="B121" s="288" t="s">
        <v>429</v>
      </c>
      <c r="C121" s="288" t="s">
        <v>430</v>
      </c>
      <c r="D121" s="288" t="s">
        <v>230</v>
      </c>
      <c r="E121" s="288" t="s">
        <v>431</v>
      </c>
      <c r="F121" s="282" t="s">
        <v>780</v>
      </c>
      <c r="G121" s="289"/>
      <c r="H121" s="290"/>
      <c r="I121" s="289"/>
      <c r="J121" s="295">
        <v>60000</v>
      </c>
      <c r="K121" s="295"/>
    </row>
    <row r="122" spans="1:12" s="105" customFormat="1" ht="46.5" thickTop="1" thickBot="1" x14ac:dyDescent="0.25">
      <c r="B122" s="288" t="s">
        <v>429</v>
      </c>
      <c r="C122" s="288" t="s">
        <v>430</v>
      </c>
      <c r="D122" s="288" t="s">
        <v>230</v>
      </c>
      <c r="E122" s="288" t="s">
        <v>431</v>
      </c>
      <c r="F122" s="282" t="s">
        <v>826</v>
      </c>
      <c r="G122" s="302" t="s">
        <v>539</v>
      </c>
      <c r="H122" s="290">
        <v>1216103</v>
      </c>
      <c r="I122" s="294">
        <f>1205804.43/H122</f>
        <v>0.99153149856549971</v>
      </c>
      <c r="J122" s="295">
        <v>10107</v>
      </c>
      <c r="K122" s="294">
        <f>(1205804.43+J122)/H122</f>
        <v>0.99984247222480327</v>
      </c>
    </row>
    <row r="123" spans="1:12" s="105" customFormat="1" ht="46.5" thickTop="1" thickBot="1" x14ac:dyDescent="0.25">
      <c r="B123" s="288" t="s">
        <v>34</v>
      </c>
      <c r="C123" s="288" t="s">
        <v>238</v>
      </c>
      <c r="D123" s="288" t="s">
        <v>241</v>
      </c>
      <c r="E123" s="288" t="s">
        <v>58</v>
      </c>
      <c r="F123" s="282" t="s">
        <v>780</v>
      </c>
      <c r="G123" s="289"/>
      <c r="H123" s="290"/>
      <c r="I123" s="289"/>
      <c r="J123" s="295">
        <f>(527550)+74450</f>
        <v>602000</v>
      </c>
      <c r="K123" s="295"/>
    </row>
    <row r="124" spans="1:12" s="105" customFormat="1" ht="91.5" thickTop="1" thickBot="1" x14ac:dyDescent="0.25">
      <c r="B124" s="288" t="s">
        <v>34</v>
      </c>
      <c r="C124" s="288" t="s">
        <v>238</v>
      </c>
      <c r="D124" s="288" t="s">
        <v>241</v>
      </c>
      <c r="E124" s="288" t="s">
        <v>58</v>
      </c>
      <c r="F124" s="391" t="s">
        <v>567</v>
      </c>
      <c r="G124" s="302" t="s">
        <v>827</v>
      </c>
      <c r="H124" s="295">
        <v>6873431</v>
      </c>
      <c r="I124" s="294">
        <v>0.25</v>
      </c>
      <c r="J124" s="295">
        <f>2000000-550000</f>
        <v>1450000</v>
      </c>
      <c r="K124" s="294">
        <f>(1305620+J124)/H124</f>
        <v>0.4009089492569286</v>
      </c>
    </row>
    <row r="125" spans="1:12" s="105" customFormat="1" ht="106.5" thickTop="1" thickBot="1" x14ac:dyDescent="0.25">
      <c r="B125" s="288" t="s">
        <v>34</v>
      </c>
      <c r="C125" s="288" t="s">
        <v>238</v>
      </c>
      <c r="D125" s="288" t="s">
        <v>241</v>
      </c>
      <c r="E125" s="288" t="s">
        <v>58</v>
      </c>
      <c r="F125" s="288" t="s">
        <v>828</v>
      </c>
      <c r="G125" s="289" t="s">
        <v>641</v>
      </c>
      <c r="H125" s="295">
        <f>((1200000)+455200)+150000</f>
        <v>1805200</v>
      </c>
      <c r="I125" s="294">
        <v>0</v>
      </c>
      <c r="J125" s="295">
        <f>((1200000)+455200)+150000</f>
        <v>1805200</v>
      </c>
      <c r="K125" s="294">
        <v>1</v>
      </c>
      <c r="L125" s="295" t="s">
        <v>906</v>
      </c>
    </row>
    <row r="126" spans="1:12" s="105" customFormat="1" ht="83.25" customHeight="1" thickTop="1" thickBot="1" x14ac:dyDescent="0.25">
      <c r="B126" s="288" t="s">
        <v>34</v>
      </c>
      <c r="C126" s="288" t="s">
        <v>238</v>
      </c>
      <c r="D126" s="288" t="s">
        <v>241</v>
      </c>
      <c r="E126" s="288" t="s">
        <v>58</v>
      </c>
      <c r="F126" s="391" t="s">
        <v>619</v>
      </c>
      <c r="G126" s="289" t="s">
        <v>641</v>
      </c>
      <c r="H126" s="295">
        <v>91865</v>
      </c>
      <c r="I126" s="294">
        <v>0</v>
      </c>
      <c r="J126" s="295">
        <f>(91865)-25579</f>
        <v>66286</v>
      </c>
      <c r="K126" s="294">
        <v>1</v>
      </c>
    </row>
    <row r="127" spans="1:12" s="105" customFormat="1" ht="46.5" thickTop="1" thickBot="1" x14ac:dyDescent="0.25">
      <c r="B127" s="288" t="s">
        <v>35</v>
      </c>
      <c r="C127" s="288" t="s">
        <v>239</v>
      </c>
      <c r="D127" s="288" t="s">
        <v>241</v>
      </c>
      <c r="E127" s="288" t="s">
        <v>59</v>
      </c>
      <c r="F127" s="282" t="s">
        <v>780</v>
      </c>
      <c r="G127" s="289"/>
      <c r="H127" s="295"/>
      <c r="I127" s="294"/>
      <c r="J127" s="295">
        <v>169100</v>
      </c>
      <c r="K127" s="294"/>
    </row>
    <row r="128" spans="1:12" s="105" customFormat="1" ht="91.5" thickTop="1" thickBot="1" x14ac:dyDescent="0.25">
      <c r="B128" s="288" t="s">
        <v>35</v>
      </c>
      <c r="C128" s="288" t="s">
        <v>239</v>
      </c>
      <c r="D128" s="288" t="s">
        <v>241</v>
      </c>
      <c r="E128" s="288" t="s">
        <v>59</v>
      </c>
      <c r="F128" s="282" t="s">
        <v>829</v>
      </c>
      <c r="G128" s="289" t="s">
        <v>641</v>
      </c>
      <c r="H128" s="290">
        <v>299500</v>
      </c>
      <c r="I128" s="294">
        <v>0</v>
      </c>
      <c r="J128" s="295">
        <v>299500</v>
      </c>
      <c r="K128" s="294">
        <v>1</v>
      </c>
      <c r="L128" s="261" t="s">
        <v>830</v>
      </c>
    </row>
    <row r="129" spans="2:12" s="105" customFormat="1" ht="31.5" thickTop="1" thickBot="1" x14ac:dyDescent="0.25">
      <c r="B129" s="288" t="s">
        <v>463</v>
      </c>
      <c r="C129" s="288" t="s">
        <v>443</v>
      </c>
      <c r="D129" s="288" t="s">
        <v>53</v>
      </c>
      <c r="E129" s="288" t="s">
        <v>444</v>
      </c>
      <c r="F129" s="282" t="s">
        <v>780</v>
      </c>
      <c r="G129" s="289"/>
      <c r="H129" s="290"/>
      <c r="I129" s="294"/>
      <c r="J129" s="295">
        <v>200000</v>
      </c>
      <c r="K129" s="294"/>
      <c r="L129" s="261"/>
    </row>
    <row r="130" spans="2:12" ht="46.5" thickTop="1" thickBot="1" x14ac:dyDescent="0.25">
      <c r="B130" s="459" t="s">
        <v>198</v>
      </c>
      <c r="C130" s="459"/>
      <c r="D130" s="459"/>
      <c r="E130" s="460" t="s">
        <v>28</v>
      </c>
      <c r="F130" s="459"/>
      <c r="G130" s="459"/>
      <c r="H130" s="459"/>
      <c r="I130" s="459"/>
      <c r="J130" s="461">
        <f>J131</f>
        <v>146555521.59</v>
      </c>
      <c r="K130" s="459"/>
      <c r="L130" s="442">
        <f>L133+L134+L140+L155+L163+L168</f>
        <v>2557415</v>
      </c>
    </row>
    <row r="131" spans="2:12" ht="44.25" thickTop="1" thickBot="1" x14ac:dyDescent="0.25">
      <c r="B131" s="462" t="s">
        <v>199</v>
      </c>
      <c r="C131" s="462"/>
      <c r="D131" s="462"/>
      <c r="E131" s="463" t="s">
        <v>48</v>
      </c>
      <c r="F131" s="462"/>
      <c r="G131" s="462"/>
      <c r="H131" s="462"/>
      <c r="I131" s="462"/>
      <c r="J131" s="464">
        <f>J133+J134+J135+J140+J155+J162+J163+J164+J168+J205+J132</f>
        <v>146555521.59</v>
      </c>
      <c r="K131" s="462"/>
      <c r="L131" s="443"/>
    </row>
    <row r="132" spans="2:12" ht="61.5" thickTop="1" thickBot="1" x14ac:dyDescent="0.25">
      <c r="B132" s="288" t="s">
        <v>522</v>
      </c>
      <c r="C132" s="288" t="s">
        <v>286</v>
      </c>
      <c r="D132" s="288" t="s">
        <v>284</v>
      </c>
      <c r="E132" s="288" t="s">
        <v>285</v>
      </c>
      <c r="F132" s="282" t="s">
        <v>780</v>
      </c>
      <c r="G132" s="402"/>
      <c r="H132" s="402"/>
      <c r="I132" s="402"/>
      <c r="J132" s="295">
        <v>17000</v>
      </c>
      <c r="K132" s="402"/>
      <c r="L132" s="443"/>
    </row>
    <row r="133" spans="2:12" ht="31.5" thickTop="1" thickBot="1" x14ac:dyDescent="0.25">
      <c r="B133" s="288" t="s">
        <v>331</v>
      </c>
      <c r="C133" s="288" t="s">
        <v>332</v>
      </c>
      <c r="D133" s="288" t="s">
        <v>415</v>
      </c>
      <c r="E133" s="288" t="s">
        <v>333</v>
      </c>
      <c r="F133" s="289" t="s">
        <v>831</v>
      </c>
      <c r="G133" s="289"/>
      <c r="H133" s="290"/>
      <c r="I133" s="289"/>
      <c r="J133" s="290">
        <f>((3500000+597900)+1323300)+1000000</f>
        <v>6421200</v>
      </c>
      <c r="K133" s="444"/>
      <c r="L133" s="445">
        <v>1000000</v>
      </c>
    </row>
    <row r="134" spans="2:12" ht="31.5" thickTop="1" thickBot="1" x14ac:dyDescent="0.25">
      <c r="B134" s="288" t="s">
        <v>356</v>
      </c>
      <c r="C134" s="288" t="s">
        <v>357</v>
      </c>
      <c r="D134" s="288" t="s">
        <v>334</v>
      </c>
      <c r="E134" s="288" t="s">
        <v>358</v>
      </c>
      <c r="F134" s="289" t="s">
        <v>909</v>
      </c>
      <c r="G134" s="289"/>
      <c r="H134" s="290"/>
      <c r="I134" s="289"/>
      <c r="J134" s="290">
        <f>(5000000+4235016)+1000000</f>
        <v>10235016</v>
      </c>
      <c r="K134" s="444"/>
      <c r="L134" s="445">
        <v>1000000</v>
      </c>
    </row>
    <row r="135" spans="2:12" ht="46.5" thickTop="1" thickBot="1" x14ac:dyDescent="0.25">
      <c r="B135" s="288" t="s">
        <v>335</v>
      </c>
      <c r="C135" s="288" t="s">
        <v>336</v>
      </c>
      <c r="D135" s="288" t="s">
        <v>334</v>
      </c>
      <c r="E135" s="288" t="s">
        <v>633</v>
      </c>
      <c r="F135" s="289" t="s">
        <v>832</v>
      </c>
      <c r="G135" s="289"/>
      <c r="H135" s="290"/>
      <c r="I135" s="289"/>
      <c r="J135" s="290">
        <f>J136+J137+J138+J139</f>
        <v>18172317</v>
      </c>
      <c r="K135" s="290" t="s">
        <v>833</v>
      </c>
      <c r="L135" s="443"/>
    </row>
    <row r="136" spans="2:12" ht="46.5" thickTop="1" thickBot="1" x14ac:dyDescent="0.25">
      <c r="B136" s="288" t="s">
        <v>335</v>
      </c>
      <c r="C136" s="288" t="s">
        <v>336</v>
      </c>
      <c r="D136" s="288" t="s">
        <v>334</v>
      </c>
      <c r="E136" s="291" t="s">
        <v>633</v>
      </c>
      <c r="F136" s="292" t="s">
        <v>876</v>
      </c>
      <c r="G136" s="289"/>
      <c r="H136" s="290"/>
      <c r="I136" s="289"/>
      <c r="J136" s="293">
        <v>3000000</v>
      </c>
      <c r="K136" s="290"/>
      <c r="L136" s="443"/>
    </row>
    <row r="137" spans="2:12" ht="46.5" thickTop="1" thickBot="1" x14ac:dyDescent="0.25">
      <c r="B137" s="288" t="s">
        <v>335</v>
      </c>
      <c r="C137" s="288" t="s">
        <v>336</v>
      </c>
      <c r="D137" s="288" t="s">
        <v>334</v>
      </c>
      <c r="E137" s="291" t="s">
        <v>633</v>
      </c>
      <c r="F137" s="292" t="s">
        <v>834</v>
      </c>
      <c r="G137" s="289"/>
      <c r="H137" s="290"/>
      <c r="I137" s="289"/>
      <c r="J137" s="293">
        <f>(14000000)+200000</f>
        <v>14200000</v>
      </c>
      <c r="K137" s="290"/>
      <c r="L137" s="443"/>
    </row>
    <row r="138" spans="2:12" ht="76.5" thickTop="1" thickBot="1" x14ac:dyDescent="0.25">
      <c r="B138" s="288" t="s">
        <v>335</v>
      </c>
      <c r="C138" s="288" t="s">
        <v>336</v>
      </c>
      <c r="D138" s="288" t="s">
        <v>334</v>
      </c>
      <c r="E138" s="291" t="s">
        <v>633</v>
      </c>
      <c r="F138" s="292" t="s">
        <v>904</v>
      </c>
      <c r="G138" s="289" t="s">
        <v>641</v>
      </c>
      <c r="H138" s="290">
        <v>721317</v>
      </c>
      <c r="I138" s="294">
        <v>0</v>
      </c>
      <c r="J138" s="293">
        <v>500000</v>
      </c>
      <c r="K138" s="294">
        <f>J138/H138</f>
        <v>0.69317650907991912</v>
      </c>
      <c r="L138" s="443"/>
    </row>
    <row r="139" spans="2:12" ht="46.5" thickTop="1" thickBot="1" x14ac:dyDescent="0.25">
      <c r="B139" s="288" t="s">
        <v>335</v>
      </c>
      <c r="C139" s="288" t="s">
        <v>336</v>
      </c>
      <c r="D139" s="288" t="s">
        <v>334</v>
      </c>
      <c r="E139" s="291" t="s">
        <v>633</v>
      </c>
      <c r="F139" s="292" t="s">
        <v>877</v>
      </c>
      <c r="G139" s="289"/>
      <c r="H139" s="290"/>
      <c r="I139" s="289"/>
      <c r="J139" s="293">
        <v>472317</v>
      </c>
      <c r="K139" s="290"/>
      <c r="L139" s="443"/>
    </row>
    <row r="140" spans="2:12" ht="31.5" thickTop="1" thickBot="1" x14ac:dyDescent="0.25">
      <c r="B140" s="288" t="s">
        <v>340</v>
      </c>
      <c r="C140" s="288" t="s">
        <v>341</v>
      </c>
      <c r="D140" s="288" t="s">
        <v>334</v>
      </c>
      <c r="E140" s="288" t="s">
        <v>342</v>
      </c>
      <c r="F140" s="289" t="s">
        <v>832</v>
      </c>
      <c r="G140" s="289"/>
      <c r="H140" s="290"/>
      <c r="I140" s="289"/>
      <c r="J140" s="290">
        <f>SUM(J141:J154)</f>
        <v>12901227</v>
      </c>
      <c r="K140" s="444"/>
      <c r="L140" s="445">
        <f>L141+L149+L153+L154</f>
        <v>668000</v>
      </c>
    </row>
    <row r="141" spans="2:12" ht="46.5" thickTop="1" thickBot="1" x14ac:dyDescent="0.25">
      <c r="B141" s="288" t="s">
        <v>340</v>
      </c>
      <c r="C141" s="288" t="s">
        <v>341</v>
      </c>
      <c r="D141" s="288" t="s">
        <v>334</v>
      </c>
      <c r="E141" s="288" t="s">
        <v>342</v>
      </c>
      <c r="F141" s="292" t="s">
        <v>835</v>
      </c>
      <c r="G141" s="289" t="s">
        <v>836</v>
      </c>
      <c r="H141" s="290"/>
      <c r="I141" s="289"/>
      <c r="J141" s="293">
        <f>(2000000-200000)+500000</f>
        <v>2300000</v>
      </c>
      <c r="K141" s="290"/>
      <c r="L141" s="443">
        <v>500000</v>
      </c>
    </row>
    <row r="142" spans="2:12" ht="46.5" thickTop="1" thickBot="1" x14ac:dyDescent="0.25">
      <c r="B142" s="288" t="s">
        <v>340</v>
      </c>
      <c r="C142" s="288" t="s">
        <v>341</v>
      </c>
      <c r="D142" s="288" t="s">
        <v>334</v>
      </c>
      <c r="E142" s="288" t="s">
        <v>342</v>
      </c>
      <c r="F142" s="292" t="s">
        <v>837</v>
      </c>
      <c r="G142" s="289"/>
      <c r="H142" s="290"/>
      <c r="I142" s="289"/>
      <c r="J142" s="293">
        <f>5000000-940000</f>
        <v>4060000</v>
      </c>
      <c r="K142" s="290"/>
      <c r="L142" s="443"/>
    </row>
    <row r="143" spans="2:12" ht="46.5" thickTop="1" thickBot="1" x14ac:dyDescent="0.25">
      <c r="B143" s="288" t="s">
        <v>340</v>
      </c>
      <c r="C143" s="288" t="s">
        <v>341</v>
      </c>
      <c r="D143" s="288" t="s">
        <v>334</v>
      </c>
      <c r="E143" s="288" t="s">
        <v>342</v>
      </c>
      <c r="F143" s="292" t="s">
        <v>838</v>
      </c>
      <c r="G143" s="289"/>
      <c r="H143" s="290"/>
      <c r="I143" s="289"/>
      <c r="J143" s="293">
        <f>600000-560000</f>
        <v>40000</v>
      </c>
      <c r="K143" s="290"/>
      <c r="L143" s="443"/>
    </row>
    <row r="144" spans="2:12" ht="76.5" thickTop="1" thickBot="1" x14ac:dyDescent="0.25">
      <c r="B144" s="288" t="s">
        <v>340</v>
      </c>
      <c r="C144" s="288" t="s">
        <v>341</v>
      </c>
      <c r="D144" s="288" t="s">
        <v>334</v>
      </c>
      <c r="E144" s="288" t="s">
        <v>342</v>
      </c>
      <c r="F144" s="292" t="s">
        <v>839</v>
      </c>
      <c r="G144" s="290" t="s">
        <v>827</v>
      </c>
      <c r="H144" s="290">
        <v>4552060</v>
      </c>
      <c r="I144" s="294">
        <v>0.26</v>
      </c>
      <c r="J144" s="293">
        <f>1000000</f>
        <v>1000000</v>
      </c>
      <c r="K144" s="294">
        <f>(H144*I144+J144)/H144</f>
        <v>0.47968075991968473</v>
      </c>
      <c r="L144" s="443"/>
    </row>
    <row r="145" spans="2:12" ht="91.5" thickTop="1" thickBot="1" x14ac:dyDescent="0.25">
      <c r="B145" s="288" t="s">
        <v>340</v>
      </c>
      <c r="C145" s="288" t="s">
        <v>341</v>
      </c>
      <c r="D145" s="288" t="s">
        <v>334</v>
      </c>
      <c r="E145" s="288" t="s">
        <v>342</v>
      </c>
      <c r="F145" s="292" t="s">
        <v>910</v>
      </c>
      <c r="G145" s="289" t="s">
        <v>641</v>
      </c>
      <c r="H145" s="290"/>
      <c r="I145" s="289"/>
      <c r="J145" s="293">
        <f>1000000-991900</f>
        <v>8100</v>
      </c>
      <c r="K145" s="290"/>
      <c r="L145" s="443"/>
    </row>
    <row r="146" spans="2:12" ht="91.5" thickTop="1" thickBot="1" x14ac:dyDescent="0.25">
      <c r="B146" s="288" t="s">
        <v>340</v>
      </c>
      <c r="C146" s="288" t="s">
        <v>341</v>
      </c>
      <c r="D146" s="288" t="s">
        <v>334</v>
      </c>
      <c r="E146" s="288" t="s">
        <v>342</v>
      </c>
      <c r="F146" s="292" t="s">
        <v>911</v>
      </c>
      <c r="G146" s="289" t="s">
        <v>641</v>
      </c>
      <c r="H146" s="290"/>
      <c r="I146" s="289"/>
      <c r="J146" s="293">
        <f>1500000-1481775</f>
        <v>18225</v>
      </c>
      <c r="K146" s="290"/>
      <c r="L146" s="443"/>
    </row>
    <row r="147" spans="2:12" ht="91.5" thickTop="1" thickBot="1" x14ac:dyDescent="0.25">
      <c r="B147" s="288" t="s">
        <v>340</v>
      </c>
      <c r="C147" s="288" t="s">
        <v>341</v>
      </c>
      <c r="D147" s="288" t="s">
        <v>334</v>
      </c>
      <c r="E147" s="288" t="s">
        <v>342</v>
      </c>
      <c r="F147" s="292" t="s">
        <v>912</v>
      </c>
      <c r="G147" s="290" t="s">
        <v>840</v>
      </c>
      <c r="H147" s="290">
        <v>7725528</v>
      </c>
      <c r="I147" s="294">
        <v>0.11</v>
      </c>
      <c r="J147" s="449">
        <f>2000000</f>
        <v>2000000</v>
      </c>
      <c r="K147" s="294">
        <f t="shared" ref="K147:K150" si="1">(H147*I147+J147)/H147</f>
        <v>0.36888198191761135</v>
      </c>
      <c r="L147" s="443"/>
    </row>
    <row r="148" spans="2:12" ht="61.5" thickTop="1" thickBot="1" x14ac:dyDescent="0.25">
      <c r="B148" s="288" t="s">
        <v>340</v>
      </c>
      <c r="C148" s="288" t="s">
        <v>341</v>
      </c>
      <c r="D148" s="288" t="s">
        <v>334</v>
      </c>
      <c r="E148" s="288" t="s">
        <v>342</v>
      </c>
      <c r="F148" s="292" t="s">
        <v>841</v>
      </c>
      <c r="G148" s="290" t="s">
        <v>840</v>
      </c>
      <c r="H148" s="290">
        <v>4380277</v>
      </c>
      <c r="I148" s="294">
        <v>0.06</v>
      </c>
      <c r="J148" s="293">
        <v>1000000</v>
      </c>
      <c r="K148" s="294">
        <f t="shared" si="1"/>
        <v>0.28829606438131655</v>
      </c>
      <c r="L148" s="443"/>
    </row>
    <row r="149" spans="2:12" ht="76.5" thickTop="1" thickBot="1" x14ac:dyDescent="0.25">
      <c r="B149" s="288" t="s">
        <v>340</v>
      </c>
      <c r="C149" s="288" t="s">
        <v>341</v>
      </c>
      <c r="D149" s="288" t="s">
        <v>334</v>
      </c>
      <c r="E149" s="288" t="s">
        <v>342</v>
      </c>
      <c r="F149" s="292" t="s">
        <v>913</v>
      </c>
      <c r="G149" s="289" t="s">
        <v>641</v>
      </c>
      <c r="H149" s="290"/>
      <c r="I149" s="294"/>
      <c r="J149" s="293">
        <f>2000-2000</f>
        <v>0</v>
      </c>
      <c r="K149" s="294"/>
      <c r="L149" s="443">
        <v>-2000</v>
      </c>
    </row>
    <row r="150" spans="2:12" ht="61.5" thickTop="1" thickBot="1" x14ac:dyDescent="0.25">
      <c r="B150" s="288" t="s">
        <v>340</v>
      </c>
      <c r="C150" s="288" t="s">
        <v>341</v>
      </c>
      <c r="D150" s="288" t="s">
        <v>334</v>
      </c>
      <c r="E150" s="288" t="s">
        <v>342</v>
      </c>
      <c r="F150" s="292" t="s">
        <v>842</v>
      </c>
      <c r="G150" s="290" t="s">
        <v>551</v>
      </c>
      <c r="H150" s="290">
        <v>1491906</v>
      </c>
      <c r="I150" s="294">
        <v>0</v>
      </c>
      <c r="J150" s="290">
        <v>1481775</v>
      </c>
      <c r="K150" s="294">
        <f t="shared" si="1"/>
        <v>0.99320935769411745</v>
      </c>
      <c r="L150" s="443"/>
    </row>
    <row r="151" spans="2:12" ht="61.5" thickTop="1" thickBot="1" x14ac:dyDescent="0.25">
      <c r="B151" s="288" t="s">
        <v>340</v>
      </c>
      <c r="C151" s="288" t="s">
        <v>341</v>
      </c>
      <c r="D151" s="288" t="s">
        <v>334</v>
      </c>
      <c r="E151" s="288" t="s">
        <v>342</v>
      </c>
      <c r="F151" s="292" t="s">
        <v>878</v>
      </c>
      <c r="G151" s="290" t="s">
        <v>551</v>
      </c>
      <c r="H151" s="290">
        <v>124058.72</v>
      </c>
      <c r="I151" s="294">
        <v>0.78</v>
      </c>
      <c r="J151" s="290">
        <f>53500-2000-24173</f>
        <v>27327</v>
      </c>
      <c r="K151" s="294">
        <v>1</v>
      </c>
      <c r="L151" s="443"/>
    </row>
    <row r="152" spans="2:12" ht="46.5" thickTop="1" thickBot="1" x14ac:dyDescent="0.25">
      <c r="B152" s="288" t="s">
        <v>340</v>
      </c>
      <c r="C152" s="288" t="s">
        <v>341</v>
      </c>
      <c r="D152" s="288" t="s">
        <v>334</v>
      </c>
      <c r="E152" s="288" t="s">
        <v>342</v>
      </c>
      <c r="F152" s="292" t="s">
        <v>879</v>
      </c>
      <c r="G152" s="290" t="s">
        <v>827</v>
      </c>
      <c r="H152" s="290">
        <v>7253402</v>
      </c>
      <c r="I152" s="294">
        <v>0.9</v>
      </c>
      <c r="J152" s="290">
        <v>695800</v>
      </c>
      <c r="K152" s="294">
        <v>1</v>
      </c>
      <c r="L152" s="443"/>
    </row>
    <row r="153" spans="2:12" ht="46.5" thickTop="1" thickBot="1" x14ac:dyDescent="0.25">
      <c r="B153" s="288" t="s">
        <v>340</v>
      </c>
      <c r="C153" s="288" t="s">
        <v>341</v>
      </c>
      <c r="D153" s="288" t="s">
        <v>334</v>
      </c>
      <c r="E153" s="288" t="s">
        <v>342</v>
      </c>
      <c r="F153" s="292" t="s">
        <v>880</v>
      </c>
      <c r="G153" s="289" t="s">
        <v>641</v>
      </c>
      <c r="H153" s="290">
        <v>100000</v>
      </c>
      <c r="I153" s="294">
        <v>0</v>
      </c>
      <c r="J153" s="290">
        <f>100000-100000</f>
        <v>0</v>
      </c>
      <c r="K153" s="294">
        <v>1</v>
      </c>
      <c r="L153" s="443">
        <v>-100000</v>
      </c>
    </row>
    <row r="154" spans="2:12" ht="61.5" thickTop="1" thickBot="1" x14ac:dyDescent="0.25">
      <c r="B154" s="288" t="s">
        <v>340</v>
      </c>
      <c r="C154" s="288" t="s">
        <v>341</v>
      </c>
      <c r="D154" s="288" t="s">
        <v>334</v>
      </c>
      <c r="E154" s="288" t="s">
        <v>342</v>
      </c>
      <c r="F154" s="292" t="s">
        <v>965</v>
      </c>
      <c r="G154" s="289" t="s">
        <v>641</v>
      </c>
      <c r="H154" s="290">
        <v>270000</v>
      </c>
      <c r="I154" s="294">
        <v>0</v>
      </c>
      <c r="J154" s="290">
        <v>270000</v>
      </c>
      <c r="K154" s="294">
        <v>1</v>
      </c>
      <c r="L154" s="443">
        <v>270000</v>
      </c>
    </row>
    <row r="155" spans="2:12" ht="31.5" thickTop="1" thickBot="1" x14ac:dyDescent="0.25">
      <c r="B155" s="288" t="s">
        <v>360</v>
      </c>
      <c r="C155" s="288" t="s">
        <v>361</v>
      </c>
      <c r="D155" s="288" t="s">
        <v>359</v>
      </c>
      <c r="E155" s="288" t="s">
        <v>637</v>
      </c>
      <c r="F155" s="289" t="s">
        <v>61</v>
      </c>
      <c r="G155" s="289"/>
      <c r="H155" s="290"/>
      <c r="I155" s="289"/>
      <c r="J155" s="295">
        <f>J156+J157+J158+J159+J160+J161</f>
        <v>8172390</v>
      </c>
      <c r="K155" s="446"/>
      <c r="L155" s="445">
        <f>L156+L158+L161</f>
        <v>-1166025</v>
      </c>
    </row>
    <row r="156" spans="2:12" ht="31.5" thickTop="1" thickBot="1" x14ac:dyDescent="0.25">
      <c r="B156" s="291" t="s">
        <v>360</v>
      </c>
      <c r="C156" s="291" t="s">
        <v>361</v>
      </c>
      <c r="D156" s="291" t="s">
        <v>359</v>
      </c>
      <c r="E156" s="291" t="s">
        <v>637</v>
      </c>
      <c r="F156" s="292" t="s">
        <v>71</v>
      </c>
      <c r="G156" s="296"/>
      <c r="H156" s="293"/>
      <c r="I156" s="296"/>
      <c r="J156" s="293">
        <f>5000000-1000000</f>
        <v>4000000</v>
      </c>
      <c r="K156" s="447"/>
      <c r="L156" s="443">
        <v>-1000000</v>
      </c>
    </row>
    <row r="157" spans="2:12" ht="46.5" thickTop="1" thickBot="1" x14ac:dyDescent="0.25">
      <c r="B157" s="291" t="s">
        <v>360</v>
      </c>
      <c r="C157" s="291" t="s">
        <v>361</v>
      </c>
      <c r="D157" s="291" t="s">
        <v>359</v>
      </c>
      <c r="E157" s="291" t="s">
        <v>637</v>
      </c>
      <c r="F157" s="292" t="s">
        <v>186</v>
      </c>
      <c r="G157" s="293" t="s">
        <v>843</v>
      </c>
      <c r="H157" s="293">
        <v>18370999</v>
      </c>
      <c r="I157" s="297">
        <f>(300000+171778.77+2000000)/H157</f>
        <v>0.13454786917140435</v>
      </c>
      <c r="J157" s="293">
        <f>4000000-2000000</f>
        <v>2000000</v>
      </c>
      <c r="K157" s="297">
        <f>(300000+171778.77+2000000+J157)/H157</f>
        <v>0.24341511150264608</v>
      </c>
      <c r="L157" s="443"/>
    </row>
    <row r="158" spans="2:12" ht="46.5" thickTop="1" thickBot="1" x14ac:dyDescent="0.25">
      <c r="B158" s="291" t="s">
        <v>360</v>
      </c>
      <c r="C158" s="291" t="s">
        <v>361</v>
      </c>
      <c r="D158" s="291" t="s">
        <v>359</v>
      </c>
      <c r="E158" s="291" t="s">
        <v>637</v>
      </c>
      <c r="F158" s="292" t="s">
        <v>384</v>
      </c>
      <c r="G158" s="293" t="s">
        <v>843</v>
      </c>
      <c r="H158" s="293">
        <v>8344958</v>
      </c>
      <c r="I158" s="297">
        <v>0.22</v>
      </c>
      <c r="J158" s="293">
        <f>2000000-266025</f>
        <v>1733975</v>
      </c>
      <c r="K158" s="294">
        <f>(H158*I158+J158)/H158</f>
        <v>0.42778714524387057</v>
      </c>
      <c r="L158" s="443">
        <v>-266025</v>
      </c>
    </row>
    <row r="159" spans="2:12" ht="46.5" thickTop="1" thickBot="1" x14ac:dyDescent="0.25">
      <c r="B159" s="291" t="s">
        <v>360</v>
      </c>
      <c r="C159" s="291" t="s">
        <v>361</v>
      </c>
      <c r="D159" s="291" t="s">
        <v>359</v>
      </c>
      <c r="E159" s="291" t="s">
        <v>637</v>
      </c>
      <c r="F159" s="292" t="s">
        <v>557</v>
      </c>
      <c r="G159" s="296" t="s">
        <v>641</v>
      </c>
      <c r="H159" s="293"/>
      <c r="I159" s="296"/>
      <c r="J159" s="293">
        <f>211415+42000</f>
        <v>253415</v>
      </c>
      <c r="K159" s="297"/>
      <c r="L159" s="443"/>
    </row>
    <row r="160" spans="2:12" ht="76.5" thickTop="1" thickBot="1" x14ac:dyDescent="0.25">
      <c r="B160" s="291" t="s">
        <v>360</v>
      </c>
      <c r="C160" s="291" t="s">
        <v>361</v>
      </c>
      <c r="D160" s="291" t="s">
        <v>359</v>
      </c>
      <c r="E160" s="291" t="s">
        <v>637</v>
      </c>
      <c r="F160" s="292" t="s">
        <v>881</v>
      </c>
      <c r="G160" s="296"/>
      <c r="H160" s="293"/>
      <c r="I160" s="296"/>
      <c r="J160" s="293">
        <v>85000</v>
      </c>
      <c r="K160" s="297"/>
      <c r="L160" s="443"/>
    </row>
    <row r="161" spans="2:12" ht="61.5" thickTop="1" thickBot="1" x14ac:dyDescent="0.25">
      <c r="B161" s="291" t="s">
        <v>360</v>
      </c>
      <c r="C161" s="291" t="s">
        <v>361</v>
      </c>
      <c r="D161" s="291" t="s">
        <v>359</v>
      </c>
      <c r="E161" s="291" t="s">
        <v>637</v>
      </c>
      <c r="F161" s="450" t="s">
        <v>966</v>
      </c>
      <c r="G161" s="296"/>
      <c r="H161" s="293"/>
      <c r="I161" s="296"/>
      <c r="J161" s="293">
        <v>100000</v>
      </c>
      <c r="K161" s="297"/>
      <c r="L161" s="443">
        <v>100000</v>
      </c>
    </row>
    <row r="162" spans="2:12" ht="46.5" thickTop="1" thickBot="1" x14ac:dyDescent="0.25">
      <c r="B162" s="288" t="s">
        <v>558</v>
      </c>
      <c r="C162" s="288" t="s">
        <v>428</v>
      </c>
      <c r="D162" s="288" t="s">
        <v>210</v>
      </c>
      <c r="E162" s="288" t="s">
        <v>313</v>
      </c>
      <c r="F162" s="298" t="s">
        <v>2</v>
      </c>
      <c r="G162" s="289" t="s">
        <v>538</v>
      </c>
      <c r="H162" s="290">
        <v>181970000</v>
      </c>
      <c r="I162" s="297">
        <f>(96444100-4000000+21460000+8818000+7750000)/H162</f>
        <v>0.71699785678958072</v>
      </c>
      <c r="J162" s="290">
        <f>2000000-1400000+4023.59</f>
        <v>604023.59</v>
      </c>
      <c r="K162" s="297">
        <f>(96444100-4000000+21460000+8818000+7750000+J162)/H162</f>
        <v>0.72031721487058309</v>
      </c>
      <c r="L162" s="443"/>
    </row>
    <row r="163" spans="2:12" ht="46.5" thickTop="1" thickBot="1" x14ac:dyDescent="0.25">
      <c r="B163" s="288" t="s">
        <v>346</v>
      </c>
      <c r="C163" s="288" t="s">
        <v>347</v>
      </c>
      <c r="D163" s="288" t="s">
        <v>349</v>
      </c>
      <c r="E163" s="288" t="s">
        <v>348</v>
      </c>
      <c r="F163" s="289" t="s">
        <v>70</v>
      </c>
      <c r="G163" s="289"/>
      <c r="H163" s="290"/>
      <c r="I163" s="289"/>
      <c r="J163" s="290">
        <f>((44383234-300000)+(6000000-500000))+266025</f>
        <v>49849259</v>
      </c>
      <c r="K163" s="444"/>
      <c r="L163" s="448">
        <v>266025</v>
      </c>
    </row>
    <row r="164" spans="2:12" ht="17.25" thickTop="1" thickBot="1" x14ac:dyDescent="0.25">
      <c r="B164" s="288" t="s">
        <v>350</v>
      </c>
      <c r="C164" s="288" t="s">
        <v>262</v>
      </c>
      <c r="D164" s="288" t="s">
        <v>263</v>
      </c>
      <c r="E164" s="288" t="s">
        <v>51</v>
      </c>
      <c r="F164" s="289" t="s">
        <v>832</v>
      </c>
      <c r="G164" s="289"/>
      <c r="H164" s="290" t="s">
        <v>836</v>
      </c>
      <c r="I164" s="289" t="s">
        <v>836</v>
      </c>
      <c r="J164" s="290">
        <f>J165+J166+J167</f>
        <v>25855475</v>
      </c>
      <c r="K164" s="290"/>
      <c r="L164" s="443"/>
    </row>
    <row r="165" spans="2:12" ht="166.5" thickTop="1" thickBot="1" x14ac:dyDescent="0.25">
      <c r="B165" s="288" t="s">
        <v>350</v>
      </c>
      <c r="C165" s="288" t="s">
        <v>262</v>
      </c>
      <c r="D165" s="288" t="s">
        <v>263</v>
      </c>
      <c r="E165" s="288" t="s">
        <v>51</v>
      </c>
      <c r="F165" s="299" t="s">
        <v>844</v>
      </c>
      <c r="G165" s="289"/>
      <c r="H165" s="290"/>
      <c r="I165" s="289"/>
      <c r="J165" s="293">
        <f>7000000+394000</f>
        <v>7394000</v>
      </c>
      <c r="K165" s="290"/>
      <c r="L165" s="443"/>
    </row>
    <row r="166" spans="2:12" ht="91.5" thickTop="1" thickBot="1" x14ac:dyDescent="0.25">
      <c r="B166" s="288" t="s">
        <v>350</v>
      </c>
      <c r="C166" s="288" t="s">
        <v>262</v>
      </c>
      <c r="D166" s="288" t="s">
        <v>263</v>
      </c>
      <c r="E166" s="288" t="s">
        <v>51</v>
      </c>
      <c r="F166" s="299" t="s">
        <v>845</v>
      </c>
      <c r="G166" s="289"/>
      <c r="H166" s="290"/>
      <c r="I166" s="289"/>
      <c r="J166" s="293">
        <f>(250000)+167475</f>
        <v>417475</v>
      </c>
      <c r="K166" s="290"/>
      <c r="L166" s="443"/>
    </row>
    <row r="167" spans="2:12" ht="46.5" thickTop="1" thickBot="1" x14ac:dyDescent="0.25">
      <c r="B167" s="288" t="s">
        <v>350</v>
      </c>
      <c r="C167" s="288" t="s">
        <v>262</v>
      </c>
      <c r="D167" s="288" t="s">
        <v>263</v>
      </c>
      <c r="E167" s="288" t="s">
        <v>51</v>
      </c>
      <c r="F167" s="299" t="s">
        <v>753</v>
      </c>
      <c r="G167" s="289" t="s">
        <v>689</v>
      </c>
      <c r="H167" s="290">
        <v>29237024</v>
      </c>
      <c r="I167" s="297">
        <v>0</v>
      </c>
      <c r="J167" s="290">
        <f>15744000+2300000</f>
        <v>18044000</v>
      </c>
      <c r="K167" s="297">
        <f>J167/H167</f>
        <v>0.61716267702212102</v>
      </c>
      <c r="L167" s="443"/>
    </row>
    <row r="168" spans="2:12" ht="31.5" thickTop="1" thickBot="1" x14ac:dyDescent="0.25">
      <c r="B168" s="288" t="s">
        <v>362</v>
      </c>
      <c r="C168" s="288" t="s">
        <v>243</v>
      </c>
      <c r="D168" s="288" t="s">
        <v>210</v>
      </c>
      <c r="E168" s="288" t="s">
        <v>42</v>
      </c>
      <c r="F168" s="289" t="s">
        <v>61</v>
      </c>
      <c r="G168" s="289"/>
      <c r="H168" s="290"/>
      <c r="I168" s="289"/>
      <c r="J168" s="290">
        <f>SUM(J169:J204)</f>
        <v>14279614</v>
      </c>
      <c r="K168" s="444"/>
      <c r="L168" s="448">
        <f>L173+L174+L177+L181+L182+L186+L197+L200+L201</f>
        <v>789415</v>
      </c>
    </row>
    <row r="169" spans="2:12" ht="121.5" thickTop="1" thickBot="1" x14ac:dyDescent="0.25">
      <c r="B169" s="291" t="s">
        <v>362</v>
      </c>
      <c r="C169" s="291" t="s">
        <v>243</v>
      </c>
      <c r="D169" s="291" t="s">
        <v>210</v>
      </c>
      <c r="E169" s="291" t="s">
        <v>42</v>
      </c>
      <c r="F169" s="299" t="s">
        <v>998</v>
      </c>
      <c r="G169" s="289" t="s">
        <v>641</v>
      </c>
      <c r="H169" s="290">
        <v>205462</v>
      </c>
      <c r="I169" s="297">
        <v>0</v>
      </c>
      <c r="J169" s="290">
        <v>205462</v>
      </c>
      <c r="K169" s="297">
        <f>J169/H169</f>
        <v>1</v>
      </c>
      <c r="L169" s="491"/>
    </row>
    <row r="170" spans="2:12" ht="91.5" thickTop="1" thickBot="1" x14ac:dyDescent="0.25">
      <c r="B170" s="291" t="s">
        <v>362</v>
      </c>
      <c r="C170" s="291" t="s">
        <v>243</v>
      </c>
      <c r="D170" s="291" t="s">
        <v>210</v>
      </c>
      <c r="E170" s="291" t="s">
        <v>42</v>
      </c>
      <c r="F170" s="299" t="s">
        <v>917</v>
      </c>
      <c r="G170" s="289" t="s">
        <v>641</v>
      </c>
      <c r="H170" s="293">
        <v>4398281</v>
      </c>
      <c r="I170" s="297">
        <v>0</v>
      </c>
      <c r="J170" s="293">
        <f>1000000-950000</f>
        <v>50000</v>
      </c>
      <c r="K170" s="297">
        <f>J170/H170</f>
        <v>1.1368077664887713E-2</v>
      </c>
      <c r="L170" s="443"/>
    </row>
    <row r="171" spans="2:12" ht="121.5" thickTop="1" thickBot="1" x14ac:dyDescent="0.25">
      <c r="B171" s="291" t="s">
        <v>362</v>
      </c>
      <c r="C171" s="291" t="s">
        <v>243</v>
      </c>
      <c r="D171" s="291" t="s">
        <v>210</v>
      </c>
      <c r="E171" s="291" t="s">
        <v>42</v>
      </c>
      <c r="F171" s="299" t="s">
        <v>659</v>
      </c>
      <c r="G171" s="290"/>
      <c r="H171" s="293"/>
      <c r="I171" s="296"/>
      <c r="J171" s="293">
        <f>1000000-1000000</f>
        <v>0</v>
      </c>
      <c r="K171" s="290"/>
      <c r="L171" s="443"/>
    </row>
    <row r="172" spans="2:12" ht="91.5" thickTop="1" thickBot="1" x14ac:dyDescent="0.25">
      <c r="B172" s="291" t="s">
        <v>362</v>
      </c>
      <c r="C172" s="291" t="s">
        <v>243</v>
      </c>
      <c r="D172" s="291" t="s">
        <v>210</v>
      </c>
      <c r="E172" s="291" t="s">
        <v>42</v>
      </c>
      <c r="F172" s="403" t="s">
        <v>914</v>
      </c>
      <c r="G172" s="296"/>
      <c r="H172" s="293"/>
      <c r="I172" s="296"/>
      <c r="J172" s="293">
        <f>538650-33474</f>
        <v>505176</v>
      </c>
      <c r="K172" s="290"/>
      <c r="L172" s="443"/>
    </row>
    <row r="173" spans="2:12" ht="136.5" thickTop="1" thickBot="1" x14ac:dyDescent="0.25">
      <c r="B173" s="291" t="s">
        <v>362</v>
      </c>
      <c r="C173" s="291" t="s">
        <v>243</v>
      </c>
      <c r="D173" s="291" t="s">
        <v>210</v>
      </c>
      <c r="E173" s="291" t="s">
        <v>42</v>
      </c>
      <c r="F173" s="403" t="s">
        <v>882</v>
      </c>
      <c r="G173" s="289" t="s">
        <v>641</v>
      </c>
      <c r="H173" s="293"/>
      <c r="I173" s="296"/>
      <c r="J173" s="293">
        <f>419669-400000</f>
        <v>19669</v>
      </c>
      <c r="K173" s="290"/>
      <c r="L173" s="443">
        <v>-400000</v>
      </c>
    </row>
    <row r="174" spans="2:12" ht="91.5" thickTop="1" thickBot="1" x14ac:dyDescent="0.25">
      <c r="B174" s="291" t="s">
        <v>362</v>
      </c>
      <c r="C174" s="291" t="s">
        <v>243</v>
      </c>
      <c r="D174" s="291" t="s">
        <v>210</v>
      </c>
      <c r="E174" s="291" t="s">
        <v>42</v>
      </c>
      <c r="F174" s="403" t="s">
        <v>638</v>
      </c>
      <c r="G174" s="296"/>
      <c r="H174" s="293"/>
      <c r="I174" s="296"/>
      <c r="J174" s="293">
        <f>54106-54106</f>
        <v>0</v>
      </c>
      <c r="K174" s="290"/>
      <c r="L174" s="443">
        <v>-54106</v>
      </c>
    </row>
    <row r="175" spans="2:12" ht="91.5" thickTop="1" thickBot="1" x14ac:dyDescent="0.25">
      <c r="B175" s="291" t="s">
        <v>362</v>
      </c>
      <c r="C175" s="291" t="s">
        <v>243</v>
      </c>
      <c r="D175" s="291" t="s">
        <v>210</v>
      </c>
      <c r="E175" s="291" t="s">
        <v>42</v>
      </c>
      <c r="F175" s="403" t="s">
        <v>883</v>
      </c>
      <c r="G175" s="296" t="s">
        <v>639</v>
      </c>
      <c r="H175" s="293">
        <v>2832291</v>
      </c>
      <c r="I175" s="297">
        <v>0.27</v>
      </c>
      <c r="J175" s="293">
        <f>200000+1868324</f>
        <v>2068324</v>
      </c>
      <c r="K175" s="297">
        <f>(775000+J175)/H175</f>
        <v>1.0038954330610803</v>
      </c>
      <c r="L175" s="443"/>
    </row>
    <row r="176" spans="2:12" ht="46.5" thickTop="1" thickBot="1" x14ac:dyDescent="0.25">
      <c r="B176" s="291" t="s">
        <v>362</v>
      </c>
      <c r="C176" s="291" t="s">
        <v>243</v>
      </c>
      <c r="D176" s="291" t="s">
        <v>210</v>
      </c>
      <c r="E176" s="291" t="s">
        <v>42</v>
      </c>
      <c r="F176" s="403" t="s">
        <v>884</v>
      </c>
      <c r="G176" s="296"/>
      <c r="H176" s="293"/>
      <c r="I176" s="296"/>
      <c r="J176" s="293">
        <v>183000</v>
      </c>
      <c r="K176" s="290"/>
      <c r="L176" s="443"/>
    </row>
    <row r="177" spans="2:12" ht="151.5" thickTop="1" thickBot="1" x14ac:dyDescent="0.25">
      <c r="B177" s="291" t="s">
        <v>362</v>
      </c>
      <c r="C177" s="291" t="s">
        <v>243</v>
      </c>
      <c r="D177" s="291" t="s">
        <v>210</v>
      </c>
      <c r="E177" s="291" t="s">
        <v>42</v>
      </c>
      <c r="F177" s="403" t="s">
        <v>885</v>
      </c>
      <c r="G177" s="296"/>
      <c r="H177" s="293"/>
      <c r="I177" s="296"/>
      <c r="J177" s="293">
        <f>400000-400000</f>
        <v>0</v>
      </c>
      <c r="K177" s="290"/>
      <c r="L177" s="443">
        <v>-400000</v>
      </c>
    </row>
    <row r="178" spans="2:12" ht="46.5" thickTop="1" thickBot="1" x14ac:dyDescent="0.25">
      <c r="B178" s="291" t="s">
        <v>362</v>
      </c>
      <c r="C178" s="291" t="s">
        <v>243</v>
      </c>
      <c r="D178" s="291" t="s">
        <v>210</v>
      </c>
      <c r="E178" s="291" t="s">
        <v>42</v>
      </c>
      <c r="F178" s="403" t="s">
        <v>886</v>
      </c>
      <c r="G178" s="296"/>
      <c r="H178" s="293"/>
      <c r="I178" s="296"/>
      <c r="J178" s="293">
        <v>48500</v>
      </c>
      <c r="K178" s="290"/>
      <c r="L178" s="443"/>
    </row>
    <row r="179" spans="2:12" ht="46.5" thickTop="1" thickBot="1" x14ac:dyDescent="0.25">
      <c r="B179" s="291" t="s">
        <v>362</v>
      </c>
      <c r="C179" s="291" t="s">
        <v>243</v>
      </c>
      <c r="D179" s="291" t="s">
        <v>210</v>
      </c>
      <c r="E179" s="291" t="s">
        <v>42</v>
      </c>
      <c r="F179" s="403" t="s">
        <v>887</v>
      </c>
      <c r="G179" s="296"/>
      <c r="H179" s="293"/>
      <c r="I179" s="296"/>
      <c r="J179" s="293">
        <v>33000</v>
      </c>
      <c r="K179" s="290"/>
      <c r="L179" s="443"/>
    </row>
    <row r="180" spans="2:12" ht="61.5" thickTop="1" thickBot="1" x14ac:dyDescent="0.25">
      <c r="B180" s="291" t="s">
        <v>362</v>
      </c>
      <c r="C180" s="291" t="s">
        <v>243</v>
      </c>
      <c r="D180" s="291" t="s">
        <v>210</v>
      </c>
      <c r="E180" s="291" t="s">
        <v>42</v>
      </c>
      <c r="F180" s="403" t="s">
        <v>888</v>
      </c>
      <c r="G180" s="296"/>
      <c r="H180" s="293"/>
      <c r="I180" s="296"/>
      <c r="J180" s="293">
        <v>32000</v>
      </c>
      <c r="K180" s="290"/>
      <c r="L180" s="443"/>
    </row>
    <row r="181" spans="2:12" ht="106.5" thickTop="1" thickBot="1" x14ac:dyDescent="0.25">
      <c r="B181" s="291" t="s">
        <v>362</v>
      </c>
      <c r="C181" s="291" t="s">
        <v>243</v>
      </c>
      <c r="D181" s="291" t="s">
        <v>210</v>
      </c>
      <c r="E181" s="291" t="s">
        <v>42</v>
      </c>
      <c r="F181" s="403" t="s">
        <v>967</v>
      </c>
      <c r="G181" s="296"/>
      <c r="H181" s="293"/>
      <c r="I181" s="296"/>
      <c r="J181" s="293">
        <v>87927</v>
      </c>
      <c r="K181" s="290"/>
      <c r="L181" s="443">
        <v>116126</v>
      </c>
    </row>
    <row r="182" spans="2:12" ht="46.5" thickTop="1" thickBot="1" x14ac:dyDescent="0.25">
      <c r="B182" s="291" t="s">
        <v>362</v>
      </c>
      <c r="C182" s="291" t="s">
        <v>243</v>
      </c>
      <c r="D182" s="291" t="s">
        <v>210</v>
      </c>
      <c r="E182" s="291" t="s">
        <v>42</v>
      </c>
      <c r="F182" s="403" t="s">
        <v>968</v>
      </c>
      <c r="G182" s="296"/>
      <c r="H182" s="293"/>
      <c r="I182" s="296"/>
      <c r="J182" s="293">
        <v>300000</v>
      </c>
      <c r="K182" s="290"/>
      <c r="L182" s="443">
        <v>300000</v>
      </c>
    </row>
    <row r="183" spans="2:12" ht="121.5" thickTop="1" thickBot="1" x14ac:dyDescent="0.25">
      <c r="B183" s="291" t="s">
        <v>362</v>
      </c>
      <c r="C183" s="291" t="s">
        <v>243</v>
      </c>
      <c r="D183" s="291" t="s">
        <v>210</v>
      </c>
      <c r="E183" s="291" t="s">
        <v>42</v>
      </c>
      <c r="F183" s="299" t="s">
        <v>889</v>
      </c>
      <c r="G183" s="296" t="s">
        <v>639</v>
      </c>
      <c r="H183" s="293">
        <f>830218+508200</f>
        <v>1338418</v>
      </c>
      <c r="I183" s="297">
        <f>398215.92/H183</f>
        <v>0.29752731956683187</v>
      </c>
      <c r="J183" s="293">
        <f>830218+508200</f>
        <v>1338418</v>
      </c>
      <c r="K183" s="297">
        <v>1</v>
      </c>
      <c r="L183" s="443"/>
    </row>
    <row r="184" spans="2:12" ht="106.5" thickTop="1" thickBot="1" x14ac:dyDescent="0.25">
      <c r="B184" s="291" t="s">
        <v>362</v>
      </c>
      <c r="C184" s="291" t="s">
        <v>243</v>
      </c>
      <c r="D184" s="291" t="s">
        <v>210</v>
      </c>
      <c r="E184" s="291" t="s">
        <v>42</v>
      </c>
      <c r="F184" s="299" t="s">
        <v>569</v>
      </c>
      <c r="G184" s="296" t="s">
        <v>643</v>
      </c>
      <c r="H184" s="293">
        <v>13505700</v>
      </c>
      <c r="I184" s="297">
        <f>547420.08/H184</f>
        <v>4.0532521824118706E-2</v>
      </c>
      <c r="J184" s="293">
        <f>1000000</f>
        <v>1000000</v>
      </c>
      <c r="K184" s="297">
        <f>(547420.08+J184)/H184</f>
        <v>0.11457533337775902</v>
      </c>
      <c r="L184" s="443"/>
    </row>
    <row r="185" spans="2:12" ht="136.5" thickTop="1" thickBot="1" x14ac:dyDescent="0.25">
      <c r="B185" s="291" t="s">
        <v>362</v>
      </c>
      <c r="C185" s="291" t="s">
        <v>243</v>
      </c>
      <c r="D185" s="291" t="s">
        <v>210</v>
      </c>
      <c r="E185" s="291" t="s">
        <v>42</v>
      </c>
      <c r="F185" s="299" t="s">
        <v>890</v>
      </c>
      <c r="G185" s="296" t="s">
        <v>639</v>
      </c>
      <c r="H185" s="293">
        <v>688000</v>
      </c>
      <c r="I185" s="297">
        <v>0.71</v>
      </c>
      <c r="J185" s="293">
        <v>200000</v>
      </c>
      <c r="K185" s="297">
        <f>1</f>
        <v>1</v>
      </c>
      <c r="L185" s="443"/>
    </row>
    <row r="186" spans="2:12" ht="57" customHeight="1" thickTop="1" thickBot="1" x14ac:dyDescent="0.25">
      <c r="B186" s="291" t="s">
        <v>362</v>
      </c>
      <c r="C186" s="291" t="s">
        <v>243</v>
      </c>
      <c r="D186" s="291" t="s">
        <v>210</v>
      </c>
      <c r="E186" s="291" t="s">
        <v>42</v>
      </c>
      <c r="F186" s="299" t="s">
        <v>891</v>
      </c>
      <c r="G186" s="296" t="s">
        <v>641</v>
      </c>
      <c r="H186" s="293">
        <v>300000</v>
      </c>
      <c r="I186" s="297">
        <v>0</v>
      </c>
      <c r="J186" s="293">
        <f>300000-79435</f>
        <v>220565</v>
      </c>
      <c r="K186" s="297">
        <f>1</f>
        <v>1</v>
      </c>
      <c r="L186" s="443">
        <v>-79435</v>
      </c>
    </row>
    <row r="187" spans="2:12" ht="76.5" thickTop="1" thickBot="1" x14ac:dyDescent="0.25">
      <c r="B187" s="291" t="s">
        <v>362</v>
      </c>
      <c r="C187" s="291" t="s">
        <v>243</v>
      </c>
      <c r="D187" s="291" t="s">
        <v>210</v>
      </c>
      <c r="E187" s="291" t="s">
        <v>42</v>
      </c>
      <c r="F187" s="299" t="s">
        <v>640</v>
      </c>
      <c r="G187" s="296" t="s">
        <v>641</v>
      </c>
      <c r="H187" s="293">
        <v>300000</v>
      </c>
      <c r="I187" s="297">
        <v>0</v>
      </c>
      <c r="J187" s="293">
        <v>300000</v>
      </c>
      <c r="K187" s="297">
        <f>1</f>
        <v>1</v>
      </c>
      <c r="L187" s="443"/>
    </row>
    <row r="188" spans="2:12" ht="76.5" thickTop="1" thickBot="1" x14ac:dyDescent="0.25">
      <c r="B188" s="291" t="s">
        <v>362</v>
      </c>
      <c r="C188" s="291" t="s">
        <v>243</v>
      </c>
      <c r="D188" s="291" t="s">
        <v>210</v>
      </c>
      <c r="E188" s="291" t="s">
        <v>42</v>
      </c>
      <c r="F188" s="403" t="s">
        <v>846</v>
      </c>
      <c r="G188" s="296" t="s">
        <v>641</v>
      </c>
      <c r="H188" s="293">
        <v>1403000</v>
      </c>
      <c r="I188" s="297">
        <v>0</v>
      </c>
      <c r="J188" s="293">
        <v>1390580</v>
      </c>
      <c r="K188" s="297">
        <f>1</f>
        <v>1</v>
      </c>
      <c r="L188" s="443"/>
    </row>
    <row r="189" spans="2:12" ht="136.5" thickTop="1" thickBot="1" x14ac:dyDescent="0.25">
      <c r="B189" s="291" t="s">
        <v>362</v>
      </c>
      <c r="C189" s="291" t="s">
        <v>243</v>
      </c>
      <c r="D189" s="291" t="s">
        <v>210</v>
      </c>
      <c r="E189" s="291" t="s">
        <v>42</v>
      </c>
      <c r="F189" s="403" t="s">
        <v>892</v>
      </c>
      <c r="G189" s="293" t="s">
        <v>497</v>
      </c>
      <c r="H189" s="293">
        <v>12460382</v>
      </c>
      <c r="I189" s="297">
        <f>(8286154.03)/H189</f>
        <v>0.66500000000000004</v>
      </c>
      <c r="J189" s="293">
        <v>250000</v>
      </c>
      <c r="K189" s="297">
        <f>(8286154.03+J189)/H189</f>
        <v>0.68506359034578568</v>
      </c>
      <c r="L189" s="443"/>
    </row>
    <row r="190" spans="2:12" ht="91.5" thickTop="1" thickBot="1" x14ac:dyDescent="0.25">
      <c r="B190" s="291" t="s">
        <v>362</v>
      </c>
      <c r="C190" s="291" t="s">
        <v>243</v>
      </c>
      <c r="D190" s="291" t="s">
        <v>210</v>
      </c>
      <c r="E190" s="291" t="s">
        <v>42</v>
      </c>
      <c r="F190" s="403" t="s">
        <v>893</v>
      </c>
      <c r="G190" s="293"/>
      <c r="H190" s="293"/>
      <c r="I190" s="297"/>
      <c r="J190" s="293">
        <f>60710-60710</f>
        <v>0</v>
      </c>
      <c r="K190" s="297"/>
      <c r="L190" s="443"/>
    </row>
    <row r="191" spans="2:12" ht="91.5" thickTop="1" thickBot="1" x14ac:dyDescent="0.25">
      <c r="B191" s="291" t="s">
        <v>362</v>
      </c>
      <c r="C191" s="291" t="s">
        <v>243</v>
      </c>
      <c r="D191" s="291" t="s">
        <v>210</v>
      </c>
      <c r="E191" s="291" t="s">
        <v>42</v>
      </c>
      <c r="F191" s="403" t="s">
        <v>847</v>
      </c>
      <c r="G191" s="296" t="s">
        <v>551</v>
      </c>
      <c r="H191" s="293">
        <v>1148433</v>
      </c>
      <c r="I191" s="297">
        <f>(114351/H191)</f>
        <v>9.9571328932554187E-2</v>
      </c>
      <c r="J191" s="293">
        <f>574222</f>
        <v>574222</v>
      </c>
      <c r="K191" s="297">
        <f>(H191*I191+J191)/H191</f>
        <v>0.59957611806696598</v>
      </c>
      <c r="L191" s="443"/>
    </row>
    <row r="192" spans="2:12" ht="136.5" thickTop="1" thickBot="1" x14ac:dyDescent="0.25">
      <c r="B192" s="291" t="s">
        <v>362</v>
      </c>
      <c r="C192" s="291" t="s">
        <v>243</v>
      </c>
      <c r="D192" s="291" t="s">
        <v>210</v>
      </c>
      <c r="E192" s="291" t="s">
        <v>42</v>
      </c>
      <c r="F192" s="403" t="s">
        <v>688</v>
      </c>
      <c r="G192" s="293" t="s">
        <v>689</v>
      </c>
      <c r="H192" s="293">
        <v>1306200</v>
      </c>
      <c r="I192" s="297">
        <v>0</v>
      </c>
      <c r="J192" s="293">
        <v>300000</v>
      </c>
      <c r="K192" s="297">
        <f>J192/H192</f>
        <v>0.2296738631143776</v>
      </c>
      <c r="L192" s="443"/>
    </row>
    <row r="193" spans="1:12" ht="91.5" thickTop="1" thickBot="1" x14ac:dyDescent="0.25">
      <c r="B193" s="291" t="s">
        <v>362</v>
      </c>
      <c r="C193" s="291" t="s">
        <v>243</v>
      </c>
      <c r="D193" s="291" t="s">
        <v>210</v>
      </c>
      <c r="E193" s="291" t="s">
        <v>42</v>
      </c>
      <c r="F193" s="403" t="s">
        <v>995</v>
      </c>
      <c r="G193" s="293" t="s">
        <v>539</v>
      </c>
      <c r="H193" s="293">
        <v>1554697</v>
      </c>
      <c r="I193" s="297">
        <f>(1054500/H193)</f>
        <v>0.67826721219633146</v>
      </c>
      <c r="J193" s="293">
        <v>98500</v>
      </c>
      <c r="K193" s="297">
        <v>1</v>
      </c>
      <c r="L193" s="443"/>
    </row>
    <row r="194" spans="1:12" ht="166.5" thickTop="1" thickBot="1" x14ac:dyDescent="0.25">
      <c r="B194" s="291" t="s">
        <v>362</v>
      </c>
      <c r="C194" s="291" t="s">
        <v>243</v>
      </c>
      <c r="D194" s="291" t="s">
        <v>210</v>
      </c>
      <c r="E194" s="291" t="s">
        <v>42</v>
      </c>
      <c r="F194" s="403" t="s">
        <v>915</v>
      </c>
      <c r="G194" s="296" t="s">
        <v>641</v>
      </c>
      <c r="H194" s="293">
        <v>450000</v>
      </c>
      <c r="I194" s="297">
        <v>0</v>
      </c>
      <c r="J194" s="293">
        <v>450000</v>
      </c>
      <c r="K194" s="297">
        <v>1</v>
      </c>
      <c r="L194" s="443"/>
    </row>
    <row r="195" spans="1:12" ht="46.5" thickTop="1" thickBot="1" x14ac:dyDescent="0.25">
      <c r="B195" s="291" t="s">
        <v>362</v>
      </c>
      <c r="C195" s="291" t="s">
        <v>243</v>
      </c>
      <c r="D195" s="291" t="s">
        <v>210</v>
      </c>
      <c r="E195" s="291" t="s">
        <v>42</v>
      </c>
      <c r="F195" s="403" t="s">
        <v>894</v>
      </c>
      <c r="G195" s="296"/>
      <c r="H195" s="293"/>
      <c r="I195" s="297"/>
      <c r="J195" s="293">
        <v>350000</v>
      </c>
      <c r="K195" s="297"/>
      <c r="L195" s="443"/>
    </row>
    <row r="196" spans="1:12" ht="46.5" thickTop="1" thickBot="1" x14ac:dyDescent="0.25">
      <c r="B196" s="291" t="s">
        <v>362</v>
      </c>
      <c r="C196" s="291" t="s">
        <v>243</v>
      </c>
      <c r="D196" s="291" t="s">
        <v>210</v>
      </c>
      <c r="E196" s="291" t="s">
        <v>42</v>
      </c>
      <c r="F196" s="403" t="s">
        <v>895</v>
      </c>
      <c r="G196" s="296"/>
      <c r="H196" s="293"/>
      <c r="I196" s="297"/>
      <c r="J196" s="293">
        <v>500000</v>
      </c>
      <c r="K196" s="297"/>
      <c r="L196" s="443"/>
    </row>
    <row r="197" spans="1:12" ht="76.5" thickTop="1" thickBot="1" x14ac:dyDescent="0.25">
      <c r="B197" s="291" t="s">
        <v>362</v>
      </c>
      <c r="C197" s="291" t="s">
        <v>243</v>
      </c>
      <c r="D197" s="291" t="s">
        <v>210</v>
      </c>
      <c r="E197" s="291" t="s">
        <v>42</v>
      </c>
      <c r="F197" s="403" t="s">
        <v>848</v>
      </c>
      <c r="G197" s="293" t="s">
        <v>689</v>
      </c>
      <c r="H197" s="293">
        <v>2563796</v>
      </c>
      <c r="I197" s="297">
        <v>0</v>
      </c>
      <c r="J197" s="293">
        <f>400000+500000</f>
        <v>900000</v>
      </c>
      <c r="K197" s="297">
        <f>J197/H197</f>
        <v>0.35104197057800229</v>
      </c>
      <c r="L197" s="443">
        <v>500000</v>
      </c>
    </row>
    <row r="198" spans="1:12" ht="106.5" thickTop="1" thickBot="1" x14ac:dyDescent="0.25">
      <c r="B198" s="291" t="s">
        <v>362</v>
      </c>
      <c r="C198" s="291" t="s">
        <v>243</v>
      </c>
      <c r="D198" s="291" t="s">
        <v>210</v>
      </c>
      <c r="E198" s="291" t="s">
        <v>42</v>
      </c>
      <c r="F198" s="403" t="s">
        <v>916</v>
      </c>
      <c r="G198" s="296" t="s">
        <v>641</v>
      </c>
      <c r="H198" s="293">
        <v>27000</v>
      </c>
      <c r="I198" s="297">
        <v>0</v>
      </c>
      <c r="J198" s="293">
        <v>27000</v>
      </c>
      <c r="K198" s="297">
        <v>1</v>
      </c>
      <c r="L198" s="443"/>
    </row>
    <row r="199" spans="1:12" ht="91.5" thickTop="1" thickBot="1" x14ac:dyDescent="0.25">
      <c r="B199" s="291" t="s">
        <v>362</v>
      </c>
      <c r="C199" s="291" t="s">
        <v>243</v>
      </c>
      <c r="D199" s="291" t="s">
        <v>210</v>
      </c>
      <c r="E199" s="291" t="s">
        <v>42</v>
      </c>
      <c r="F199" s="403" t="s">
        <v>905</v>
      </c>
      <c r="G199" s="296" t="s">
        <v>641</v>
      </c>
      <c r="H199" s="293">
        <v>40000</v>
      </c>
      <c r="I199" s="297">
        <v>0</v>
      </c>
      <c r="J199" s="293">
        <v>40000</v>
      </c>
      <c r="K199" s="297">
        <v>1</v>
      </c>
      <c r="L199" s="443"/>
    </row>
    <row r="200" spans="1:12" ht="46.5" thickTop="1" thickBot="1" x14ac:dyDescent="0.25">
      <c r="B200" s="291" t="s">
        <v>362</v>
      </c>
      <c r="C200" s="291" t="s">
        <v>243</v>
      </c>
      <c r="D200" s="291" t="s">
        <v>210</v>
      </c>
      <c r="E200" s="291" t="s">
        <v>42</v>
      </c>
      <c r="F200" s="403" t="s">
        <v>969</v>
      </c>
      <c r="G200" s="296" t="s">
        <v>970</v>
      </c>
      <c r="H200" s="293">
        <v>11472055</v>
      </c>
      <c r="I200" s="303">
        <f>(6562194)/H200</f>
        <v>0.57201556303556778</v>
      </c>
      <c r="J200" s="293">
        <v>200000</v>
      </c>
      <c r="K200" s="297">
        <f>(6562194+J200)/H200</f>
        <v>0.58944923119702619</v>
      </c>
      <c r="L200" s="443">
        <v>200000</v>
      </c>
    </row>
    <row r="201" spans="1:12" ht="61.5" thickTop="1" thickBot="1" x14ac:dyDescent="0.25">
      <c r="A201" s="186"/>
      <c r="B201" s="291" t="s">
        <v>362</v>
      </c>
      <c r="C201" s="291" t="s">
        <v>243</v>
      </c>
      <c r="D201" s="291" t="s">
        <v>210</v>
      </c>
      <c r="E201" s="291" t="s">
        <v>42</v>
      </c>
      <c r="F201" s="403" t="s">
        <v>971</v>
      </c>
      <c r="G201" s="296">
        <v>2020</v>
      </c>
      <c r="H201" s="293">
        <v>606830</v>
      </c>
      <c r="I201" s="297">
        <v>0</v>
      </c>
      <c r="J201" s="293">
        <v>606830</v>
      </c>
      <c r="K201" s="297">
        <v>1</v>
      </c>
      <c r="L201" s="443">
        <v>606830</v>
      </c>
    </row>
    <row r="202" spans="1:12" ht="76.5" thickTop="1" thickBot="1" x14ac:dyDescent="0.25">
      <c r="A202" s="186"/>
      <c r="B202" s="291" t="s">
        <v>362</v>
      </c>
      <c r="C202" s="291" t="s">
        <v>243</v>
      </c>
      <c r="D202" s="291" t="s">
        <v>210</v>
      </c>
      <c r="E202" s="291" t="s">
        <v>42</v>
      </c>
      <c r="F202" s="403" t="s">
        <v>896</v>
      </c>
      <c r="G202" s="296" t="s">
        <v>641</v>
      </c>
      <c r="H202" s="293">
        <v>1500000</v>
      </c>
      <c r="I202" s="297">
        <v>0</v>
      </c>
      <c r="J202" s="293">
        <v>1500000</v>
      </c>
      <c r="K202" s="297">
        <v>1</v>
      </c>
      <c r="L202" s="443"/>
    </row>
    <row r="203" spans="1:12" ht="31.5" thickTop="1" thickBot="1" x14ac:dyDescent="0.25">
      <c r="B203" s="291" t="s">
        <v>362</v>
      </c>
      <c r="C203" s="291" t="s">
        <v>243</v>
      </c>
      <c r="D203" s="291" t="s">
        <v>210</v>
      </c>
      <c r="E203" s="291" t="s">
        <v>42</v>
      </c>
      <c r="F203" s="403" t="s">
        <v>660</v>
      </c>
      <c r="G203" s="296" t="s">
        <v>641</v>
      </c>
      <c r="H203" s="293">
        <v>200000</v>
      </c>
      <c r="I203" s="297">
        <v>0</v>
      </c>
      <c r="J203" s="293">
        <v>200000</v>
      </c>
      <c r="K203" s="297">
        <v>1</v>
      </c>
      <c r="L203" s="443"/>
    </row>
    <row r="204" spans="1:12" ht="61.5" thickTop="1" thickBot="1" x14ac:dyDescent="0.25">
      <c r="B204" s="291" t="s">
        <v>362</v>
      </c>
      <c r="C204" s="291" t="s">
        <v>243</v>
      </c>
      <c r="D204" s="291" t="s">
        <v>210</v>
      </c>
      <c r="E204" s="291" t="s">
        <v>42</v>
      </c>
      <c r="F204" s="403" t="s">
        <v>642</v>
      </c>
      <c r="G204" s="296" t="s">
        <v>641</v>
      </c>
      <c r="H204" s="293">
        <v>300411</v>
      </c>
      <c r="I204" s="297">
        <v>0</v>
      </c>
      <c r="J204" s="293">
        <v>300441</v>
      </c>
      <c r="K204" s="297">
        <f>J204/H204</f>
        <v>1.0000998631874332</v>
      </c>
      <c r="L204" s="443"/>
    </row>
    <row r="205" spans="1:12" ht="89.25" customHeight="1" thickTop="1" thickBot="1" x14ac:dyDescent="0.25">
      <c r="B205" s="288" t="s">
        <v>300</v>
      </c>
      <c r="C205" s="288" t="s">
        <v>301</v>
      </c>
      <c r="D205" s="288" t="s">
        <v>302</v>
      </c>
      <c r="E205" s="288" t="s">
        <v>299</v>
      </c>
      <c r="F205" s="390" t="s">
        <v>70</v>
      </c>
      <c r="G205" s="390"/>
      <c r="H205" s="302"/>
      <c r="I205" s="289"/>
      <c r="J205" s="290">
        <v>48000</v>
      </c>
      <c r="K205" s="297"/>
      <c r="L205" s="443"/>
    </row>
    <row r="206" spans="1:12" ht="76.5" thickTop="1" thickBot="1" x14ac:dyDescent="0.25">
      <c r="B206" s="459" t="s">
        <v>30</v>
      </c>
      <c r="C206" s="459"/>
      <c r="D206" s="459"/>
      <c r="E206" s="460" t="s">
        <v>459</v>
      </c>
      <c r="F206" s="459"/>
      <c r="G206" s="459"/>
      <c r="H206" s="459"/>
      <c r="I206" s="459"/>
      <c r="J206" s="461">
        <f>J207</f>
        <v>94440172</v>
      </c>
      <c r="K206" s="459"/>
      <c r="L206" s="443"/>
    </row>
    <row r="207" spans="1:12" ht="87" thickTop="1" thickBot="1" x14ac:dyDescent="0.25">
      <c r="B207" s="462" t="s">
        <v>31</v>
      </c>
      <c r="C207" s="462"/>
      <c r="D207" s="462"/>
      <c r="E207" s="463" t="s">
        <v>458</v>
      </c>
      <c r="F207" s="462"/>
      <c r="G207" s="462"/>
      <c r="H207" s="462"/>
      <c r="I207" s="462"/>
      <c r="J207" s="464">
        <f>SUM(J208:J226)</f>
        <v>94440172</v>
      </c>
      <c r="K207" s="462"/>
      <c r="L207" s="443">
        <f>L210+L212+L221</f>
        <v>4000000</v>
      </c>
    </row>
    <row r="208" spans="1:12" ht="76.5" thickTop="1" thickBot="1" x14ac:dyDescent="0.25">
      <c r="B208" s="300" t="s">
        <v>553</v>
      </c>
      <c r="C208" s="300" t="s">
        <v>555</v>
      </c>
      <c r="D208" s="300" t="s">
        <v>241</v>
      </c>
      <c r="E208" s="300" t="s">
        <v>554</v>
      </c>
      <c r="F208" s="282" t="s">
        <v>622</v>
      </c>
      <c r="G208" s="290" t="s">
        <v>568</v>
      </c>
      <c r="H208" s="290">
        <f>282861499</f>
        <v>282861499</v>
      </c>
      <c r="I208" s="297">
        <f>(7688.93+54000000+1828602.38+4500000+4000000+19787000+27000000-12500000+3500000)/H208</f>
        <v>0.36103637883217188</v>
      </c>
      <c r="J208" s="290">
        <f>(10000000+5000000)+3200000</f>
        <v>18200000</v>
      </c>
      <c r="K208" s="297">
        <f>(7688.93+54000000+1828602.38+4500000+4000000+19787000+27000000-12500000+3500000+J208)/H208</f>
        <v>0.42537882226948109</v>
      </c>
      <c r="L208" s="443"/>
    </row>
    <row r="209" spans="2:12" ht="61.5" thickTop="1" thickBot="1" x14ac:dyDescent="0.25">
      <c r="B209" s="300" t="s">
        <v>371</v>
      </c>
      <c r="C209" s="300" t="s">
        <v>372</v>
      </c>
      <c r="D209" s="300" t="s">
        <v>359</v>
      </c>
      <c r="E209" s="300" t="s">
        <v>370</v>
      </c>
      <c r="F209" s="301" t="s">
        <v>623</v>
      </c>
      <c r="G209" s="302" t="s">
        <v>827</v>
      </c>
      <c r="H209" s="302">
        <v>30010059</v>
      </c>
      <c r="I209" s="303">
        <f>(6780978.96+5400000-815000)/H209</f>
        <v>0.37873897415529911</v>
      </c>
      <c r="J209" s="302">
        <f>((2000000+1000000)+800000)+500000</f>
        <v>4300000</v>
      </c>
      <c r="K209" s="303">
        <f>(11364795.14+J209)/H209</f>
        <v>0.52198481649103057</v>
      </c>
      <c r="L209" s="443"/>
    </row>
    <row r="210" spans="2:12" ht="76.5" thickTop="1" thickBot="1" x14ac:dyDescent="0.25">
      <c r="B210" s="300" t="s">
        <v>371</v>
      </c>
      <c r="C210" s="300" t="s">
        <v>372</v>
      </c>
      <c r="D210" s="300" t="s">
        <v>359</v>
      </c>
      <c r="E210" s="300" t="s">
        <v>370</v>
      </c>
      <c r="F210" s="301" t="s">
        <v>849</v>
      </c>
      <c r="G210" s="302" t="s">
        <v>624</v>
      </c>
      <c r="H210" s="302">
        <f>30737344</f>
        <v>30737344</v>
      </c>
      <c r="I210" s="303">
        <f>(10960233.58+6550000-875000)/H210</f>
        <v>0.54120595390414994</v>
      </c>
      <c r="J210" s="302">
        <f>((6000000+3000000)+1000000)+900000</f>
        <v>10900000</v>
      </c>
      <c r="K210" s="303">
        <f>(10960233.58+6550000-875000+J210)/H210</f>
        <v>0.89582345110885309</v>
      </c>
      <c r="L210" s="443">
        <v>1000000</v>
      </c>
    </row>
    <row r="211" spans="2:12" ht="76.5" thickTop="1" thickBot="1" x14ac:dyDescent="0.25">
      <c r="B211" s="300" t="s">
        <v>371</v>
      </c>
      <c r="C211" s="300" t="s">
        <v>372</v>
      </c>
      <c r="D211" s="300" t="s">
        <v>359</v>
      </c>
      <c r="E211" s="300" t="s">
        <v>370</v>
      </c>
      <c r="F211" s="301" t="s">
        <v>460</v>
      </c>
      <c r="G211" s="290" t="s">
        <v>539</v>
      </c>
      <c r="H211" s="290">
        <f>9300000+10829899</f>
        <v>20129899</v>
      </c>
      <c r="I211" s="297">
        <f>(300094.58+4750000-290000)/H211</f>
        <v>0.23646887547721923</v>
      </c>
      <c r="J211" s="290">
        <f>(1200000)+600000</f>
        <v>1800000</v>
      </c>
      <c r="K211" s="297">
        <f>(5081689.02+J211)/H211</f>
        <v>0.34186406101689826</v>
      </c>
      <c r="L211" s="443"/>
    </row>
    <row r="212" spans="2:12" ht="61.5" thickTop="1" thickBot="1" x14ac:dyDescent="0.25">
      <c r="B212" s="300" t="s">
        <v>371</v>
      </c>
      <c r="C212" s="300" t="s">
        <v>372</v>
      </c>
      <c r="D212" s="300" t="s">
        <v>359</v>
      </c>
      <c r="E212" s="300" t="s">
        <v>370</v>
      </c>
      <c r="F212" s="301" t="s">
        <v>625</v>
      </c>
      <c r="G212" s="290" t="s">
        <v>539</v>
      </c>
      <c r="H212" s="290">
        <f>8700000+6796500</f>
        <v>15496500</v>
      </c>
      <c r="I212" s="297">
        <f>(938042.78+7700000-479950)/H212</f>
        <v>0.52644744168037938</v>
      </c>
      <c r="J212" s="290">
        <f>(3000000+1000000)+900000</f>
        <v>4900000</v>
      </c>
      <c r="K212" s="297">
        <f>(938042.78+7700000-479950+J212)/H212</f>
        <v>0.84264787403607266</v>
      </c>
      <c r="L212" s="443">
        <v>1000000</v>
      </c>
    </row>
    <row r="213" spans="2:12" ht="76.5" thickTop="1" thickBot="1" x14ac:dyDescent="0.25">
      <c r="B213" s="300" t="s">
        <v>371</v>
      </c>
      <c r="C213" s="300" t="s">
        <v>372</v>
      </c>
      <c r="D213" s="300" t="s">
        <v>359</v>
      </c>
      <c r="E213" s="300" t="s">
        <v>370</v>
      </c>
      <c r="F213" s="301" t="s">
        <v>850</v>
      </c>
      <c r="G213" s="304"/>
      <c r="H213" s="290"/>
      <c r="I213" s="290"/>
      <c r="J213" s="290">
        <v>200000</v>
      </c>
      <c r="K213" s="297"/>
      <c r="L213" s="443"/>
    </row>
    <row r="214" spans="2:12" ht="61.5" thickTop="1" thickBot="1" x14ac:dyDescent="0.25">
      <c r="B214" s="300" t="s">
        <v>748</v>
      </c>
      <c r="C214" s="300" t="s">
        <v>749</v>
      </c>
      <c r="D214" s="300" t="s">
        <v>359</v>
      </c>
      <c r="E214" s="300" t="s">
        <v>851</v>
      </c>
      <c r="F214" s="301" t="s">
        <v>852</v>
      </c>
      <c r="G214" s="290"/>
      <c r="H214" s="290">
        <v>21098584</v>
      </c>
      <c r="I214" s="297">
        <f>476664/H214</f>
        <v>2.2592227042345592E-2</v>
      </c>
      <c r="J214" s="290">
        <f>52378+100000</f>
        <v>152378</v>
      </c>
      <c r="K214" s="297">
        <f>(476664+J214)/H214</f>
        <v>2.9814417877522016E-2</v>
      </c>
      <c r="L214" s="443"/>
    </row>
    <row r="215" spans="2:12" ht="61.5" thickTop="1" thickBot="1" x14ac:dyDescent="0.25">
      <c r="B215" s="300" t="s">
        <v>373</v>
      </c>
      <c r="C215" s="300" t="s">
        <v>374</v>
      </c>
      <c r="D215" s="300" t="s">
        <v>359</v>
      </c>
      <c r="E215" s="300" t="s">
        <v>375</v>
      </c>
      <c r="F215" s="305" t="s">
        <v>556</v>
      </c>
      <c r="G215" s="290" t="s">
        <v>900</v>
      </c>
      <c r="H215" s="302">
        <v>291782434</v>
      </c>
      <c r="I215" s="297">
        <f>(503989.26+450000-250000)/H215</f>
        <v>2.412719814380601E-3</v>
      </c>
      <c r="J215" s="302">
        <v>500000</v>
      </c>
      <c r="K215" s="297">
        <f>(762534.56+J215)/H215</f>
        <v>4.3269724729213827E-3</v>
      </c>
      <c r="L215" s="443"/>
    </row>
    <row r="216" spans="2:12" ht="76.5" thickTop="1" thickBot="1" x14ac:dyDescent="0.25">
      <c r="B216" s="300" t="s">
        <v>373</v>
      </c>
      <c r="C216" s="300" t="s">
        <v>374</v>
      </c>
      <c r="D216" s="300" t="s">
        <v>359</v>
      </c>
      <c r="E216" s="300" t="s">
        <v>375</v>
      </c>
      <c r="F216" s="301" t="s">
        <v>626</v>
      </c>
      <c r="G216" s="290" t="s">
        <v>627</v>
      </c>
      <c r="H216" s="290">
        <v>114917587</v>
      </c>
      <c r="I216" s="297">
        <f>(730683.68+50000-450000)/H216</f>
        <v>2.8775724293619224E-3</v>
      </c>
      <c r="J216" s="290">
        <f>500000-400000</f>
        <v>100000</v>
      </c>
      <c r="K216" s="297">
        <f>(762534.56+J216)/H216</f>
        <v>7.5056793526303341E-3</v>
      </c>
      <c r="L216" s="443"/>
    </row>
    <row r="217" spans="2:12" ht="76.5" thickTop="1" thickBot="1" x14ac:dyDescent="0.25">
      <c r="B217" s="300" t="s">
        <v>376</v>
      </c>
      <c r="C217" s="300" t="s">
        <v>377</v>
      </c>
      <c r="D217" s="300" t="s">
        <v>359</v>
      </c>
      <c r="E217" s="300" t="s">
        <v>628</v>
      </c>
      <c r="F217" s="301" t="s">
        <v>454</v>
      </c>
      <c r="G217" s="302" t="s">
        <v>901</v>
      </c>
      <c r="H217" s="302">
        <v>37427012</v>
      </c>
      <c r="I217" s="303">
        <f>(14986735.68+2000000-500000-340668)/H217</f>
        <v>0.43140146159677401</v>
      </c>
      <c r="J217" s="302">
        <f>3000000-1902378</f>
        <v>1097622</v>
      </c>
      <c r="K217" s="303">
        <f>(16146066.81+J217)/H217</f>
        <v>0.46072843886121612</v>
      </c>
      <c r="L217" s="443"/>
    </row>
    <row r="218" spans="2:12" ht="46.5" thickTop="1" thickBot="1" x14ac:dyDescent="0.25">
      <c r="B218" s="300" t="s">
        <v>376</v>
      </c>
      <c r="C218" s="300" t="s">
        <v>377</v>
      </c>
      <c r="D218" s="300" t="s">
        <v>359</v>
      </c>
      <c r="E218" s="300" t="s">
        <v>628</v>
      </c>
      <c r="F218" s="301" t="s">
        <v>853</v>
      </c>
      <c r="G218" s="302" t="s">
        <v>539</v>
      </c>
      <c r="H218" s="302">
        <v>32296985</v>
      </c>
      <c r="I218" s="303">
        <f>(8231685.65+10500000-507000-817788)/H218</f>
        <v>0.5389635487646911</v>
      </c>
      <c r="J218" s="302">
        <f>(5000000+3000000+5670000)-300000</f>
        <v>13370000</v>
      </c>
      <c r="K218" s="303">
        <v>1</v>
      </c>
      <c r="L218" s="443"/>
    </row>
    <row r="219" spans="2:12" ht="91.5" thickTop="1" thickBot="1" x14ac:dyDescent="0.25">
      <c r="B219" s="300" t="s">
        <v>376</v>
      </c>
      <c r="C219" s="300" t="s">
        <v>377</v>
      </c>
      <c r="D219" s="300" t="s">
        <v>359</v>
      </c>
      <c r="E219" s="300" t="s">
        <v>628</v>
      </c>
      <c r="F219" s="301" t="s">
        <v>452</v>
      </c>
      <c r="G219" s="302" t="s">
        <v>539</v>
      </c>
      <c r="H219" s="302">
        <v>10111121</v>
      </c>
      <c r="I219" s="303">
        <f>(4643626.69+2467500-206841)/H219</f>
        <v>0.68284077403484744</v>
      </c>
      <c r="J219" s="302">
        <v>1000000</v>
      </c>
      <c r="K219" s="303">
        <f>(6904285.16+J219)/H219</f>
        <v>0.78174172379106133</v>
      </c>
      <c r="L219" s="443"/>
    </row>
    <row r="220" spans="2:12" ht="46.5" thickTop="1" thickBot="1" x14ac:dyDescent="0.25">
      <c r="B220" s="300" t="s">
        <v>376</v>
      </c>
      <c r="C220" s="300" t="s">
        <v>377</v>
      </c>
      <c r="D220" s="300" t="s">
        <v>359</v>
      </c>
      <c r="E220" s="300" t="s">
        <v>628</v>
      </c>
      <c r="F220" s="306" t="s">
        <v>629</v>
      </c>
      <c r="G220" s="290" t="s">
        <v>540</v>
      </c>
      <c r="H220" s="302">
        <v>15977719</v>
      </c>
      <c r="I220" s="303">
        <f>(2226073.25+2000000-993000)/H220</f>
        <v>0.20234886156152829</v>
      </c>
      <c r="J220" s="302">
        <f>3800000+500000</f>
        <v>4300000</v>
      </c>
      <c r="K220" s="303">
        <f>(10084713.31+J220)/H220</f>
        <v>0.90029830353131135</v>
      </c>
      <c r="L220" s="443"/>
    </row>
    <row r="221" spans="2:12" ht="46.5" thickTop="1" thickBot="1" x14ac:dyDescent="0.25">
      <c r="B221" s="300" t="s">
        <v>376</v>
      </c>
      <c r="C221" s="300" t="s">
        <v>377</v>
      </c>
      <c r="D221" s="300" t="s">
        <v>359</v>
      </c>
      <c r="E221" s="300" t="s">
        <v>628</v>
      </c>
      <c r="F221" s="306" t="s">
        <v>854</v>
      </c>
      <c r="G221" s="290" t="s">
        <v>903</v>
      </c>
      <c r="H221" s="302">
        <v>65017720</v>
      </c>
      <c r="I221" s="303">
        <f>(415790)/H221</f>
        <v>6.395025848337961E-3</v>
      </c>
      <c r="J221" s="302">
        <f>2000000+2000000</f>
        <v>4000000</v>
      </c>
      <c r="K221" s="303">
        <f>(415790+J221)/H221</f>
        <v>6.791671562767812E-2</v>
      </c>
      <c r="L221" s="443">
        <v>2000000</v>
      </c>
    </row>
    <row r="222" spans="2:12" ht="61.5" thickTop="1" thickBot="1" x14ac:dyDescent="0.25">
      <c r="B222" s="300" t="s">
        <v>376</v>
      </c>
      <c r="C222" s="300" t="s">
        <v>377</v>
      </c>
      <c r="D222" s="300" t="s">
        <v>359</v>
      </c>
      <c r="E222" s="300" t="s">
        <v>628</v>
      </c>
      <c r="F222" s="306" t="s">
        <v>855</v>
      </c>
      <c r="G222" s="290"/>
      <c r="H222" s="302">
        <v>53314687</v>
      </c>
      <c r="I222" s="303">
        <f>1368673.51/H222</f>
        <v>2.5671603586456392E-2</v>
      </c>
      <c r="J222" s="302">
        <v>50000</v>
      </c>
      <c r="K222" s="303">
        <f>(1368673.51+J222)/H222</f>
        <v>2.6609431468668288E-2</v>
      </c>
      <c r="L222" s="443"/>
    </row>
    <row r="223" spans="2:12" ht="91.5" thickTop="1" thickBot="1" x14ac:dyDescent="0.25">
      <c r="B223" s="300" t="s">
        <v>376</v>
      </c>
      <c r="C223" s="300" t="s">
        <v>377</v>
      </c>
      <c r="D223" s="300" t="s">
        <v>359</v>
      </c>
      <c r="E223" s="300" t="s">
        <v>628</v>
      </c>
      <c r="F223" s="306" t="s">
        <v>856</v>
      </c>
      <c r="G223" s="290"/>
      <c r="H223" s="302"/>
      <c r="I223" s="303"/>
      <c r="J223" s="302">
        <v>100000</v>
      </c>
      <c r="K223" s="303"/>
      <c r="L223" s="443"/>
    </row>
    <row r="224" spans="2:12" ht="91.5" thickTop="1" thickBot="1" x14ac:dyDescent="0.25">
      <c r="B224" s="300" t="s">
        <v>376</v>
      </c>
      <c r="C224" s="300" t="s">
        <v>377</v>
      </c>
      <c r="D224" s="300" t="s">
        <v>359</v>
      </c>
      <c r="E224" s="300" t="s">
        <v>628</v>
      </c>
      <c r="F224" s="306" t="s">
        <v>857</v>
      </c>
      <c r="G224" s="290"/>
      <c r="H224" s="302"/>
      <c r="I224" s="303"/>
      <c r="J224" s="302">
        <v>200000</v>
      </c>
      <c r="K224" s="303"/>
      <c r="L224" s="443"/>
    </row>
    <row r="225" spans="1:12" ht="61.5" thickTop="1" thickBot="1" x14ac:dyDescent="0.25">
      <c r="B225" s="300" t="s">
        <v>572</v>
      </c>
      <c r="C225" s="300" t="s">
        <v>428</v>
      </c>
      <c r="D225" s="300" t="s">
        <v>210</v>
      </c>
      <c r="E225" s="300" t="s">
        <v>313</v>
      </c>
      <c r="F225" s="301" t="s">
        <v>451</v>
      </c>
      <c r="G225" s="302" t="s">
        <v>539</v>
      </c>
      <c r="H225" s="302">
        <v>40144699</v>
      </c>
      <c r="I225" s="303">
        <f>(4432837.35+9700000-18600)/H225</f>
        <v>0.35158408710450162</v>
      </c>
      <c r="J225" s="302">
        <f>(8000000+7970172)+9400000</f>
        <v>25370172</v>
      </c>
      <c r="K225" s="303">
        <v>1</v>
      </c>
      <c r="L225" s="443"/>
    </row>
    <row r="226" spans="1:12" ht="46.5" thickTop="1" thickBot="1" x14ac:dyDescent="0.25">
      <c r="B226" s="300" t="s">
        <v>572</v>
      </c>
      <c r="C226" s="300" t="s">
        <v>428</v>
      </c>
      <c r="D226" s="300" t="s">
        <v>210</v>
      </c>
      <c r="E226" s="300" t="s">
        <v>313</v>
      </c>
      <c r="F226" s="307" t="s">
        <v>453</v>
      </c>
      <c r="G226" s="302" t="s">
        <v>902</v>
      </c>
      <c r="H226" s="302">
        <v>204203314</v>
      </c>
      <c r="I226" s="303">
        <f>(73593164.93+17500000-564343)/H226</f>
        <v>0.44332689884748888</v>
      </c>
      <c r="J226" s="302">
        <f>15000000-3000000-8000000-100000</f>
        <v>3900000</v>
      </c>
      <c r="K226" s="303">
        <f>(73593164.93+17500000-564343+J226)/H226</f>
        <v>0.46242551151740863</v>
      </c>
      <c r="L226" s="443"/>
    </row>
    <row r="227" spans="1:12" ht="76.5" thickTop="1" thickBot="1" x14ac:dyDescent="0.25">
      <c r="B227" s="459" t="s">
        <v>200</v>
      </c>
      <c r="C227" s="459"/>
      <c r="D227" s="459"/>
      <c r="E227" s="460" t="s">
        <v>928</v>
      </c>
      <c r="F227" s="459"/>
      <c r="G227" s="459"/>
      <c r="H227" s="459"/>
      <c r="I227" s="459"/>
      <c r="J227" s="461">
        <f>J228</f>
        <v>441220</v>
      </c>
      <c r="K227" s="459"/>
      <c r="L227" s="92"/>
    </row>
    <row r="228" spans="1:12" ht="72.75" thickTop="1" thickBot="1" x14ac:dyDescent="0.25">
      <c r="B228" s="462" t="s">
        <v>201</v>
      </c>
      <c r="C228" s="462"/>
      <c r="D228" s="462"/>
      <c r="E228" s="463" t="s">
        <v>929</v>
      </c>
      <c r="F228" s="462"/>
      <c r="G228" s="462"/>
      <c r="H228" s="462"/>
      <c r="I228" s="462"/>
      <c r="J228" s="464">
        <f>J229</f>
        <v>441220</v>
      </c>
      <c r="K228" s="462"/>
      <c r="L228" s="92"/>
    </row>
    <row r="229" spans="1:12" ht="91.5" thickTop="1" thickBot="1" x14ac:dyDescent="0.25">
      <c r="B229" s="288" t="s">
        <v>754</v>
      </c>
      <c r="C229" s="288" t="s">
        <v>755</v>
      </c>
      <c r="D229" s="288" t="s">
        <v>359</v>
      </c>
      <c r="E229" s="288" t="s">
        <v>756</v>
      </c>
      <c r="F229" s="307" t="s">
        <v>897</v>
      </c>
      <c r="G229" s="302"/>
      <c r="H229" s="302"/>
      <c r="I229" s="303"/>
      <c r="J229" s="302">
        <v>441220</v>
      </c>
      <c r="K229" s="303"/>
      <c r="L229" s="92"/>
    </row>
    <row r="230" spans="1:12" ht="46.5" thickTop="1" thickBot="1" x14ac:dyDescent="0.25">
      <c r="B230" s="459" t="s">
        <v>591</v>
      </c>
      <c r="C230" s="459"/>
      <c r="D230" s="459"/>
      <c r="E230" s="460" t="s">
        <v>593</v>
      </c>
      <c r="F230" s="459"/>
      <c r="G230" s="459"/>
      <c r="H230" s="459"/>
      <c r="I230" s="459"/>
      <c r="J230" s="461">
        <f>J231</f>
        <v>49000</v>
      </c>
      <c r="K230" s="459"/>
    </row>
    <row r="231" spans="1:12" ht="44.25" thickTop="1" thickBot="1" x14ac:dyDescent="0.25">
      <c r="B231" s="462" t="s">
        <v>592</v>
      </c>
      <c r="C231" s="462"/>
      <c r="D231" s="462"/>
      <c r="E231" s="463" t="s">
        <v>594</v>
      </c>
      <c r="F231" s="462"/>
      <c r="G231" s="462"/>
      <c r="H231" s="462"/>
      <c r="I231" s="462"/>
      <c r="J231" s="464">
        <f>J232</f>
        <v>49000</v>
      </c>
      <c r="K231" s="462"/>
    </row>
    <row r="232" spans="1:12" ht="61.5" thickTop="1" thickBot="1" x14ac:dyDescent="0.25">
      <c r="B232" s="288" t="s">
        <v>595</v>
      </c>
      <c r="C232" s="288" t="s">
        <v>286</v>
      </c>
      <c r="D232" s="288" t="s">
        <v>284</v>
      </c>
      <c r="E232" s="288" t="s">
        <v>285</v>
      </c>
      <c r="F232" s="282" t="s">
        <v>780</v>
      </c>
      <c r="G232" s="388"/>
      <c r="H232" s="389"/>
      <c r="I232" s="388"/>
      <c r="J232" s="295">
        <v>49000</v>
      </c>
      <c r="K232" s="295"/>
    </row>
    <row r="233" spans="1:12" ht="31.5" thickTop="1" thickBot="1" x14ac:dyDescent="0.25">
      <c r="A233" s="108"/>
      <c r="B233" s="459" t="s">
        <v>206</v>
      </c>
      <c r="C233" s="459"/>
      <c r="D233" s="459"/>
      <c r="E233" s="460" t="s">
        <v>432</v>
      </c>
      <c r="F233" s="459"/>
      <c r="G233" s="459"/>
      <c r="H233" s="459"/>
      <c r="I233" s="459"/>
      <c r="J233" s="461">
        <f>J234</f>
        <v>1024064</v>
      </c>
      <c r="K233" s="459"/>
    </row>
    <row r="234" spans="1:12" ht="44.25" thickTop="1" thickBot="1" x14ac:dyDescent="0.25">
      <c r="A234" s="108"/>
      <c r="B234" s="462" t="s">
        <v>207</v>
      </c>
      <c r="C234" s="462"/>
      <c r="D234" s="462"/>
      <c r="E234" s="463" t="s">
        <v>433</v>
      </c>
      <c r="F234" s="462"/>
      <c r="G234" s="462"/>
      <c r="H234" s="462"/>
      <c r="I234" s="462"/>
      <c r="J234" s="464">
        <f>SUM(J235:J237)</f>
        <v>1024064</v>
      </c>
      <c r="K234" s="462"/>
    </row>
    <row r="235" spans="1:12" ht="31.5" hidden="1" thickTop="1" thickBot="1" x14ac:dyDescent="0.25">
      <c r="B235" s="288" t="s">
        <v>427</v>
      </c>
      <c r="C235" s="288" t="s">
        <v>428</v>
      </c>
      <c r="D235" s="288" t="s">
        <v>210</v>
      </c>
      <c r="E235" s="288" t="s">
        <v>313</v>
      </c>
      <c r="F235" s="390" t="s">
        <v>70</v>
      </c>
      <c r="G235" s="289"/>
      <c r="H235" s="290"/>
      <c r="I235" s="289"/>
      <c r="J235" s="290">
        <f>(3000000)-3000000</f>
        <v>0</v>
      </c>
      <c r="K235" s="290"/>
    </row>
    <row r="236" spans="1:12" ht="31.5" thickTop="1" thickBot="1" x14ac:dyDescent="0.25">
      <c r="B236" s="288" t="s">
        <v>307</v>
      </c>
      <c r="C236" s="288" t="s">
        <v>308</v>
      </c>
      <c r="D236" s="288" t="s">
        <v>210</v>
      </c>
      <c r="E236" s="288" t="s">
        <v>306</v>
      </c>
      <c r="F236" s="390" t="s">
        <v>70</v>
      </c>
      <c r="G236" s="289"/>
      <c r="H236" s="290"/>
      <c r="I236" s="289"/>
      <c r="J236" s="290">
        <f>(((200000)+220000)+200000)-15936-80000</f>
        <v>524064</v>
      </c>
      <c r="K236" s="290"/>
    </row>
    <row r="237" spans="1:12" ht="91.5" thickTop="1" thickBot="1" x14ac:dyDescent="0.25">
      <c r="B237" s="465" t="s">
        <v>996</v>
      </c>
      <c r="C237" s="465" t="s">
        <v>443</v>
      </c>
      <c r="D237" s="465" t="s">
        <v>53</v>
      </c>
      <c r="E237" s="465" t="s">
        <v>444</v>
      </c>
      <c r="F237" s="282" t="s">
        <v>997</v>
      </c>
      <c r="G237" s="289"/>
      <c r="H237" s="290"/>
      <c r="I237" s="289"/>
      <c r="J237" s="290">
        <v>500000</v>
      </c>
      <c r="K237" s="290"/>
    </row>
    <row r="238" spans="1:12" ht="76.5" thickTop="1" thickBot="1" x14ac:dyDescent="0.25">
      <c r="B238" s="459" t="s">
        <v>202</v>
      </c>
      <c r="C238" s="459"/>
      <c r="D238" s="459"/>
      <c r="E238" s="460" t="s">
        <v>561</v>
      </c>
      <c r="F238" s="459"/>
      <c r="G238" s="459"/>
      <c r="H238" s="459"/>
      <c r="I238" s="459"/>
      <c r="J238" s="461">
        <f>J239</f>
        <v>300000</v>
      </c>
      <c r="K238" s="459"/>
    </row>
    <row r="239" spans="1:12" ht="87" thickTop="1" thickBot="1" x14ac:dyDescent="0.25">
      <c r="B239" s="462" t="s">
        <v>203</v>
      </c>
      <c r="C239" s="462"/>
      <c r="D239" s="462"/>
      <c r="E239" s="463" t="s">
        <v>562</v>
      </c>
      <c r="F239" s="462"/>
      <c r="G239" s="462"/>
      <c r="H239" s="462"/>
      <c r="I239" s="462"/>
      <c r="J239" s="464">
        <f>SUM(J240:J244)</f>
        <v>300000</v>
      </c>
      <c r="K239" s="462"/>
    </row>
    <row r="240" spans="1:12" ht="61.5" hidden="1" thickTop="1" thickBot="1" x14ac:dyDescent="0.25">
      <c r="B240" s="265" t="s">
        <v>519</v>
      </c>
      <c r="C240" s="265" t="s">
        <v>286</v>
      </c>
      <c r="D240" s="265" t="s">
        <v>284</v>
      </c>
      <c r="E240" s="265" t="s">
        <v>285</v>
      </c>
      <c r="F240" s="266" t="s">
        <v>780</v>
      </c>
      <c r="G240" s="267"/>
      <c r="H240" s="268"/>
      <c r="I240" s="267"/>
      <c r="J240" s="260"/>
      <c r="K240" s="260"/>
    </row>
    <row r="241" spans="1:18" ht="31.5" thickTop="1" thickBot="1" x14ac:dyDescent="0.25">
      <c r="B241" s="288" t="s">
        <v>363</v>
      </c>
      <c r="C241" s="288" t="s">
        <v>364</v>
      </c>
      <c r="D241" s="288" t="s">
        <v>365</v>
      </c>
      <c r="E241" s="288" t="s">
        <v>621</v>
      </c>
      <c r="F241" s="307" t="s">
        <v>40</v>
      </c>
      <c r="G241" s="390"/>
      <c r="H241" s="302"/>
      <c r="I241" s="289"/>
      <c r="J241" s="404">
        <v>20000</v>
      </c>
      <c r="K241" s="302"/>
    </row>
    <row r="242" spans="1:18" ht="46.5" thickTop="1" thickBot="1" x14ac:dyDescent="0.25">
      <c r="B242" s="288" t="s">
        <v>363</v>
      </c>
      <c r="C242" s="288" t="s">
        <v>364</v>
      </c>
      <c r="D242" s="288" t="s">
        <v>365</v>
      </c>
      <c r="E242" s="288" t="s">
        <v>621</v>
      </c>
      <c r="F242" s="307" t="s">
        <v>385</v>
      </c>
      <c r="G242" s="390"/>
      <c r="H242" s="302"/>
      <c r="I242" s="289"/>
      <c r="J242" s="404">
        <v>20000</v>
      </c>
      <c r="K242" s="302"/>
    </row>
    <row r="243" spans="1:18" ht="31.5" thickTop="1" thickBot="1" x14ac:dyDescent="0.25">
      <c r="B243" s="288" t="s">
        <v>363</v>
      </c>
      <c r="C243" s="288" t="s">
        <v>364</v>
      </c>
      <c r="D243" s="288" t="s">
        <v>365</v>
      </c>
      <c r="E243" s="288" t="s">
        <v>621</v>
      </c>
      <c r="F243" s="307" t="s">
        <v>41</v>
      </c>
      <c r="G243" s="390"/>
      <c r="H243" s="302"/>
      <c r="I243" s="289"/>
      <c r="J243" s="404">
        <v>210000</v>
      </c>
      <c r="K243" s="302"/>
    </row>
    <row r="244" spans="1:18" ht="46.5" thickTop="1" thickBot="1" x14ac:dyDescent="0.25">
      <c r="B244" s="288" t="s">
        <v>448</v>
      </c>
      <c r="C244" s="288" t="s">
        <v>449</v>
      </c>
      <c r="D244" s="288" t="s">
        <v>210</v>
      </c>
      <c r="E244" s="288" t="s">
        <v>450</v>
      </c>
      <c r="F244" s="307" t="s">
        <v>386</v>
      </c>
      <c r="G244" s="390"/>
      <c r="H244" s="302"/>
      <c r="I244" s="289"/>
      <c r="J244" s="404">
        <v>50000</v>
      </c>
      <c r="K244" s="302"/>
    </row>
    <row r="245" spans="1:18" ht="34.5" customHeight="1" thickTop="1" thickBot="1" x14ac:dyDescent="0.35">
      <c r="A245" s="10"/>
      <c r="B245" s="184" t="s">
        <v>470</v>
      </c>
      <c r="C245" s="184" t="s">
        <v>470</v>
      </c>
      <c r="D245" s="184" t="s">
        <v>470</v>
      </c>
      <c r="E245" s="262" t="s">
        <v>480</v>
      </c>
      <c r="F245" s="184" t="s">
        <v>470</v>
      </c>
      <c r="G245" s="184" t="s">
        <v>470</v>
      </c>
      <c r="H245" s="184" t="s">
        <v>470</v>
      </c>
      <c r="I245" s="184" t="s">
        <v>470</v>
      </c>
      <c r="J245" s="184">
        <f>J11+J22+J117+J66+J78+J106+J130++J238+J233+J231+J227+J206</f>
        <v>359387882.25</v>
      </c>
      <c r="K245" s="184" t="s">
        <v>470</v>
      </c>
      <c r="L245" s="308" t="b">
        <f>J245='d3'!K180</f>
        <v>1</v>
      </c>
    </row>
    <row r="246" spans="1:18" ht="16.5" thickTop="1" x14ac:dyDescent="0.2">
      <c r="B246" s="611" t="s">
        <v>858</v>
      </c>
      <c r="C246" s="612"/>
      <c r="D246" s="612"/>
      <c r="E246" s="612"/>
      <c r="F246" s="612"/>
      <c r="G246" s="612"/>
      <c r="H246" s="612"/>
      <c r="I246" s="612"/>
      <c r="J246" s="612"/>
      <c r="K246" s="612"/>
      <c r="L246" s="613"/>
      <c r="M246" s="613"/>
      <c r="N246" s="613"/>
      <c r="O246" s="613"/>
      <c r="P246" s="613"/>
      <c r="Q246" s="613"/>
      <c r="R246" s="613"/>
    </row>
    <row r="247" spans="1:18" ht="12" customHeight="1" x14ac:dyDescent="0.2">
      <c r="B247" s="614"/>
      <c r="C247" s="614"/>
      <c r="D247" s="614"/>
      <c r="E247" s="614"/>
      <c r="F247" s="614"/>
      <c r="G247" s="614"/>
      <c r="H247" s="614"/>
      <c r="I247" s="614"/>
      <c r="J247" s="614"/>
      <c r="K247" s="614"/>
    </row>
    <row r="248" spans="1:18" ht="26.25" hidden="1" customHeight="1" x14ac:dyDescent="0.2">
      <c r="B248" s="372"/>
      <c r="C248" s="372"/>
      <c r="D248" s="372" t="s">
        <v>925</v>
      </c>
      <c r="E248" s="372"/>
      <c r="F248" s="372"/>
      <c r="G248" s="372"/>
      <c r="H248" s="372"/>
      <c r="I248" s="372"/>
      <c r="J248" s="372" t="s">
        <v>919</v>
      </c>
      <c r="K248" s="372"/>
    </row>
    <row r="249" spans="1:18" ht="23.25" customHeight="1" x14ac:dyDescent="0.3">
      <c r="D249" s="615" t="s">
        <v>1004</v>
      </c>
      <c r="E249" s="615"/>
      <c r="F249" s="615"/>
      <c r="G249" s="615"/>
      <c r="H249" s="615"/>
      <c r="I249" s="615"/>
      <c r="J249" s="615"/>
      <c r="K249" s="615"/>
      <c r="L249" s="615"/>
      <c r="M249" s="615"/>
      <c r="N249" s="615"/>
      <c r="O249" s="615"/>
      <c r="P249" s="615"/>
      <c r="Q249" s="615"/>
      <c r="R249" s="615"/>
    </row>
    <row r="250" spans="1:18" ht="15" x14ac:dyDescent="0.25">
      <c r="D250" s="369"/>
      <c r="E250" s="369"/>
      <c r="F250" s="369"/>
      <c r="G250" s="369"/>
      <c r="H250" s="369"/>
      <c r="I250" s="369"/>
      <c r="J250" s="369"/>
      <c r="K250" s="369"/>
      <c r="L250" s="369"/>
      <c r="M250" s="369"/>
      <c r="N250" s="369"/>
      <c r="O250" s="369"/>
      <c r="P250" s="369"/>
      <c r="Q250" s="369"/>
      <c r="R250" s="369"/>
    </row>
    <row r="251" spans="1:18" ht="15" x14ac:dyDescent="0.25">
      <c r="D251" s="577"/>
      <c r="E251" s="577"/>
      <c r="F251" s="577"/>
      <c r="G251" s="577"/>
      <c r="H251" s="577"/>
      <c r="I251" s="577"/>
      <c r="J251" s="577"/>
      <c r="K251" s="577"/>
      <c r="L251" s="577"/>
      <c r="M251" s="577"/>
      <c r="N251" s="577"/>
      <c r="O251" s="577"/>
      <c r="P251" s="577"/>
      <c r="Q251" s="577"/>
      <c r="R251" s="145"/>
    </row>
    <row r="252" spans="1:18" ht="15" x14ac:dyDescent="0.25">
      <c r="D252" s="577"/>
      <c r="E252" s="577"/>
      <c r="F252" s="577"/>
      <c r="G252" s="577"/>
      <c r="H252" s="577"/>
      <c r="I252" s="577"/>
      <c r="J252" s="577"/>
      <c r="K252" s="577"/>
      <c r="L252" s="577"/>
      <c r="M252" s="577"/>
      <c r="N252" s="577"/>
      <c r="O252" s="577"/>
      <c r="P252" s="577"/>
      <c r="Q252" s="577"/>
      <c r="R252" s="145"/>
    </row>
    <row r="269" spans="7:11" ht="46.5" x14ac:dyDescent="0.2">
      <c r="K269" s="264"/>
    </row>
    <row r="272" spans="7:11" ht="46.5" x14ac:dyDescent="0.2">
      <c r="G272" s="264"/>
      <c r="K272" s="264"/>
    </row>
    <row r="291" spans="12:12" ht="90" x14ac:dyDescent="1.1499999999999999">
      <c r="L291" s="142"/>
    </row>
  </sheetData>
  <mergeCells count="37">
    <mergeCell ref="D252:Q252"/>
    <mergeCell ref="J92:J94"/>
    <mergeCell ref="K92:K94"/>
    <mergeCell ref="B246:R246"/>
    <mergeCell ref="B247:K247"/>
    <mergeCell ref="D249:R249"/>
    <mergeCell ref="D251:Q251"/>
    <mergeCell ref="J88:J91"/>
    <mergeCell ref="K88:K91"/>
    <mergeCell ref="B92:B94"/>
    <mergeCell ref="C92:C94"/>
    <mergeCell ref="D92:D94"/>
    <mergeCell ref="F92:F94"/>
    <mergeCell ref="G92:G94"/>
    <mergeCell ref="H92:H94"/>
    <mergeCell ref="I92:I94"/>
    <mergeCell ref="H85:H87"/>
    <mergeCell ref="I85:I87"/>
    <mergeCell ref="J85:J87"/>
    <mergeCell ref="K85:K87"/>
    <mergeCell ref="B88:B91"/>
    <mergeCell ref="C88:C91"/>
    <mergeCell ref="D88:D91"/>
    <mergeCell ref="F88:F91"/>
    <mergeCell ref="G88:G91"/>
    <mergeCell ref="H88:H91"/>
    <mergeCell ref="B85:B87"/>
    <mergeCell ref="C85:C87"/>
    <mergeCell ref="D85:D87"/>
    <mergeCell ref="F85:F87"/>
    <mergeCell ref="G85:G87"/>
    <mergeCell ref="I88:I91"/>
    <mergeCell ref="B1:K1"/>
    <mergeCell ref="G2:K2"/>
    <mergeCell ref="B4:K4"/>
    <mergeCell ref="B6:C6"/>
    <mergeCell ref="B7:C7"/>
  </mergeCells>
  <printOptions horizontalCentered="1"/>
  <pageMargins left="0.82677165354330717" right="0" top="0.31496062992125984" bottom="0.31496062992125984" header="0.23622047244094491" footer="0.19685039370078741"/>
  <pageSetup paperSize="9" scale="63" fitToHeight="0" orientation="landscape" r:id="rId1"/>
  <headerFooter alignWithMargins="0">
    <oddFooter>&amp;R&amp;P</oddFooter>
  </headerFooter>
  <rowBreaks count="6" manualBreakCount="6">
    <brk id="19" max="10" man="1"/>
    <brk id="30" max="10" man="1"/>
    <brk id="47" max="10" man="1"/>
    <brk id="178" max="10" man="1"/>
    <brk id="185" max="10" man="1"/>
    <brk id="205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Аркуш6"/>
  <dimension ref="A1:J161"/>
  <sheetViews>
    <sheetView view="pageBreakPreview" topLeftCell="A22" zoomScale="85" zoomScaleNormal="85" zoomScaleSheetLayoutView="85" workbookViewId="0">
      <selection activeCell="J30" sqref="J30"/>
    </sheetView>
  </sheetViews>
  <sheetFormatPr defaultColWidth="9.140625" defaultRowHeight="12.75" x14ac:dyDescent="0.2"/>
  <cols>
    <col min="1" max="1" width="23.5703125" style="81" customWidth="1"/>
    <col min="2" max="2" width="90.85546875" style="81" customWidth="1"/>
    <col min="3" max="3" width="18.28515625" style="81" customWidth="1"/>
    <col min="4" max="4" width="17" style="81" customWidth="1"/>
    <col min="5" max="5" width="14.7109375" style="81" customWidth="1"/>
    <col min="6" max="6" width="12.7109375" style="81" bestFit="1" customWidth="1"/>
    <col min="7" max="9" width="9.140625" style="81"/>
    <col min="10" max="10" width="52.5703125" style="81" customWidth="1"/>
    <col min="11" max="16384" width="9.140625" style="81"/>
  </cols>
  <sheetData>
    <row r="1" spans="1:9" ht="16.5" customHeight="1" x14ac:dyDescent="0.2">
      <c r="C1" s="524" t="s">
        <v>704</v>
      </c>
      <c r="D1" s="524"/>
      <c r="E1" s="185"/>
      <c r="F1" s="185"/>
    </row>
    <row r="2" spans="1:9" ht="16.5" customHeight="1" x14ac:dyDescent="0.2">
      <c r="C2" s="624" t="s">
        <v>706</v>
      </c>
      <c r="D2" s="625"/>
      <c r="E2" s="625"/>
      <c r="F2" s="625"/>
    </row>
    <row r="3" spans="1:9" ht="12.75" customHeight="1" x14ac:dyDescent="0.2">
      <c r="C3" s="524"/>
      <c r="D3" s="616"/>
    </row>
    <row r="4" spans="1:9" ht="12.75" customHeight="1" x14ac:dyDescent="0.2">
      <c r="C4" s="524"/>
      <c r="D4" s="526"/>
    </row>
    <row r="5" spans="1:9" ht="16.5" x14ac:dyDescent="0.25">
      <c r="A5" s="631" t="s">
        <v>160</v>
      </c>
      <c r="B5" s="631"/>
      <c r="C5" s="631"/>
      <c r="D5" s="526"/>
      <c r="E5" s="626"/>
      <c r="F5" s="627"/>
      <c r="G5" s="627"/>
      <c r="H5" s="627"/>
      <c r="I5" s="628"/>
    </row>
    <row r="6" spans="1:9" ht="16.5" x14ac:dyDescent="0.25">
      <c r="A6" s="643" t="s">
        <v>161</v>
      </c>
      <c r="B6" s="643"/>
      <c r="C6" s="643"/>
      <c r="D6" s="548"/>
      <c r="E6" s="626"/>
      <c r="F6" s="626"/>
      <c r="G6" s="626"/>
      <c r="H6" s="626"/>
      <c r="I6" s="525"/>
    </row>
    <row r="7" spans="1:9" ht="16.5" x14ac:dyDescent="0.2">
      <c r="A7" s="643" t="s">
        <v>579</v>
      </c>
      <c r="B7" s="643"/>
      <c r="C7" s="643"/>
      <c r="D7" s="548"/>
      <c r="E7" s="629"/>
      <c r="F7" s="629"/>
      <c r="G7" s="629"/>
      <c r="H7" s="629"/>
      <c r="I7" s="630"/>
    </row>
    <row r="8" spans="1:9" s="171" customFormat="1" ht="16.5" x14ac:dyDescent="0.2">
      <c r="A8" s="172"/>
      <c r="B8" s="172"/>
      <c r="C8" s="172"/>
      <c r="D8" s="166"/>
      <c r="E8" s="169"/>
      <c r="F8" s="169"/>
      <c r="G8" s="169"/>
      <c r="H8" s="169"/>
      <c r="I8" s="170"/>
    </row>
    <row r="9" spans="1:9" s="171" customFormat="1" ht="16.5" x14ac:dyDescent="0.2">
      <c r="A9" s="189">
        <v>22201100000</v>
      </c>
      <c r="B9" s="188"/>
      <c r="C9" s="172"/>
      <c r="D9" s="166"/>
      <c r="E9" s="169"/>
      <c r="F9" s="169"/>
      <c r="G9" s="169"/>
      <c r="H9" s="169"/>
      <c r="I9" s="170"/>
    </row>
    <row r="10" spans="1:9" s="171" customFormat="1" ht="16.5" x14ac:dyDescent="0.2">
      <c r="A10" s="190" t="s">
        <v>698</v>
      </c>
      <c r="B10" s="187"/>
      <c r="C10" s="172"/>
      <c r="D10" s="166"/>
      <c r="E10" s="169"/>
      <c r="F10" s="169"/>
      <c r="G10" s="169"/>
      <c r="H10" s="169"/>
      <c r="I10" s="170"/>
    </row>
    <row r="11" spans="1:9" ht="17.25" thickBot="1" x14ac:dyDescent="0.25">
      <c r="A11" s="154"/>
      <c r="B11" s="154"/>
      <c r="C11" s="155"/>
      <c r="D11" s="155" t="s">
        <v>493</v>
      </c>
      <c r="E11" s="82"/>
      <c r="F11" s="82"/>
      <c r="G11" s="83"/>
    </row>
    <row r="12" spans="1:9" s="84" customFormat="1" ht="26.45" customHeight="1" thickTop="1" thickBot="1" x14ac:dyDescent="0.25">
      <c r="A12" s="191" t="s">
        <v>162</v>
      </c>
      <c r="B12" s="621" t="s">
        <v>163</v>
      </c>
      <c r="C12" s="620"/>
      <c r="D12" s="620"/>
    </row>
    <row r="13" spans="1:9" s="84" customFormat="1" ht="39.75" customHeight="1" thickTop="1" thickBot="1" x14ac:dyDescent="0.25">
      <c r="A13" s="192" t="s">
        <v>164</v>
      </c>
      <c r="B13" s="617" t="s">
        <v>165</v>
      </c>
      <c r="C13" s="618"/>
      <c r="D13" s="193">
        <v>100</v>
      </c>
    </row>
    <row r="14" spans="1:9" s="84" customFormat="1" ht="40.700000000000003" customHeight="1" thickTop="1" thickBot="1" x14ac:dyDescent="0.25">
      <c r="A14" s="192" t="s">
        <v>166</v>
      </c>
      <c r="B14" s="617" t="s">
        <v>167</v>
      </c>
      <c r="C14" s="618"/>
      <c r="D14" s="193">
        <v>3086133.18</v>
      </c>
    </row>
    <row r="15" spans="1:9" s="84" customFormat="1" ht="61.5" customHeight="1" thickTop="1" thickBot="1" x14ac:dyDescent="0.25">
      <c r="A15" s="192" t="s">
        <v>168</v>
      </c>
      <c r="B15" s="617" t="s">
        <v>169</v>
      </c>
      <c r="C15" s="618"/>
      <c r="D15" s="193">
        <v>0</v>
      </c>
    </row>
    <row r="16" spans="1:9" s="84" customFormat="1" ht="41.25" customHeight="1" thickTop="1" thickBot="1" x14ac:dyDescent="0.25">
      <c r="A16" s="192" t="s">
        <v>170</v>
      </c>
      <c r="B16" s="617" t="s">
        <v>171</v>
      </c>
      <c r="C16" s="618"/>
      <c r="D16" s="193">
        <v>1400</v>
      </c>
    </row>
    <row r="17" spans="1:6" s="84" customFormat="1" ht="26.45" customHeight="1" thickTop="1" thickBot="1" x14ac:dyDescent="0.25">
      <c r="A17" s="192"/>
      <c r="B17" s="635" t="s">
        <v>172</v>
      </c>
      <c r="C17" s="618"/>
      <c r="D17" s="194">
        <f>SUM(D13:D16)</f>
        <v>3087633.18</v>
      </c>
    </row>
    <row r="18" spans="1:6" s="84" customFormat="1" ht="26.45" hidden="1" customHeight="1" thickTop="1" thickBot="1" x14ac:dyDescent="0.25">
      <c r="A18" s="192"/>
      <c r="B18" s="635" t="s">
        <v>580</v>
      </c>
      <c r="C18" s="618"/>
      <c r="D18" s="194"/>
    </row>
    <row r="19" spans="1:6" s="84" customFormat="1" ht="26.45" customHeight="1" thickTop="1" thickBot="1" x14ac:dyDescent="0.25">
      <c r="A19" s="280"/>
      <c r="B19" s="635" t="s">
        <v>867</v>
      </c>
      <c r="C19" s="618"/>
      <c r="D19" s="194">
        <v>149766.82</v>
      </c>
    </row>
    <row r="20" spans="1:6" s="84" customFormat="1" ht="26.45" customHeight="1" thickTop="1" thickBot="1" x14ac:dyDescent="0.25">
      <c r="A20" s="203" t="s">
        <v>470</v>
      </c>
      <c r="B20" s="622" t="s">
        <v>708</v>
      </c>
      <c r="C20" s="623"/>
      <c r="D20" s="202">
        <f>D17+D19</f>
        <v>3237400</v>
      </c>
    </row>
    <row r="21" spans="1:6" s="84" customFormat="1" ht="30.75" customHeight="1" thickTop="1" thickBot="1" x14ac:dyDescent="0.25">
      <c r="A21" s="195"/>
      <c r="B21" s="619" t="s">
        <v>173</v>
      </c>
      <c r="C21" s="620"/>
      <c r="D21" s="620"/>
    </row>
    <row r="22" spans="1:6" s="84" customFormat="1" ht="43.5" customHeight="1" thickTop="1" thickBot="1" x14ac:dyDescent="0.25">
      <c r="A22" s="192" t="s">
        <v>174</v>
      </c>
      <c r="B22" s="617" t="s">
        <v>175</v>
      </c>
      <c r="C22" s="618"/>
      <c r="D22" s="193">
        <v>50000</v>
      </c>
    </row>
    <row r="23" spans="1:6" s="84" customFormat="1" ht="44.45" customHeight="1" thickTop="1" thickBot="1" x14ac:dyDescent="0.25">
      <c r="A23" s="192" t="s">
        <v>176</v>
      </c>
      <c r="B23" s="617" t="s">
        <v>177</v>
      </c>
      <c r="C23" s="618"/>
      <c r="D23" s="193">
        <v>135000</v>
      </c>
    </row>
    <row r="24" spans="1:6" s="84" customFormat="1" ht="44.45" customHeight="1" thickTop="1" thickBot="1" x14ac:dyDescent="0.25">
      <c r="A24" s="192" t="s">
        <v>665</v>
      </c>
      <c r="B24" s="617" t="s">
        <v>507</v>
      </c>
      <c r="C24" s="618"/>
      <c r="D24" s="193">
        <f>((175000)+30000)+84000</f>
        <v>289000</v>
      </c>
    </row>
    <row r="25" spans="1:6" s="84" customFormat="1" ht="32.25" customHeight="1" thickTop="1" thickBot="1" x14ac:dyDescent="0.25">
      <c r="A25" s="192" t="s">
        <v>178</v>
      </c>
      <c r="B25" s="617" t="s">
        <v>180</v>
      </c>
      <c r="C25" s="618"/>
      <c r="D25" s="193">
        <f>(268326)-30000</f>
        <v>238326</v>
      </c>
    </row>
    <row r="26" spans="1:6" s="84" customFormat="1" ht="55.5" customHeight="1" thickTop="1" thickBot="1" x14ac:dyDescent="0.25">
      <c r="A26" s="192" t="s">
        <v>179</v>
      </c>
      <c r="B26" s="617" t="s">
        <v>584</v>
      </c>
      <c r="C26" s="618"/>
      <c r="D26" s="193">
        <f>((50000+2224874)+83400-970000)-41000+49000+60000+197000</f>
        <v>1653274</v>
      </c>
    </row>
    <row r="27" spans="1:6" s="84" customFormat="1" ht="79.5" customHeight="1" thickTop="1" thickBot="1" x14ac:dyDescent="0.25">
      <c r="A27" s="281" t="s">
        <v>181</v>
      </c>
      <c r="B27" s="617" t="s">
        <v>182</v>
      </c>
      <c r="C27" s="618"/>
      <c r="D27" s="193">
        <f>(500000)-377500</f>
        <v>122500</v>
      </c>
    </row>
    <row r="28" spans="1:6" s="84" customFormat="1" ht="48" customHeight="1" thickTop="1" thickBot="1" x14ac:dyDescent="0.25">
      <c r="A28" s="192" t="s">
        <v>666</v>
      </c>
      <c r="B28" s="617" t="s">
        <v>183</v>
      </c>
      <c r="C28" s="618"/>
      <c r="D28" s="193">
        <v>20000</v>
      </c>
    </row>
    <row r="29" spans="1:6" s="84" customFormat="1" ht="54" customHeight="1" thickTop="1" thickBot="1" x14ac:dyDescent="0.3">
      <c r="A29" s="640" t="s">
        <v>667</v>
      </c>
      <c r="B29" s="638" t="s">
        <v>663</v>
      </c>
      <c r="C29" s="639"/>
      <c r="D29" s="642">
        <f>778300-49000</f>
        <v>729300</v>
      </c>
    </row>
    <row r="30" spans="1:6" s="84" customFormat="1" ht="54" customHeight="1" thickTop="1" thickBot="1" x14ac:dyDescent="0.25">
      <c r="A30" s="641"/>
      <c r="B30" s="636" t="s">
        <v>662</v>
      </c>
      <c r="C30" s="637"/>
      <c r="D30" s="560"/>
    </row>
    <row r="31" spans="1:6" s="84" customFormat="1" ht="27.75" customHeight="1" thickTop="1" thickBot="1" x14ac:dyDescent="0.25">
      <c r="A31" s="203" t="s">
        <v>470</v>
      </c>
      <c r="B31" s="622" t="s">
        <v>708</v>
      </c>
      <c r="C31" s="623"/>
      <c r="D31" s="202">
        <f>D22+D23+D24+D25+D26+D28+D29+D27</f>
        <v>3237400</v>
      </c>
      <c r="E31" s="153" t="b">
        <f>D20=D31</f>
        <v>1</v>
      </c>
      <c r="F31" s="153" t="b">
        <f>D31='d3'!P23+'d3'!P88+'d3'!P131</f>
        <v>1</v>
      </c>
    </row>
    <row r="32" spans="1:6" s="320" customFormat="1" ht="27.75" customHeight="1" thickTop="1" x14ac:dyDescent="0.2">
      <c r="A32" s="315"/>
      <c r="B32" s="316"/>
      <c r="C32" s="317"/>
      <c r="D32" s="318"/>
      <c r="E32" s="319"/>
      <c r="F32" s="319"/>
    </row>
    <row r="33" spans="1:4" ht="19.5" customHeight="1" x14ac:dyDescent="0.2">
      <c r="B33" s="126" t="s">
        <v>999</v>
      </c>
      <c r="C33" s="126" t="s">
        <v>1000</v>
      </c>
    </row>
    <row r="34" spans="1:4" ht="18.75" x14ac:dyDescent="0.2">
      <c r="B34" s="126"/>
      <c r="C34" s="126"/>
    </row>
    <row r="35" spans="1:4" ht="18.75" hidden="1" x14ac:dyDescent="0.2">
      <c r="A35" s="126" t="s">
        <v>926</v>
      </c>
      <c r="B35" s="126"/>
      <c r="C35" s="126" t="s">
        <v>921</v>
      </c>
    </row>
    <row r="36" spans="1:4" ht="18.75" x14ac:dyDescent="0.2">
      <c r="A36" s="126"/>
      <c r="B36" s="126"/>
      <c r="C36" s="126"/>
    </row>
    <row r="37" spans="1:4" ht="18.75" x14ac:dyDescent="0.2">
      <c r="A37" s="634"/>
      <c r="B37" s="634"/>
      <c r="C37" s="125"/>
    </row>
    <row r="43" spans="1:4" ht="16.5" x14ac:dyDescent="0.2">
      <c r="A43" s="633"/>
      <c r="B43" s="85"/>
      <c r="C43" s="86"/>
      <c r="D43" s="87"/>
    </row>
    <row r="44" spans="1:4" ht="16.5" x14ac:dyDescent="0.2">
      <c r="A44" s="633"/>
      <c r="B44" s="88"/>
      <c r="C44" s="86"/>
      <c r="D44" s="87"/>
    </row>
    <row r="45" spans="1:4" ht="16.5" x14ac:dyDescent="0.2">
      <c r="A45" s="633"/>
      <c r="B45" s="89"/>
      <c r="C45" s="86"/>
      <c r="D45" s="87"/>
    </row>
    <row r="46" spans="1:4" ht="16.5" x14ac:dyDescent="0.2">
      <c r="A46" s="633"/>
      <c r="B46" s="85"/>
      <c r="C46" s="86"/>
      <c r="D46" s="87"/>
    </row>
    <row r="47" spans="1:4" ht="16.5" x14ac:dyDescent="0.2">
      <c r="A47" s="633"/>
      <c r="B47" s="85"/>
      <c r="C47" s="86"/>
      <c r="D47" s="87"/>
    </row>
    <row r="78" spans="6:6" x14ac:dyDescent="0.2">
      <c r="F78" s="632"/>
    </row>
    <row r="79" spans="6:6" x14ac:dyDescent="0.2">
      <c r="F79" s="525"/>
    </row>
    <row r="115" spans="6:6" x14ac:dyDescent="0.2">
      <c r="F115" s="81">
        <f>G115+H115</f>
        <v>0</v>
      </c>
    </row>
    <row r="117" spans="6:6" x14ac:dyDescent="0.2">
      <c r="F117" s="81">
        <f t="shared" ref="F117:F127" si="0">G117+H117</f>
        <v>0</v>
      </c>
    </row>
    <row r="118" spans="6:6" x14ac:dyDescent="0.2">
      <c r="F118" s="81">
        <f t="shared" si="0"/>
        <v>0</v>
      </c>
    </row>
    <row r="119" spans="6:6" x14ac:dyDescent="0.2">
      <c r="F119" s="81">
        <f t="shared" si="0"/>
        <v>0</v>
      </c>
    </row>
    <row r="120" spans="6:6" x14ac:dyDescent="0.2">
      <c r="F120" s="81">
        <f t="shared" si="0"/>
        <v>0</v>
      </c>
    </row>
    <row r="121" spans="6:6" x14ac:dyDescent="0.2">
      <c r="F121" s="81">
        <f t="shared" si="0"/>
        <v>0</v>
      </c>
    </row>
    <row r="122" spans="6:6" x14ac:dyDescent="0.2">
      <c r="F122" s="81">
        <f t="shared" si="0"/>
        <v>0</v>
      </c>
    </row>
    <row r="123" spans="6:6" x14ac:dyDescent="0.2">
      <c r="F123" s="81">
        <f t="shared" si="0"/>
        <v>0</v>
      </c>
    </row>
    <row r="124" spans="6:6" x14ac:dyDescent="0.2">
      <c r="F124" s="81">
        <f t="shared" si="0"/>
        <v>0</v>
      </c>
    </row>
    <row r="125" spans="6:6" x14ac:dyDescent="0.2">
      <c r="F125" s="81">
        <f t="shared" si="0"/>
        <v>0</v>
      </c>
    </row>
    <row r="126" spans="6:6" x14ac:dyDescent="0.2">
      <c r="F126" s="81">
        <f t="shared" si="0"/>
        <v>0</v>
      </c>
    </row>
    <row r="127" spans="6:6" x14ac:dyDescent="0.2">
      <c r="F127" s="81">
        <f t="shared" si="0"/>
        <v>0</v>
      </c>
    </row>
    <row r="129" spans="6:9" x14ac:dyDescent="0.2">
      <c r="F129" s="81">
        <f>G130+H130</f>
        <v>0</v>
      </c>
    </row>
    <row r="130" spans="6:9" x14ac:dyDescent="0.2">
      <c r="F130" s="81">
        <f t="shared" ref="F130" si="1">G130+H130</f>
        <v>0</v>
      </c>
    </row>
    <row r="131" spans="6:9" x14ac:dyDescent="0.2">
      <c r="F131" s="81">
        <f>G131+H131</f>
        <v>0</v>
      </c>
    </row>
    <row r="132" spans="6:9" x14ac:dyDescent="0.2">
      <c r="F132" s="81">
        <f>G132+H132</f>
        <v>0</v>
      </c>
    </row>
    <row r="133" spans="6:9" x14ac:dyDescent="0.2">
      <c r="F133" s="81">
        <f>G133+H133</f>
        <v>0</v>
      </c>
    </row>
    <row r="134" spans="6:9" x14ac:dyDescent="0.2">
      <c r="F134" s="81">
        <f>G134+H134</f>
        <v>0</v>
      </c>
    </row>
    <row r="139" spans="6:9" ht="46.5" x14ac:dyDescent="0.2">
      <c r="I139" s="143"/>
    </row>
    <row r="142" spans="6:9" ht="46.5" x14ac:dyDescent="0.2">
      <c r="F142" s="143">
        <f>G142+H142</f>
        <v>0</v>
      </c>
      <c r="I142" s="143"/>
    </row>
    <row r="161" spans="10:10" ht="90" x14ac:dyDescent="0.2">
      <c r="J161" s="141" t="b">
        <f>F161=G161+H161</f>
        <v>1</v>
      </c>
    </row>
  </sheetData>
  <mergeCells count="35">
    <mergeCell ref="A6:D6"/>
    <mergeCell ref="A7:D7"/>
    <mergeCell ref="B15:C15"/>
    <mergeCell ref="B14:C14"/>
    <mergeCell ref="B13:C13"/>
    <mergeCell ref="F78:F79"/>
    <mergeCell ref="A43:A47"/>
    <mergeCell ref="A37:B37"/>
    <mergeCell ref="B18:C18"/>
    <mergeCell ref="B17:C17"/>
    <mergeCell ref="B30:C30"/>
    <mergeCell ref="B31:C31"/>
    <mergeCell ref="B29:C29"/>
    <mergeCell ref="B28:C28"/>
    <mergeCell ref="B27:C27"/>
    <mergeCell ref="B26:C26"/>
    <mergeCell ref="A29:A30"/>
    <mergeCell ref="D29:D30"/>
    <mergeCell ref="B19:C19"/>
    <mergeCell ref="C1:D1"/>
    <mergeCell ref="C3:D3"/>
    <mergeCell ref="C4:D4"/>
    <mergeCell ref="B25:C25"/>
    <mergeCell ref="B24:C24"/>
    <mergeCell ref="B23:C23"/>
    <mergeCell ref="B22:C22"/>
    <mergeCell ref="B21:D21"/>
    <mergeCell ref="B12:D12"/>
    <mergeCell ref="B20:C20"/>
    <mergeCell ref="C2:F2"/>
    <mergeCell ref="E5:I5"/>
    <mergeCell ref="E6:I6"/>
    <mergeCell ref="E7:I7"/>
    <mergeCell ref="B16:C16"/>
    <mergeCell ref="A5:D5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8"/>
  <sheetViews>
    <sheetView view="pageBreakPreview" topLeftCell="A7" zoomScale="85" zoomScaleNormal="85" zoomScaleSheetLayoutView="85" workbookViewId="0">
      <selection activeCell="A25" sqref="A25:XFD25"/>
    </sheetView>
  </sheetViews>
  <sheetFormatPr defaultRowHeight="12.75" x14ac:dyDescent="0.2"/>
  <cols>
    <col min="1" max="1" width="6.85546875" style="283" customWidth="1"/>
    <col min="2" max="2" width="15.140625" style="283" customWidth="1"/>
    <col min="3" max="3" width="15.28515625" style="283" customWidth="1"/>
    <col min="4" max="4" width="10.85546875" style="283" customWidth="1"/>
    <col min="5" max="5" width="58.140625" style="283" customWidth="1"/>
    <col min="6" max="6" width="15.85546875" style="283" customWidth="1"/>
    <col min="7" max="10" width="9.140625" style="283"/>
    <col min="11" max="11" width="52.5703125" style="283" customWidth="1"/>
    <col min="12" max="16384" width="9.140625" style="283"/>
  </cols>
  <sheetData>
    <row r="1" spans="1:9" x14ac:dyDescent="0.2">
      <c r="A1" s="95"/>
      <c r="B1" s="95"/>
      <c r="C1" s="95"/>
      <c r="D1" s="95"/>
      <c r="E1" s="95"/>
      <c r="F1" s="95" t="s">
        <v>705</v>
      </c>
    </row>
    <row r="2" spans="1:9" x14ac:dyDescent="0.2">
      <c r="A2" s="95"/>
      <c r="B2" s="95"/>
      <c r="C2" s="95"/>
      <c r="D2" s="95"/>
      <c r="E2" s="95"/>
      <c r="F2" s="95" t="s">
        <v>378</v>
      </c>
    </row>
    <row r="3" spans="1:9" x14ac:dyDescent="0.2">
      <c r="A3" s="95"/>
      <c r="B3" s="95"/>
      <c r="C3" s="95"/>
      <c r="D3" s="95"/>
      <c r="E3" s="95"/>
      <c r="F3" s="648" t="s">
        <v>707</v>
      </c>
      <c r="G3" s="612"/>
      <c r="H3" s="612"/>
      <c r="I3" s="612"/>
    </row>
    <row r="4" spans="1:9" ht="15.75" x14ac:dyDescent="0.25">
      <c r="A4" s="649" t="s">
        <v>379</v>
      </c>
      <c r="B4" s="628"/>
      <c r="C4" s="628"/>
      <c r="D4" s="628"/>
      <c r="E4" s="628"/>
      <c r="F4" s="628"/>
    </row>
    <row r="5" spans="1:9" ht="15.75" x14ac:dyDescent="0.25">
      <c r="A5" s="649" t="s">
        <v>380</v>
      </c>
      <c r="B5" s="628"/>
      <c r="C5" s="628"/>
      <c r="D5" s="628"/>
      <c r="E5" s="628"/>
      <c r="F5" s="628"/>
    </row>
    <row r="6" spans="1:9" ht="15.75" x14ac:dyDescent="0.25">
      <c r="A6" s="649" t="s">
        <v>654</v>
      </c>
      <c r="B6" s="628"/>
      <c r="C6" s="628"/>
      <c r="D6" s="628"/>
      <c r="E6" s="628"/>
      <c r="F6" s="628"/>
    </row>
    <row r="7" spans="1:9" ht="15.75" x14ac:dyDescent="0.25">
      <c r="A7" s="286"/>
      <c r="B7" s="285"/>
      <c r="C7" s="285"/>
      <c r="D7" s="285"/>
      <c r="E7" s="285"/>
      <c r="F7" s="285"/>
    </row>
    <row r="8" spans="1:9" x14ac:dyDescent="0.2">
      <c r="A8" s="594">
        <v>22201100000</v>
      </c>
      <c r="B8" s="628"/>
      <c r="C8" s="285"/>
      <c r="D8" s="285"/>
      <c r="E8" s="285"/>
      <c r="F8" s="285"/>
    </row>
    <row r="9" spans="1:9" x14ac:dyDescent="0.2">
      <c r="A9" s="596" t="s">
        <v>698</v>
      </c>
      <c r="B9" s="597"/>
      <c r="C9" s="285"/>
      <c r="D9" s="285"/>
      <c r="E9" s="285"/>
      <c r="F9" s="285"/>
    </row>
    <row r="10" spans="1:9" ht="13.5" thickBot="1" x14ac:dyDescent="0.25">
      <c r="A10" s="284"/>
      <c r="B10" s="284"/>
      <c r="C10" s="285"/>
      <c r="D10" s="285"/>
      <c r="E10" s="285"/>
      <c r="F10" s="285"/>
    </row>
    <row r="11" spans="1:9" ht="48" customHeight="1" thickTop="1" thickBot="1" x14ac:dyDescent="0.25">
      <c r="A11" s="213" t="s">
        <v>381</v>
      </c>
      <c r="B11" s="214" t="s">
        <v>382</v>
      </c>
      <c r="C11" s="214" t="s">
        <v>24</v>
      </c>
      <c r="D11" s="214" t="s">
        <v>18</v>
      </c>
      <c r="E11" s="213" t="s">
        <v>383</v>
      </c>
      <c r="F11" s="215" t="s">
        <v>494</v>
      </c>
    </row>
    <row r="12" spans="1:9" ht="96" thickTop="1" thickBot="1" x14ac:dyDescent="0.25">
      <c r="A12" s="197">
        <v>1</v>
      </c>
      <c r="B12" s="198" t="s">
        <v>366</v>
      </c>
      <c r="C12" s="198" t="s">
        <v>367</v>
      </c>
      <c r="D12" s="198" t="s">
        <v>62</v>
      </c>
      <c r="E12" s="198" t="s">
        <v>898</v>
      </c>
      <c r="F12" s="199">
        <v>400000</v>
      </c>
    </row>
    <row r="13" spans="1:9" ht="17.25" hidden="1" thickTop="1" thickBot="1" x14ac:dyDescent="0.25">
      <c r="A13" s="197">
        <v>2</v>
      </c>
      <c r="B13" s="198" t="s">
        <v>366</v>
      </c>
      <c r="C13" s="198" t="s">
        <v>367</v>
      </c>
      <c r="D13" s="198" t="s">
        <v>62</v>
      </c>
      <c r="E13" s="200"/>
      <c r="F13" s="201"/>
    </row>
    <row r="14" spans="1:9" ht="17.25" thickTop="1" thickBot="1" x14ac:dyDescent="0.25">
      <c r="A14" s="197">
        <v>2</v>
      </c>
      <c r="B14" s="198" t="s">
        <v>366</v>
      </c>
      <c r="C14" s="198" t="s">
        <v>367</v>
      </c>
      <c r="D14" s="198" t="s">
        <v>62</v>
      </c>
      <c r="E14" s="245" t="s">
        <v>761</v>
      </c>
      <c r="F14" s="201">
        <v>140000</v>
      </c>
    </row>
    <row r="15" spans="1:9" ht="48.75" thickTop="1" thickBot="1" x14ac:dyDescent="0.25">
      <c r="A15" s="197">
        <v>3</v>
      </c>
      <c r="B15" s="198" t="s">
        <v>366</v>
      </c>
      <c r="C15" s="198" t="s">
        <v>367</v>
      </c>
      <c r="D15" s="198" t="s">
        <v>62</v>
      </c>
      <c r="E15" s="245" t="s">
        <v>762</v>
      </c>
      <c r="F15" s="201">
        <v>48106</v>
      </c>
    </row>
    <row r="16" spans="1:9" ht="17.25" thickTop="1" thickBot="1" x14ac:dyDescent="0.25">
      <c r="A16" s="197">
        <v>4</v>
      </c>
      <c r="B16" s="198" t="s">
        <v>366</v>
      </c>
      <c r="C16" s="198" t="s">
        <v>367</v>
      </c>
      <c r="D16" s="198" t="s">
        <v>62</v>
      </c>
      <c r="E16" s="246" t="s">
        <v>763</v>
      </c>
      <c r="F16" s="201">
        <v>150000</v>
      </c>
    </row>
    <row r="17" spans="1:7" ht="48.75" thickTop="1" thickBot="1" x14ac:dyDescent="0.25">
      <c r="A17" s="197">
        <v>5</v>
      </c>
      <c r="B17" s="244">
        <v>2818312</v>
      </c>
      <c r="C17" s="244">
        <v>8312</v>
      </c>
      <c r="D17" s="198" t="s">
        <v>644</v>
      </c>
      <c r="E17" s="198" t="s">
        <v>620</v>
      </c>
      <c r="F17" s="199">
        <v>70000</v>
      </c>
    </row>
    <row r="18" spans="1:7" ht="48.75" thickTop="1" thickBot="1" x14ac:dyDescent="0.25">
      <c r="A18" s="197">
        <v>6</v>
      </c>
      <c r="B18" s="198" t="s">
        <v>759</v>
      </c>
      <c r="C18" s="198" t="s">
        <v>757</v>
      </c>
      <c r="D18" s="198" t="s">
        <v>760</v>
      </c>
      <c r="E18" s="246" t="s">
        <v>764</v>
      </c>
      <c r="F18" s="199">
        <v>48670</v>
      </c>
    </row>
    <row r="19" spans="1:7" ht="33" thickTop="1" thickBot="1" x14ac:dyDescent="0.25">
      <c r="A19" s="197">
        <v>7</v>
      </c>
      <c r="B19" s="198" t="s">
        <v>759</v>
      </c>
      <c r="C19" s="198" t="s">
        <v>757</v>
      </c>
      <c r="D19" s="198" t="s">
        <v>760</v>
      </c>
      <c r="E19" s="198" t="s">
        <v>765</v>
      </c>
      <c r="F19" s="199">
        <v>15000</v>
      </c>
    </row>
    <row r="20" spans="1:7" ht="80.45" customHeight="1" thickTop="1" thickBot="1" x14ac:dyDescent="0.25">
      <c r="A20" s="197">
        <v>8</v>
      </c>
      <c r="B20" s="198" t="s">
        <v>368</v>
      </c>
      <c r="C20" s="198" t="s">
        <v>369</v>
      </c>
      <c r="D20" s="198" t="s">
        <v>64</v>
      </c>
      <c r="E20" s="198" t="s">
        <v>496</v>
      </c>
      <c r="F20" s="199">
        <f>30000+34187.28</f>
        <v>64187.28</v>
      </c>
    </row>
    <row r="21" spans="1:7" ht="80.45" customHeight="1" thickTop="1" thickBot="1" x14ac:dyDescent="0.25">
      <c r="A21" s="197">
        <v>9</v>
      </c>
      <c r="B21" s="198" t="s">
        <v>368</v>
      </c>
      <c r="C21" s="198" t="s">
        <v>369</v>
      </c>
      <c r="D21" s="198" t="s">
        <v>64</v>
      </c>
      <c r="E21" s="245" t="s">
        <v>899</v>
      </c>
      <c r="F21" s="201">
        <v>30000</v>
      </c>
    </row>
    <row r="22" spans="1:7" ht="17.25" thickTop="1" thickBot="1" x14ac:dyDescent="0.25">
      <c r="A22" s="204" t="s">
        <v>470</v>
      </c>
      <c r="B22" s="204" t="s">
        <v>470</v>
      </c>
      <c r="C22" s="204" t="s">
        <v>470</v>
      </c>
      <c r="D22" s="204" t="s">
        <v>470</v>
      </c>
      <c r="E22" s="205" t="s">
        <v>480</v>
      </c>
      <c r="F22" s="206">
        <f>SUM(F12:F21)</f>
        <v>965963.28</v>
      </c>
      <c r="G22" s="196" t="b">
        <f>F22='d3'!J165+'d3'!J166+'d3'!J167+'d3'!J168</f>
        <v>1</v>
      </c>
    </row>
    <row r="23" spans="1:7" ht="16.5" thickTop="1" x14ac:dyDescent="0.2">
      <c r="A23" s="98"/>
      <c r="B23" s="98"/>
      <c r="C23" s="98"/>
      <c r="D23" s="98"/>
      <c r="E23" s="98"/>
      <c r="F23" s="99"/>
    </row>
    <row r="24" spans="1:7" s="159" customFormat="1" ht="15.75" x14ac:dyDescent="0.2">
      <c r="A24" s="122"/>
      <c r="B24" s="122" t="s">
        <v>1005</v>
      </c>
      <c r="C24" s="122"/>
      <c r="D24" s="122"/>
      <c r="E24" s="122"/>
      <c r="F24" s="123" t="s">
        <v>1000</v>
      </c>
    </row>
    <row r="25" spans="1:7" ht="27" hidden="1" customHeight="1" x14ac:dyDescent="0.2">
      <c r="A25" s="644" t="s">
        <v>920</v>
      </c>
      <c r="B25" s="645"/>
      <c r="C25" s="645"/>
      <c r="D25" s="645"/>
      <c r="E25" s="122"/>
      <c r="F25" s="124" t="s">
        <v>921</v>
      </c>
    </row>
    <row r="26" spans="1:7" ht="15.75" x14ac:dyDescent="0.2">
      <c r="A26" s="287"/>
      <c r="B26" s="287"/>
      <c r="C26" s="287"/>
      <c r="D26" s="287"/>
      <c r="E26" s="122"/>
      <c r="F26" s="123"/>
    </row>
    <row r="27" spans="1:7" ht="15.75" x14ac:dyDescent="0.25">
      <c r="A27" s="647"/>
      <c r="B27" s="647"/>
      <c r="C27" s="647"/>
      <c r="D27" s="647"/>
      <c r="E27" s="96"/>
      <c r="F27" s="96"/>
    </row>
    <row r="28" spans="1:7" ht="15.75" x14ac:dyDescent="0.2">
      <c r="A28" s="646"/>
      <c r="B28" s="646"/>
      <c r="C28" s="646"/>
      <c r="D28" s="646"/>
      <c r="E28" s="646"/>
      <c r="F28" s="97"/>
    </row>
    <row r="85" spans="7:7" x14ac:dyDescent="0.2">
      <c r="G85" s="525"/>
    </row>
    <row r="86" spans="7:7" x14ac:dyDescent="0.2">
      <c r="G86" s="525"/>
    </row>
    <row r="146" spans="7:10" ht="46.5" x14ac:dyDescent="0.65">
      <c r="J146" s="112"/>
    </row>
    <row r="149" spans="7:10" ht="46.5" x14ac:dyDescent="0.65">
      <c r="G149" s="112"/>
      <c r="J149" s="112"/>
    </row>
    <row r="168" spans="11:11" ht="90" x14ac:dyDescent="1.1499999999999999">
      <c r="K168" s="140" t="b">
        <f>G168=H168+I168</f>
        <v>1</v>
      </c>
    </row>
  </sheetData>
  <mergeCells count="10">
    <mergeCell ref="A25:D25"/>
    <mergeCell ref="A28:E28"/>
    <mergeCell ref="G85:G86"/>
    <mergeCell ref="A27:D27"/>
    <mergeCell ref="F3:I3"/>
    <mergeCell ref="A4:F4"/>
    <mergeCell ref="A5:F5"/>
    <mergeCell ref="A6:F6"/>
    <mergeCell ref="A8:B8"/>
    <mergeCell ref="A9:B9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37"/>
  <sheetViews>
    <sheetView view="pageBreakPreview" zoomScale="10" zoomScaleNormal="25" zoomScaleSheetLayoutView="10" zoomScalePageLayoutView="10" workbookViewId="0">
      <pane ySplit="13" topLeftCell="A174" activePane="bottomLeft" state="frozen"/>
      <selection activeCell="F175" sqref="F175"/>
      <selection pane="bottomLeft" activeCell="J44" sqref="J44"/>
    </sheetView>
  </sheetViews>
  <sheetFormatPr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113.85546875" style="5" customWidth="1"/>
    <col min="6" max="6" width="114" style="1" customWidth="1"/>
    <col min="7" max="7" width="55.42578125" style="1" customWidth="1"/>
    <col min="8" max="8" width="63.5703125" style="1" customWidth="1"/>
    <col min="9" max="9" width="62.140625" style="1" customWidth="1"/>
    <col min="10" max="10" width="70.28515625" style="5" customWidth="1"/>
    <col min="11" max="11" width="62.28515625" style="359" customWidth="1"/>
    <col min="12" max="12" width="52.7109375" style="359" bestFit="1" customWidth="1"/>
    <col min="13" max="13" width="51" style="359" bestFit="1" customWidth="1"/>
    <col min="14" max="16" width="9.140625" style="359"/>
    <col min="17" max="17" width="70.28515625" style="359" customWidth="1"/>
    <col min="18" max="16384" width="9.140625" style="359"/>
  </cols>
  <sheetData>
    <row r="1" spans="1:13" ht="45.75" x14ac:dyDescent="0.2">
      <c r="D1" s="366"/>
      <c r="E1" s="367"/>
      <c r="F1" s="365"/>
      <c r="G1" s="367"/>
      <c r="H1" s="367"/>
      <c r="I1" s="547" t="s">
        <v>495</v>
      </c>
      <c r="J1" s="547"/>
    </row>
    <row r="2" spans="1:13" ht="45.75" x14ac:dyDescent="0.2">
      <c r="A2" s="366"/>
      <c r="B2" s="366"/>
      <c r="C2" s="366"/>
      <c r="D2" s="366"/>
      <c r="E2" s="367"/>
      <c r="F2" s="365"/>
      <c r="G2" s="367"/>
      <c r="H2" s="367"/>
      <c r="I2" s="547" t="s">
        <v>1012</v>
      </c>
      <c r="J2" s="549"/>
    </row>
    <row r="3" spans="1:13" ht="40.700000000000003" customHeight="1" x14ac:dyDescent="0.2">
      <c r="A3" s="366"/>
      <c r="B3" s="366"/>
      <c r="C3" s="366"/>
      <c r="D3" s="366"/>
      <c r="E3" s="367"/>
      <c r="F3" s="365"/>
      <c r="G3" s="367"/>
      <c r="H3" s="367"/>
      <c r="I3" s="547"/>
      <c r="J3" s="549"/>
    </row>
    <row r="4" spans="1:13" ht="45.75" hidden="1" x14ac:dyDescent="0.2">
      <c r="A4" s="366"/>
      <c r="B4" s="366"/>
      <c r="C4" s="366"/>
      <c r="D4" s="366"/>
      <c r="E4" s="367"/>
      <c r="F4" s="365"/>
      <c r="G4" s="367"/>
      <c r="H4" s="367"/>
      <c r="I4" s="366"/>
      <c r="J4" s="365"/>
    </row>
    <row r="5" spans="1:13" ht="45" x14ac:dyDescent="0.2">
      <c r="A5" s="550" t="s">
        <v>583</v>
      </c>
      <c r="B5" s="550"/>
      <c r="C5" s="550"/>
      <c r="D5" s="550"/>
      <c r="E5" s="550"/>
      <c r="F5" s="550"/>
      <c r="G5" s="550"/>
      <c r="H5" s="550"/>
      <c r="I5" s="550"/>
      <c r="J5" s="550"/>
    </row>
    <row r="6" spans="1:13" ht="45" x14ac:dyDescent="0.2">
      <c r="A6" s="367"/>
      <c r="B6" s="367"/>
      <c r="C6" s="367"/>
      <c r="D6" s="367"/>
      <c r="E6" s="367"/>
      <c r="F6" s="367"/>
      <c r="G6" s="367"/>
      <c r="H6" s="367"/>
      <c r="I6" s="367"/>
      <c r="J6" s="367"/>
    </row>
    <row r="7" spans="1:13" ht="45" x14ac:dyDescent="0.2">
      <c r="A7" s="550"/>
      <c r="B7" s="550"/>
      <c r="C7" s="550"/>
      <c r="D7" s="550"/>
      <c r="E7" s="550"/>
      <c r="F7" s="550"/>
      <c r="G7" s="550"/>
      <c r="H7" s="550"/>
      <c r="I7" s="550"/>
      <c r="J7" s="550"/>
    </row>
    <row r="8" spans="1:13" ht="45.75" x14ac:dyDescent="0.65">
      <c r="A8" s="551">
        <v>22201100000</v>
      </c>
      <c r="B8" s="552"/>
      <c r="C8" s="367"/>
      <c r="D8" s="367"/>
      <c r="E8" s="367"/>
      <c r="F8" s="367"/>
      <c r="G8" s="367"/>
      <c r="H8" s="367"/>
      <c r="I8" s="367"/>
      <c r="J8" s="367"/>
    </row>
    <row r="9" spans="1:13" ht="45.75" x14ac:dyDescent="0.2">
      <c r="A9" s="542" t="s">
        <v>698</v>
      </c>
      <c r="B9" s="543"/>
      <c r="C9" s="367"/>
      <c r="D9" s="367"/>
      <c r="E9" s="367"/>
      <c r="F9" s="367"/>
      <c r="G9" s="367"/>
      <c r="H9" s="367"/>
      <c r="I9" s="367"/>
      <c r="J9" s="367"/>
    </row>
    <row r="10" spans="1:13" ht="53.45" customHeight="1" thickBot="1" x14ac:dyDescent="0.25">
      <c r="A10" s="367"/>
      <c r="B10" s="367"/>
      <c r="C10" s="367"/>
      <c r="D10" s="367"/>
      <c r="E10" s="367"/>
      <c r="F10" s="365"/>
      <c r="G10" s="367"/>
      <c r="H10" s="367"/>
      <c r="I10" s="367"/>
      <c r="J10" s="6" t="s">
        <v>493</v>
      </c>
    </row>
    <row r="11" spans="1:13" ht="104.25" customHeight="1" thickTop="1" thickBot="1" x14ac:dyDescent="0.25">
      <c r="A11" s="544" t="s">
        <v>699</v>
      </c>
      <c r="B11" s="544" t="s">
        <v>700</v>
      </c>
      <c r="C11" s="544" t="s">
        <v>479</v>
      </c>
      <c r="D11" s="544" t="s">
        <v>701</v>
      </c>
      <c r="E11" s="544" t="s">
        <v>709</v>
      </c>
      <c r="F11" s="544" t="s">
        <v>710</v>
      </c>
      <c r="G11" s="544" t="s">
        <v>472</v>
      </c>
      <c r="H11" s="544" t="s">
        <v>14</v>
      </c>
      <c r="I11" s="545" t="s">
        <v>65</v>
      </c>
      <c r="J11" s="553"/>
    </row>
    <row r="12" spans="1:13" ht="325.5" customHeight="1" thickTop="1" thickBot="1" x14ac:dyDescent="0.25">
      <c r="A12" s="545"/>
      <c r="B12" s="546"/>
      <c r="C12" s="546"/>
      <c r="D12" s="545"/>
      <c r="E12" s="545"/>
      <c r="F12" s="545"/>
      <c r="G12" s="545"/>
      <c r="H12" s="545"/>
      <c r="I12" s="368" t="s">
        <v>473</v>
      </c>
      <c r="J12" s="368" t="s">
        <v>474</v>
      </c>
    </row>
    <row r="13" spans="1:13" s="2" customFormat="1" ht="111" customHeight="1" thickTop="1" thickBot="1" x14ac:dyDescent="0.25">
      <c r="A13" s="174" t="s">
        <v>3</v>
      </c>
      <c r="B13" s="174" t="s">
        <v>4</v>
      </c>
      <c r="C13" s="174" t="s">
        <v>16</v>
      </c>
      <c r="D13" s="174" t="s">
        <v>6</v>
      </c>
      <c r="E13" s="174" t="s">
        <v>481</v>
      </c>
      <c r="F13" s="174" t="s">
        <v>482</v>
      </c>
      <c r="G13" s="174" t="s">
        <v>483</v>
      </c>
      <c r="H13" s="174" t="s">
        <v>484</v>
      </c>
      <c r="I13" s="174" t="s">
        <v>485</v>
      </c>
      <c r="J13" s="174" t="s">
        <v>486</v>
      </c>
    </row>
    <row r="14" spans="1:13" s="2" customFormat="1" ht="148.5" customHeight="1" thickTop="1" thickBot="1" x14ac:dyDescent="0.25">
      <c r="A14" s="451" t="s">
        <v>188</v>
      </c>
      <c r="B14" s="451"/>
      <c r="C14" s="451"/>
      <c r="D14" s="452" t="s">
        <v>190</v>
      </c>
      <c r="E14" s="453"/>
      <c r="F14" s="454"/>
      <c r="G14" s="454">
        <f>G15</f>
        <v>20800746</v>
      </c>
      <c r="H14" s="454">
        <f t="shared" ref="H14:J14" si="0">H15</f>
        <v>12670300</v>
      </c>
      <c r="I14" s="453">
        <f>I15</f>
        <v>8130446</v>
      </c>
      <c r="J14" s="453">
        <f t="shared" si="0"/>
        <v>5396946</v>
      </c>
      <c r="K14" s="149" t="b">
        <f>H14='d3'!E17-'d3'!E18-'d3'!E22-'d3'!E20+H16</f>
        <v>1</v>
      </c>
      <c r="L14" s="149" t="b">
        <f>I14='d3'!J17-'d3'!J18-'d3'!J22+I16</f>
        <v>1</v>
      </c>
      <c r="M14" s="149" t="b">
        <f>J14='d3'!K17-'d3'!K18-'d3'!K22+J16</f>
        <v>1</v>
      </c>
    </row>
    <row r="15" spans="1:13" s="2" customFormat="1" ht="157.5" customHeight="1" thickTop="1" thickBot="1" x14ac:dyDescent="0.25">
      <c r="A15" s="455" t="s">
        <v>189</v>
      </c>
      <c r="B15" s="455"/>
      <c r="C15" s="455"/>
      <c r="D15" s="456" t="s">
        <v>191</v>
      </c>
      <c r="E15" s="457"/>
      <c r="F15" s="458"/>
      <c r="G15" s="458">
        <f>SUM(G16:G33)</f>
        <v>20800746</v>
      </c>
      <c r="H15" s="458">
        <f>SUM(H16:H33)</f>
        <v>12670300</v>
      </c>
      <c r="I15" s="458">
        <f>SUM(I16:I32)</f>
        <v>8130446</v>
      </c>
      <c r="J15" s="458">
        <f>SUM(J16:J33)</f>
        <v>5396946</v>
      </c>
    </row>
    <row r="16" spans="1:13" ht="367.5" thickTop="1" thickBot="1" x14ac:dyDescent="0.25">
      <c r="A16" s="378" t="s">
        <v>282</v>
      </c>
      <c r="B16" s="378" t="s">
        <v>283</v>
      </c>
      <c r="C16" s="378" t="s">
        <v>284</v>
      </c>
      <c r="D16" s="378" t="s">
        <v>281</v>
      </c>
      <c r="E16" s="321" t="s">
        <v>525</v>
      </c>
      <c r="F16" s="379" t="s">
        <v>524</v>
      </c>
      <c r="G16" s="379">
        <f>H16+I16</f>
        <v>773300</v>
      </c>
      <c r="H16" s="374">
        <f>(99000)</f>
        <v>99000</v>
      </c>
      <c r="I16" s="379">
        <f>(275000+51000)+249300+99000</f>
        <v>674300</v>
      </c>
      <c r="J16" s="379">
        <f>(275000+51000)+249300+99000</f>
        <v>674300</v>
      </c>
      <c r="K16" s="151"/>
      <c r="L16" s="148"/>
      <c r="M16" s="359">
        <v>46530</v>
      </c>
    </row>
    <row r="17" spans="1:13" ht="184.5" thickTop="1" thickBot="1" x14ac:dyDescent="0.25">
      <c r="A17" s="378" t="s">
        <v>297</v>
      </c>
      <c r="B17" s="378" t="s">
        <v>53</v>
      </c>
      <c r="C17" s="378" t="s">
        <v>52</v>
      </c>
      <c r="D17" s="378" t="s">
        <v>298</v>
      </c>
      <c r="E17" s="321" t="s">
        <v>731</v>
      </c>
      <c r="F17" s="251" t="s">
        <v>744</v>
      </c>
      <c r="G17" s="379">
        <f>H17+I17</f>
        <v>840000</v>
      </c>
      <c r="H17" s="374">
        <f>(1500000)-660000</f>
        <v>840000</v>
      </c>
      <c r="I17" s="379"/>
      <c r="J17" s="379"/>
      <c r="K17" s="149" t="b">
        <f>H20+H18+H17+H19='d3'!E19</f>
        <v>1</v>
      </c>
      <c r="L17" s="149" t="b">
        <f>I20+I18+I17='d3'!J19</f>
        <v>1</v>
      </c>
      <c r="M17" s="149" t="b">
        <f>J20+J18+J17='d3'!K19</f>
        <v>1</v>
      </c>
    </row>
    <row r="18" spans="1:13" ht="138.75" thickTop="1" thickBot="1" x14ac:dyDescent="0.25">
      <c r="A18" s="378" t="s">
        <v>297</v>
      </c>
      <c r="B18" s="378" t="s">
        <v>53</v>
      </c>
      <c r="C18" s="378" t="s">
        <v>52</v>
      </c>
      <c r="D18" s="378" t="s">
        <v>298</v>
      </c>
      <c r="E18" s="321" t="s">
        <v>732</v>
      </c>
      <c r="F18" s="251" t="s">
        <v>733</v>
      </c>
      <c r="G18" s="379">
        <f>H18+I18</f>
        <v>1602750</v>
      </c>
      <c r="H18" s="374">
        <f>(1672750)+61050-70000-61050</f>
        <v>1602750</v>
      </c>
      <c r="I18" s="379"/>
      <c r="J18" s="379"/>
    </row>
    <row r="19" spans="1:13" ht="184.5" thickTop="1" thickBot="1" x14ac:dyDescent="0.25">
      <c r="A19" s="378" t="s">
        <v>297</v>
      </c>
      <c r="B19" s="378" t="s">
        <v>53</v>
      </c>
      <c r="C19" s="378" t="s">
        <v>52</v>
      </c>
      <c r="D19" s="378" t="s">
        <v>298</v>
      </c>
      <c r="E19" s="321" t="s">
        <v>988</v>
      </c>
      <c r="F19" s="251" t="s">
        <v>989</v>
      </c>
      <c r="G19" s="379">
        <f t="shared" ref="G19" si="1">H19+I19</f>
        <v>61050</v>
      </c>
      <c r="H19" s="374">
        <v>61050</v>
      </c>
      <c r="I19" s="379"/>
      <c r="J19" s="379"/>
    </row>
    <row r="20" spans="1:13" ht="409.6" thickTop="1" thickBot="1" x14ac:dyDescent="0.25">
      <c r="A20" s="378" t="s">
        <v>297</v>
      </c>
      <c r="B20" s="378" t="s">
        <v>53</v>
      </c>
      <c r="C20" s="378" t="s">
        <v>52</v>
      </c>
      <c r="D20" s="378" t="s">
        <v>298</v>
      </c>
      <c r="E20" s="321" t="s">
        <v>990</v>
      </c>
      <c r="F20" s="251" t="s">
        <v>991</v>
      </c>
      <c r="G20" s="379">
        <f>H20+I20</f>
        <v>50000</v>
      </c>
      <c r="H20" s="374">
        <v>50000</v>
      </c>
      <c r="I20" s="379"/>
      <c r="J20" s="379"/>
    </row>
    <row r="21" spans="1:13" ht="230.25" thickTop="1" thickBot="1" x14ac:dyDescent="0.25">
      <c r="A21" s="378" t="s">
        <v>288</v>
      </c>
      <c r="B21" s="378" t="s">
        <v>289</v>
      </c>
      <c r="C21" s="378" t="s">
        <v>290</v>
      </c>
      <c r="D21" s="378" t="s">
        <v>287</v>
      </c>
      <c r="E21" s="321" t="s">
        <v>525</v>
      </c>
      <c r="F21" s="379" t="s">
        <v>524</v>
      </c>
      <c r="G21" s="379">
        <f>H21+I21</f>
        <v>5428746</v>
      </c>
      <c r="H21" s="379">
        <f>'d3'!E21</f>
        <v>4094100</v>
      </c>
      <c r="I21" s="379">
        <f>'d3'!J21</f>
        <v>1334646</v>
      </c>
      <c r="J21" s="379">
        <f>'d3'!K21</f>
        <v>1334646</v>
      </c>
      <c r="K21" s="149" t="b">
        <f>H21='d3'!E21</f>
        <v>1</v>
      </c>
      <c r="L21" s="131" t="b">
        <f>I21='d3'!J21</f>
        <v>1</v>
      </c>
      <c r="M21" s="132" t="b">
        <f>J21='d3'!K21</f>
        <v>1</v>
      </c>
    </row>
    <row r="22" spans="1:13" ht="138.75" hidden="1" thickTop="1" thickBot="1" x14ac:dyDescent="0.25">
      <c r="A22" s="218" t="s">
        <v>387</v>
      </c>
      <c r="B22" s="219" t="s">
        <v>243</v>
      </c>
      <c r="C22" s="219" t="s">
        <v>210</v>
      </c>
      <c r="D22" s="218" t="s">
        <v>42</v>
      </c>
      <c r="E22" s="224"/>
      <c r="F22" s="223"/>
      <c r="G22" s="223">
        <f t="shared" ref="G22" si="2">H22+I22</f>
        <v>0</v>
      </c>
      <c r="H22" s="223"/>
      <c r="I22" s="223"/>
      <c r="J22" s="223"/>
    </row>
    <row r="23" spans="1:13" ht="409.6" thickTop="1" thickBot="1" x14ac:dyDescent="0.7">
      <c r="A23" s="650" t="s">
        <v>413</v>
      </c>
      <c r="B23" s="650" t="s">
        <v>412</v>
      </c>
      <c r="C23" s="650" t="s">
        <v>210</v>
      </c>
      <c r="D23" s="234" t="s">
        <v>585</v>
      </c>
      <c r="E23" s="651" t="s">
        <v>732</v>
      </c>
      <c r="F23" s="651" t="s">
        <v>733</v>
      </c>
      <c r="G23" s="653">
        <f>H23+I23</f>
        <v>2733500</v>
      </c>
      <c r="H23" s="653">
        <f>'d3'!E23:E24</f>
        <v>0</v>
      </c>
      <c r="I23" s="653">
        <f>'d3'!J23</f>
        <v>2733500</v>
      </c>
      <c r="J23" s="653">
        <f>'d3'!K23</f>
        <v>0</v>
      </c>
      <c r="K23" s="149" t="b">
        <f>H23='d3'!E23</f>
        <v>1</v>
      </c>
      <c r="L23" s="131" t="b">
        <f>I23='d3'!J23</f>
        <v>1</v>
      </c>
      <c r="M23" s="132" t="b">
        <f>J23='d3'!K23</f>
        <v>1</v>
      </c>
    </row>
    <row r="24" spans="1:13" ht="184.5" thickTop="1" thickBot="1" x14ac:dyDescent="0.25">
      <c r="A24" s="641"/>
      <c r="B24" s="641"/>
      <c r="C24" s="641"/>
      <c r="D24" s="235" t="s">
        <v>586</v>
      </c>
      <c r="E24" s="652"/>
      <c r="F24" s="652"/>
      <c r="G24" s="652"/>
      <c r="H24" s="652"/>
      <c r="I24" s="652"/>
      <c r="J24" s="652"/>
    </row>
    <row r="25" spans="1:13" ht="321.75" hidden="1" thickTop="1" thickBot="1" x14ac:dyDescent="0.25">
      <c r="A25" s="378" t="s">
        <v>734</v>
      </c>
      <c r="B25" s="378" t="s">
        <v>308</v>
      </c>
      <c r="C25" s="378" t="s">
        <v>210</v>
      </c>
      <c r="D25" s="378" t="s">
        <v>306</v>
      </c>
      <c r="E25" s="379" t="s">
        <v>596</v>
      </c>
      <c r="F25" s="251" t="s">
        <v>543</v>
      </c>
      <c r="G25" s="223">
        <f>H25+I25</f>
        <v>0</v>
      </c>
      <c r="H25" s="223">
        <f>'d3'!E25</f>
        <v>0</v>
      </c>
      <c r="I25" s="223">
        <f>'d3'!J25</f>
        <v>0</v>
      </c>
      <c r="J25" s="223">
        <f>'d3'!K25</f>
        <v>0</v>
      </c>
      <c r="K25" s="149" t="b">
        <f>H25='d3'!E25</f>
        <v>1</v>
      </c>
      <c r="L25" s="131" t="b">
        <f>I25='d3'!J25</f>
        <v>1</v>
      </c>
      <c r="M25" s="132" t="b">
        <f>J25='d3'!K25</f>
        <v>1</v>
      </c>
    </row>
    <row r="26" spans="1:13" ht="276" thickTop="1" thickBot="1" x14ac:dyDescent="0.25">
      <c r="A26" s="378" t="s">
        <v>291</v>
      </c>
      <c r="B26" s="378" t="s">
        <v>292</v>
      </c>
      <c r="C26" s="378" t="s">
        <v>293</v>
      </c>
      <c r="D26" s="378" t="s">
        <v>294</v>
      </c>
      <c r="E26" s="379" t="s">
        <v>769</v>
      </c>
      <c r="F26" s="379" t="s">
        <v>526</v>
      </c>
      <c r="G26" s="379">
        <f>H26+I26</f>
        <v>5313400</v>
      </c>
      <c r="H26" s="379">
        <f>'d3'!E26</f>
        <v>5313400</v>
      </c>
      <c r="I26" s="379">
        <f>'d3'!J26</f>
        <v>0</v>
      </c>
      <c r="J26" s="379">
        <f>'d3'!K26</f>
        <v>0</v>
      </c>
      <c r="K26" s="149" t="b">
        <f>H26='d3'!E26</f>
        <v>1</v>
      </c>
      <c r="L26" s="131" t="b">
        <f>I26='d3'!J26</f>
        <v>1</v>
      </c>
      <c r="M26" s="132" t="b">
        <f>J26='d3'!K26</f>
        <v>1</v>
      </c>
    </row>
    <row r="27" spans="1:13" ht="321.75" thickTop="1" thickBot="1" x14ac:dyDescent="0.25">
      <c r="A27" s="378" t="s">
        <v>295</v>
      </c>
      <c r="B27" s="378" t="s">
        <v>296</v>
      </c>
      <c r="C27" s="378" t="s">
        <v>53</v>
      </c>
      <c r="D27" s="378" t="s">
        <v>590</v>
      </c>
      <c r="E27" s="321" t="s">
        <v>732</v>
      </c>
      <c r="F27" s="251" t="s">
        <v>733</v>
      </c>
      <c r="G27" s="379">
        <f>H27+I27</f>
        <v>200000</v>
      </c>
      <c r="H27" s="374">
        <f>'d3'!E27</f>
        <v>200000</v>
      </c>
      <c r="I27" s="379">
        <f>'d3'!J27</f>
        <v>0</v>
      </c>
      <c r="J27" s="379">
        <f>'d3'!K27</f>
        <v>0</v>
      </c>
      <c r="K27" s="149" t="b">
        <f>H27='d3'!E27</f>
        <v>1</v>
      </c>
      <c r="L27" s="131" t="b">
        <f>I27='d3'!J27</f>
        <v>1</v>
      </c>
      <c r="M27" s="132" t="b">
        <f>J27='d3'!K27</f>
        <v>1</v>
      </c>
    </row>
    <row r="28" spans="1:13" ht="373.5" thickTop="1" thickBot="1" x14ac:dyDescent="0.25">
      <c r="A28" s="378" t="s">
        <v>735</v>
      </c>
      <c r="B28" s="378" t="s">
        <v>736</v>
      </c>
      <c r="C28" s="378" t="s">
        <v>53</v>
      </c>
      <c r="D28" s="378" t="s">
        <v>737</v>
      </c>
      <c r="E28" s="227" t="s">
        <v>992</v>
      </c>
      <c r="F28" s="251" t="s">
        <v>993</v>
      </c>
      <c r="G28" s="379">
        <f t="shared" ref="G28:G33" si="3">H28+I28</f>
        <v>250000</v>
      </c>
      <c r="H28" s="379">
        <f>150000+60000</f>
        <v>210000</v>
      </c>
      <c r="I28" s="379">
        <v>40000</v>
      </c>
      <c r="J28" s="379">
        <v>40000</v>
      </c>
      <c r="K28" s="149" t="b">
        <f>H28+H29+H31+H32+H33+H30='d3'!E28</f>
        <v>1</v>
      </c>
      <c r="L28" s="131" t="b">
        <f>I28+I29+I31+I32+I33='d3'!J28</f>
        <v>1</v>
      </c>
      <c r="M28" s="241" t="b">
        <f>J28+J29+J31+J32+J33='d3'!K28</f>
        <v>1</v>
      </c>
    </row>
    <row r="29" spans="1:13" ht="409.6" thickTop="1" thickBot="1" x14ac:dyDescent="0.25">
      <c r="A29" s="378" t="s">
        <v>735</v>
      </c>
      <c r="B29" s="378" t="s">
        <v>736</v>
      </c>
      <c r="C29" s="378" t="s">
        <v>53</v>
      </c>
      <c r="D29" s="378" t="s">
        <v>737</v>
      </c>
      <c r="E29" s="227" t="s">
        <v>738</v>
      </c>
      <c r="F29" s="240" t="s">
        <v>739</v>
      </c>
      <c r="G29" s="379">
        <f t="shared" si="3"/>
        <v>100000</v>
      </c>
      <c r="H29" s="379">
        <v>100000</v>
      </c>
      <c r="I29" s="379">
        <v>0</v>
      </c>
      <c r="J29" s="379">
        <v>0</v>
      </c>
      <c r="K29" s="149"/>
      <c r="L29" s="131"/>
      <c r="M29" s="132"/>
    </row>
    <row r="30" spans="1:13" s="382" customFormat="1" ht="373.5" thickTop="1" thickBot="1" x14ac:dyDescent="0.25">
      <c r="A30" s="387" t="s">
        <v>735</v>
      </c>
      <c r="B30" s="387" t="s">
        <v>736</v>
      </c>
      <c r="C30" s="387" t="s">
        <v>53</v>
      </c>
      <c r="D30" s="387" t="s">
        <v>737</v>
      </c>
      <c r="E30" s="227" t="s">
        <v>975</v>
      </c>
      <c r="F30" s="240" t="s">
        <v>976</v>
      </c>
      <c r="G30" s="386">
        <f t="shared" si="3"/>
        <v>100000</v>
      </c>
      <c r="H30" s="386">
        <v>100000</v>
      </c>
      <c r="I30" s="386"/>
      <c r="J30" s="386"/>
      <c r="K30" s="149"/>
      <c r="L30" s="131"/>
      <c r="M30" s="132"/>
    </row>
    <row r="31" spans="1:13" ht="409.6" thickTop="1" thickBot="1" x14ac:dyDescent="0.25">
      <c r="A31" s="378" t="s">
        <v>735</v>
      </c>
      <c r="B31" s="378" t="s">
        <v>736</v>
      </c>
      <c r="C31" s="378" t="s">
        <v>53</v>
      </c>
      <c r="D31" s="378" t="s">
        <v>737</v>
      </c>
      <c r="E31" s="240" t="s">
        <v>740</v>
      </c>
      <c r="F31" s="240" t="s">
        <v>741</v>
      </c>
      <c r="G31" s="379">
        <f t="shared" si="3"/>
        <v>3048000</v>
      </c>
      <c r="H31" s="379">
        <v>0</v>
      </c>
      <c r="I31" s="379">
        <f>3048000</f>
        <v>3048000</v>
      </c>
      <c r="J31" s="379">
        <f>3048000</f>
        <v>3048000</v>
      </c>
      <c r="K31" s="149"/>
      <c r="L31" s="131"/>
      <c r="M31" s="132"/>
    </row>
    <row r="32" spans="1:13" ht="280.5" thickTop="1" thickBot="1" x14ac:dyDescent="0.25">
      <c r="A32" s="378" t="s">
        <v>735</v>
      </c>
      <c r="B32" s="378" t="s">
        <v>736</v>
      </c>
      <c r="C32" s="378" t="s">
        <v>53</v>
      </c>
      <c r="D32" s="378" t="s">
        <v>737</v>
      </c>
      <c r="E32" s="227" t="s">
        <v>742</v>
      </c>
      <c r="F32" s="240" t="s">
        <v>743</v>
      </c>
      <c r="G32" s="379">
        <f t="shared" si="3"/>
        <v>300000</v>
      </c>
      <c r="H32" s="379">
        <v>0</v>
      </c>
      <c r="I32" s="379">
        <f>300000</f>
        <v>300000</v>
      </c>
      <c r="J32" s="379">
        <f>300000</f>
        <v>300000</v>
      </c>
      <c r="K32" s="149"/>
      <c r="L32" s="131"/>
      <c r="M32" s="132"/>
    </row>
    <row r="33" spans="1:13" ht="409.6" hidden="1" thickTop="1" thickBot="1" x14ac:dyDescent="0.25">
      <c r="A33" s="378" t="s">
        <v>735</v>
      </c>
      <c r="B33" s="378" t="s">
        <v>736</v>
      </c>
      <c r="C33" s="378" t="s">
        <v>53</v>
      </c>
      <c r="D33" s="378" t="s">
        <v>737</v>
      </c>
      <c r="E33" s="379" t="s">
        <v>746</v>
      </c>
      <c r="F33" s="240" t="s">
        <v>745</v>
      </c>
      <c r="G33" s="379">
        <f t="shared" si="3"/>
        <v>0</v>
      </c>
      <c r="H33" s="379"/>
      <c r="I33" s="379">
        <v>0</v>
      </c>
      <c r="J33" s="379">
        <v>0</v>
      </c>
      <c r="K33" s="149"/>
      <c r="L33" s="131"/>
      <c r="M33" s="132"/>
    </row>
    <row r="34" spans="1:13" ht="169.5" customHeight="1" thickTop="1" thickBot="1" x14ac:dyDescent="0.25">
      <c r="A34" s="451" t="s">
        <v>192</v>
      </c>
      <c r="B34" s="451"/>
      <c r="C34" s="451"/>
      <c r="D34" s="452" t="s">
        <v>0</v>
      </c>
      <c r="E34" s="453"/>
      <c r="F34" s="454"/>
      <c r="G34" s="454">
        <f>G35</f>
        <v>1319971524.4400001</v>
      </c>
      <c r="H34" s="454">
        <f t="shared" ref="H34:J34" si="4">H35</f>
        <v>1137901977.75</v>
      </c>
      <c r="I34" s="453">
        <f t="shared" si="4"/>
        <v>182069546.69</v>
      </c>
      <c r="J34" s="453">
        <f t="shared" si="4"/>
        <v>46353586.690000005</v>
      </c>
      <c r="K34" s="149" t="b">
        <f>H34='d3'!E30</f>
        <v>1</v>
      </c>
      <c r="L34" s="131" t="b">
        <f>I34='d3'!J30</f>
        <v>1</v>
      </c>
      <c r="M34" s="132" t="b">
        <f>J34='d3'!K29</f>
        <v>1</v>
      </c>
    </row>
    <row r="35" spans="1:13" ht="172.5" customHeight="1" thickTop="1" thickBot="1" x14ac:dyDescent="0.25">
      <c r="A35" s="455" t="s">
        <v>193</v>
      </c>
      <c r="B35" s="455"/>
      <c r="C35" s="455"/>
      <c r="D35" s="456" t="s">
        <v>1</v>
      </c>
      <c r="E35" s="457"/>
      <c r="F35" s="458"/>
      <c r="G35" s="458">
        <f>SUM(G36:G51)</f>
        <v>1319971524.4400001</v>
      </c>
      <c r="H35" s="458">
        <f>SUM(H36:H51)</f>
        <v>1137901977.75</v>
      </c>
      <c r="I35" s="458">
        <f>SUM(I36:I51)</f>
        <v>182069546.69</v>
      </c>
      <c r="J35" s="458">
        <f>SUM(J36:J51)</f>
        <v>46353586.690000005</v>
      </c>
    </row>
    <row r="36" spans="1:13" ht="145.5" customHeight="1" thickTop="1" thickBot="1" x14ac:dyDescent="0.25">
      <c r="A36" s="378" t="s">
        <v>244</v>
      </c>
      <c r="B36" s="378" t="s">
        <v>245</v>
      </c>
      <c r="C36" s="378" t="s">
        <v>247</v>
      </c>
      <c r="D36" s="378" t="s">
        <v>248</v>
      </c>
      <c r="E36" s="321" t="s">
        <v>532</v>
      </c>
      <c r="F36" s="379" t="s">
        <v>509</v>
      </c>
      <c r="G36" s="379">
        <f t="shared" ref="G36:G46" si="5">H36+I36</f>
        <v>373534411.56999999</v>
      </c>
      <c r="H36" s="379">
        <f>'d3'!E31</f>
        <v>311662166.56999999</v>
      </c>
      <c r="I36" s="379">
        <f>'d3'!J31</f>
        <v>61872245</v>
      </c>
      <c r="J36" s="379">
        <f>'d3'!K31</f>
        <v>6429735</v>
      </c>
    </row>
    <row r="37" spans="1:13" ht="276" thickTop="1" thickBot="1" x14ac:dyDescent="0.25">
      <c r="A37" s="378" t="s">
        <v>249</v>
      </c>
      <c r="B37" s="378" t="s">
        <v>246</v>
      </c>
      <c r="C37" s="378" t="s">
        <v>250</v>
      </c>
      <c r="D37" s="378" t="s">
        <v>712</v>
      </c>
      <c r="E37" s="321" t="s">
        <v>532</v>
      </c>
      <c r="F37" s="379" t="s">
        <v>509</v>
      </c>
      <c r="G37" s="379">
        <f t="shared" si="5"/>
        <v>718934141.76999998</v>
      </c>
      <c r="H37" s="379">
        <f>'d3'!E32-H38-H39</f>
        <v>635945693.96000004</v>
      </c>
      <c r="I37" s="379">
        <f>'d3'!J32-I38-I39</f>
        <v>82988447.810000002</v>
      </c>
      <c r="J37" s="379">
        <f>'d3'!K32-J38-J39</f>
        <v>32075657.809999999</v>
      </c>
    </row>
    <row r="38" spans="1:13" ht="276" thickTop="1" thickBot="1" x14ac:dyDescent="0.25">
      <c r="A38" s="378" t="s">
        <v>249</v>
      </c>
      <c r="B38" s="378" t="s">
        <v>246</v>
      </c>
      <c r="C38" s="378" t="s">
        <v>250</v>
      </c>
      <c r="D38" s="378" t="s">
        <v>712</v>
      </c>
      <c r="E38" s="321" t="s">
        <v>533</v>
      </c>
      <c r="F38" s="379" t="s">
        <v>504</v>
      </c>
      <c r="G38" s="379">
        <f t="shared" si="5"/>
        <v>6261113</v>
      </c>
      <c r="H38" s="379">
        <v>6261113</v>
      </c>
      <c r="I38" s="379">
        <v>0</v>
      </c>
      <c r="J38" s="379">
        <v>0</v>
      </c>
    </row>
    <row r="39" spans="1:13" ht="276" thickTop="1" thickBot="1" x14ac:dyDescent="0.25">
      <c r="A39" s="378" t="s">
        <v>249</v>
      </c>
      <c r="B39" s="378" t="s">
        <v>246</v>
      </c>
      <c r="C39" s="378" t="s">
        <v>250</v>
      </c>
      <c r="D39" s="378" t="s">
        <v>712</v>
      </c>
      <c r="E39" s="321" t="s">
        <v>599</v>
      </c>
      <c r="F39" s="251" t="s">
        <v>600</v>
      </c>
      <c r="G39" s="379">
        <f>H39+I39</f>
        <v>699910</v>
      </c>
      <c r="H39" s="379">
        <f>(55870+201300)+24136</f>
        <v>281306</v>
      </c>
      <c r="I39" s="379">
        <f>(442740)-24136</f>
        <v>418604</v>
      </c>
      <c r="J39" s="379">
        <f>(442740)-24136</f>
        <v>418604</v>
      </c>
    </row>
    <row r="40" spans="1:13" ht="321.75" thickTop="1" thickBot="1" x14ac:dyDescent="0.25">
      <c r="A40" s="378" t="s">
        <v>714</v>
      </c>
      <c r="B40" s="378" t="s">
        <v>251</v>
      </c>
      <c r="C40" s="378" t="s">
        <v>253</v>
      </c>
      <c r="D40" s="378" t="s">
        <v>713</v>
      </c>
      <c r="E40" s="321" t="s">
        <v>532</v>
      </c>
      <c r="F40" s="379" t="s">
        <v>509</v>
      </c>
      <c r="G40" s="379">
        <f t="shared" si="5"/>
        <v>17127541</v>
      </c>
      <c r="H40" s="379">
        <f>'d3'!E33-H41</f>
        <v>17058042</v>
      </c>
      <c r="I40" s="379">
        <f>'d3'!J33-I41</f>
        <v>69499</v>
      </c>
      <c r="J40" s="379">
        <f>'d3'!K33-J41</f>
        <v>18099</v>
      </c>
    </row>
    <row r="41" spans="1:13" ht="321.75" thickTop="1" thickBot="1" x14ac:dyDescent="0.25">
      <c r="A41" s="378" t="s">
        <v>714</v>
      </c>
      <c r="B41" s="378" t="s">
        <v>251</v>
      </c>
      <c r="C41" s="378" t="s">
        <v>253</v>
      </c>
      <c r="D41" s="378" t="s">
        <v>713</v>
      </c>
      <c r="E41" s="321" t="s">
        <v>533</v>
      </c>
      <c r="F41" s="379" t="s">
        <v>504</v>
      </c>
      <c r="G41" s="379">
        <f t="shared" si="5"/>
        <v>1712640</v>
      </c>
      <c r="H41" s="379">
        <v>1680640</v>
      </c>
      <c r="I41" s="379">
        <v>32000</v>
      </c>
      <c r="J41" s="379">
        <v>32000</v>
      </c>
    </row>
    <row r="42" spans="1:13" ht="230.25" thickTop="1" thickBot="1" x14ac:dyDescent="0.25">
      <c r="A42" s="378" t="s">
        <v>254</v>
      </c>
      <c r="B42" s="378" t="s">
        <v>237</v>
      </c>
      <c r="C42" s="378" t="s">
        <v>226</v>
      </c>
      <c r="D42" s="378" t="s">
        <v>715</v>
      </c>
      <c r="E42" s="321" t="s">
        <v>532</v>
      </c>
      <c r="F42" s="379" t="s">
        <v>509</v>
      </c>
      <c r="G42" s="379">
        <f t="shared" si="5"/>
        <v>47591358</v>
      </c>
      <c r="H42" s="379">
        <f>'d3'!E34-H43</f>
        <v>35240048</v>
      </c>
      <c r="I42" s="379">
        <f>'d3'!J34-I43</f>
        <v>12351310</v>
      </c>
      <c r="J42" s="379">
        <f>'d3'!K34-J43</f>
        <v>5119000</v>
      </c>
    </row>
    <row r="43" spans="1:13" ht="230.25" thickTop="1" thickBot="1" x14ac:dyDescent="0.25">
      <c r="A43" s="378" t="s">
        <v>254</v>
      </c>
      <c r="B43" s="378" t="s">
        <v>237</v>
      </c>
      <c r="C43" s="378" t="s">
        <v>226</v>
      </c>
      <c r="D43" s="378" t="s">
        <v>715</v>
      </c>
      <c r="E43" s="321" t="s">
        <v>533</v>
      </c>
      <c r="F43" s="379" t="s">
        <v>504</v>
      </c>
      <c r="G43" s="379">
        <f t="shared" si="5"/>
        <v>45600</v>
      </c>
      <c r="H43" s="379">
        <v>45600</v>
      </c>
      <c r="I43" s="379"/>
      <c r="J43" s="379"/>
    </row>
    <row r="44" spans="1:13" ht="184.5" thickTop="1" thickBot="1" x14ac:dyDescent="0.25">
      <c r="A44" s="378" t="s">
        <v>255</v>
      </c>
      <c r="B44" s="378" t="s">
        <v>256</v>
      </c>
      <c r="C44" s="378" t="s">
        <v>257</v>
      </c>
      <c r="D44" s="378" t="s">
        <v>717</v>
      </c>
      <c r="E44" s="321" t="s">
        <v>532</v>
      </c>
      <c r="F44" s="379" t="s">
        <v>509</v>
      </c>
      <c r="G44" s="379">
        <f t="shared" si="5"/>
        <v>124900010</v>
      </c>
      <c r="H44" s="379">
        <f>'d3'!E35</f>
        <v>102154200</v>
      </c>
      <c r="I44" s="379">
        <f>'d3'!J35</f>
        <v>22745810</v>
      </c>
      <c r="J44" s="379">
        <f>'d3'!K35</f>
        <v>1268000</v>
      </c>
    </row>
    <row r="45" spans="1:13" ht="184.5" thickTop="1" thickBot="1" x14ac:dyDescent="0.25">
      <c r="A45" s="378" t="s">
        <v>258</v>
      </c>
      <c r="B45" s="378" t="s">
        <v>259</v>
      </c>
      <c r="C45" s="378" t="s">
        <v>260</v>
      </c>
      <c r="D45" s="378" t="s">
        <v>718</v>
      </c>
      <c r="E45" s="321" t="s">
        <v>532</v>
      </c>
      <c r="F45" s="379" t="s">
        <v>509</v>
      </c>
      <c r="G45" s="379">
        <f t="shared" si="5"/>
        <v>5146990</v>
      </c>
      <c r="H45" s="379">
        <f>'d3'!E36</f>
        <v>5083490</v>
      </c>
      <c r="I45" s="379">
        <f>'d3'!J36</f>
        <v>63500</v>
      </c>
      <c r="J45" s="379">
        <f>'d3'!K36</f>
        <v>0</v>
      </c>
    </row>
    <row r="46" spans="1:13" ht="175.7" customHeight="1" thickTop="1" thickBot="1" x14ac:dyDescent="0.25">
      <c r="A46" s="378" t="s">
        <v>389</v>
      </c>
      <c r="B46" s="378" t="s">
        <v>390</v>
      </c>
      <c r="C46" s="378" t="s">
        <v>260</v>
      </c>
      <c r="D46" s="378" t="s">
        <v>719</v>
      </c>
      <c r="E46" s="321" t="s">
        <v>532</v>
      </c>
      <c r="F46" s="379" t="s">
        <v>509</v>
      </c>
      <c r="G46" s="379">
        <f t="shared" si="5"/>
        <v>19089520.219999999</v>
      </c>
      <c r="H46" s="379">
        <f>'d3'!E37</f>
        <v>18553880.219999999</v>
      </c>
      <c r="I46" s="379">
        <f>'d3'!J37</f>
        <v>535640</v>
      </c>
      <c r="J46" s="379">
        <f>'d3'!K37</f>
        <v>0</v>
      </c>
    </row>
    <row r="47" spans="1:13" ht="172.5" customHeight="1" thickTop="1" thickBot="1" x14ac:dyDescent="0.25">
      <c r="A47" s="378" t="s">
        <v>410</v>
      </c>
      <c r="B47" s="378" t="s">
        <v>411</v>
      </c>
      <c r="C47" s="378" t="s">
        <v>260</v>
      </c>
      <c r="D47" s="378" t="s">
        <v>409</v>
      </c>
      <c r="E47" s="321" t="s">
        <v>532</v>
      </c>
      <c r="F47" s="379" t="s">
        <v>509</v>
      </c>
      <c r="G47" s="379">
        <f>H47+I47</f>
        <v>118190</v>
      </c>
      <c r="H47" s="379">
        <f>'d3'!E38-H48</f>
        <v>118190</v>
      </c>
      <c r="I47" s="379">
        <f>'d3'!J38-I48</f>
        <v>0</v>
      </c>
      <c r="J47" s="379">
        <f>'d3'!K38-J48</f>
        <v>0</v>
      </c>
    </row>
    <row r="48" spans="1:13" ht="172.5" customHeight="1" thickTop="1" thickBot="1" x14ac:dyDescent="0.25">
      <c r="A48" s="378" t="s">
        <v>410</v>
      </c>
      <c r="B48" s="378" t="s">
        <v>411</v>
      </c>
      <c r="C48" s="378" t="s">
        <v>260</v>
      </c>
      <c r="D48" s="378" t="s">
        <v>409</v>
      </c>
      <c r="E48" s="321" t="s">
        <v>533</v>
      </c>
      <c r="F48" s="379" t="s">
        <v>504</v>
      </c>
      <c r="G48" s="379">
        <f>H48+I48</f>
        <v>38010</v>
      </c>
      <c r="H48" s="379">
        <f>36200+1810</f>
        <v>38010</v>
      </c>
      <c r="I48" s="379"/>
      <c r="J48" s="379"/>
    </row>
    <row r="49" spans="1:13" ht="184.5" thickTop="1" thickBot="1" x14ac:dyDescent="0.25">
      <c r="A49" s="378" t="s">
        <v>544</v>
      </c>
      <c r="B49" s="378" t="s">
        <v>545</v>
      </c>
      <c r="C49" s="378" t="s">
        <v>260</v>
      </c>
      <c r="D49" s="378" t="s">
        <v>546</v>
      </c>
      <c r="E49" s="321" t="s">
        <v>532</v>
      </c>
      <c r="F49" s="379" t="s">
        <v>509</v>
      </c>
      <c r="G49" s="379">
        <f>H49+I49</f>
        <v>3779598</v>
      </c>
      <c r="H49" s="379">
        <f>'d3'!E39</f>
        <v>3779598</v>
      </c>
      <c r="I49" s="379">
        <f>'d3'!J39</f>
        <v>0</v>
      </c>
      <c r="J49" s="379">
        <f>'d3'!K39</f>
        <v>0</v>
      </c>
    </row>
    <row r="50" spans="1:13" ht="367.5" hidden="1" thickTop="1" thickBot="1" x14ac:dyDescent="0.25">
      <c r="A50" s="378" t="s">
        <v>548</v>
      </c>
      <c r="B50" s="378" t="s">
        <v>549</v>
      </c>
      <c r="C50" s="378" t="s">
        <v>230</v>
      </c>
      <c r="D50" s="378" t="s">
        <v>547</v>
      </c>
      <c r="E50" s="321" t="s">
        <v>533</v>
      </c>
      <c r="F50" s="379" t="s">
        <v>504</v>
      </c>
      <c r="G50" s="379">
        <f>H50+I50</f>
        <v>0</v>
      </c>
      <c r="H50" s="379">
        <f>'d3'!E40</f>
        <v>0</v>
      </c>
      <c r="I50" s="379">
        <f>'d3'!J40</f>
        <v>0</v>
      </c>
      <c r="J50" s="379">
        <f>'d3'!K40</f>
        <v>0</v>
      </c>
    </row>
    <row r="51" spans="1:13" ht="184.5" thickTop="1" thickBot="1" x14ac:dyDescent="0.25">
      <c r="A51" s="378" t="s">
        <v>766</v>
      </c>
      <c r="B51" s="378" t="s">
        <v>262</v>
      </c>
      <c r="C51" s="378" t="s">
        <v>263</v>
      </c>
      <c r="D51" s="378" t="s">
        <v>51</v>
      </c>
      <c r="E51" s="321" t="s">
        <v>532</v>
      </c>
      <c r="F51" s="379" t="s">
        <v>509</v>
      </c>
      <c r="G51" s="379">
        <f>H51+I51</f>
        <v>992490.88</v>
      </c>
      <c r="H51" s="379">
        <f>'d3'!E41</f>
        <v>0</v>
      </c>
      <c r="I51" s="379">
        <f>'d3'!J41</f>
        <v>992490.88</v>
      </c>
      <c r="J51" s="379">
        <f>'d3'!K41</f>
        <v>992490.88</v>
      </c>
    </row>
    <row r="52" spans="1:13" ht="160.5" customHeight="1" thickTop="1" thickBot="1" x14ac:dyDescent="0.25">
      <c r="A52" s="451" t="s">
        <v>194</v>
      </c>
      <c r="B52" s="451"/>
      <c r="C52" s="451"/>
      <c r="D52" s="452" t="s">
        <v>22</v>
      </c>
      <c r="E52" s="453"/>
      <c r="F52" s="454"/>
      <c r="G52" s="454">
        <f>G53</f>
        <v>194216594.50999999</v>
      </c>
      <c r="H52" s="454">
        <f t="shared" ref="H52:J52" si="6">H53</f>
        <v>165276089.47999999</v>
      </c>
      <c r="I52" s="453">
        <f t="shared" si="6"/>
        <v>28940505.030000001</v>
      </c>
      <c r="J52" s="453">
        <f t="shared" si="6"/>
        <v>28918505.030000001</v>
      </c>
      <c r="K52" s="149" t="b">
        <f>H52='d3'!E42-'d3'!P44</f>
        <v>1</v>
      </c>
      <c r="L52" s="131" t="b">
        <f>I52='d3'!J42</f>
        <v>1</v>
      </c>
      <c r="M52" s="132" t="b">
        <f>J52='d3'!K42</f>
        <v>1</v>
      </c>
    </row>
    <row r="53" spans="1:13" ht="172.5" customHeight="1" thickTop="1" thickBot="1" x14ac:dyDescent="0.25">
      <c r="A53" s="455" t="s">
        <v>195</v>
      </c>
      <c r="B53" s="455"/>
      <c r="C53" s="455"/>
      <c r="D53" s="456" t="s">
        <v>44</v>
      </c>
      <c r="E53" s="457"/>
      <c r="F53" s="458"/>
      <c r="G53" s="458">
        <f>SUM(G54:G79)</f>
        <v>194216594.50999999</v>
      </c>
      <c r="H53" s="458">
        <f>SUM(H54:H79)</f>
        <v>165276089.47999999</v>
      </c>
      <c r="I53" s="458">
        <f>SUM(I54:I79)</f>
        <v>28940505.030000001</v>
      </c>
      <c r="J53" s="458">
        <f>SUM(J54:J79)</f>
        <v>28918505.030000001</v>
      </c>
    </row>
    <row r="54" spans="1:13" ht="184.5" thickTop="1" thickBot="1" x14ac:dyDescent="0.25">
      <c r="A54" s="378" t="s">
        <v>264</v>
      </c>
      <c r="B54" s="378" t="s">
        <v>261</v>
      </c>
      <c r="C54" s="378" t="s">
        <v>265</v>
      </c>
      <c r="D54" s="378" t="s">
        <v>23</v>
      </c>
      <c r="E54" s="379" t="s">
        <v>564</v>
      </c>
      <c r="F54" s="379" t="s">
        <v>508</v>
      </c>
      <c r="G54" s="653">
        <f>H54+I54</f>
        <v>78933858.060000002</v>
      </c>
      <c r="H54" s="653">
        <f>'d3'!E45-H56</f>
        <v>68846748.060000002</v>
      </c>
      <c r="I54" s="653">
        <f>'d3'!J45-I56</f>
        <v>10087110</v>
      </c>
      <c r="J54" s="653">
        <f>'d3'!K45-J56</f>
        <v>10087110</v>
      </c>
    </row>
    <row r="55" spans="1:13" ht="409.6" thickTop="1" thickBot="1" x14ac:dyDescent="0.25">
      <c r="A55" s="378" t="s">
        <v>264</v>
      </c>
      <c r="B55" s="378" t="s">
        <v>261</v>
      </c>
      <c r="C55" s="378" t="s">
        <v>265</v>
      </c>
      <c r="D55" s="378" t="s">
        <v>23</v>
      </c>
      <c r="E55" s="379" t="s">
        <v>770</v>
      </c>
      <c r="F55" s="379" t="s">
        <v>771</v>
      </c>
      <c r="G55" s="652"/>
      <c r="H55" s="652"/>
      <c r="I55" s="652"/>
      <c r="J55" s="652"/>
    </row>
    <row r="56" spans="1:13" ht="230.25" thickTop="1" thickBot="1" x14ac:dyDescent="0.25">
      <c r="A56" s="378" t="s">
        <v>264</v>
      </c>
      <c r="B56" s="378" t="s">
        <v>261</v>
      </c>
      <c r="C56" s="378" t="s">
        <v>265</v>
      </c>
      <c r="D56" s="378" t="s">
        <v>23</v>
      </c>
      <c r="E56" s="321" t="s">
        <v>599</v>
      </c>
      <c r="F56" s="251" t="s">
        <v>600</v>
      </c>
      <c r="G56" s="379">
        <f>H56+I56</f>
        <v>149000</v>
      </c>
      <c r="H56" s="379">
        <f>149000</f>
        <v>149000</v>
      </c>
      <c r="I56" s="379">
        <v>0</v>
      </c>
      <c r="J56" s="379">
        <v>0</v>
      </c>
    </row>
    <row r="57" spans="1:13" ht="184.5" thickTop="1" thickBot="1" x14ac:dyDescent="0.25">
      <c r="A57" s="378" t="s">
        <v>723</v>
      </c>
      <c r="B57" s="378" t="s">
        <v>726</v>
      </c>
      <c r="C57" s="378" t="s">
        <v>725</v>
      </c>
      <c r="D57" s="378" t="s">
        <v>724</v>
      </c>
      <c r="E57" s="379" t="s">
        <v>564</v>
      </c>
      <c r="F57" s="379" t="s">
        <v>508</v>
      </c>
      <c r="G57" s="653">
        <f>H57+I57</f>
        <v>9550188.3499999996</v>
      </c>
      <c r="H57" s="653">
        <f>'d3'!E46</f>
        <v>9550188.3499999996</v>
      </c>
      <c r="I57" s="653">
        <f>'d3'!J46</f>
        <v>0</v>
      </c>
      <c r="J57" s="653">
        <f>'d3'!K46</f>
        <v>0</v>
      </c>
    </row>
    <row r="58" spans="1:13" ht="409.6" thickTop="1" thickBot="1" x14ac:dyDescent="0.25">
      <c r="A58" s="378" t="s">
        <v>723</v>
      </c>
      <c r="B58" s="378" t="s">
        <v>726</v>
      </c>
      <c r="C58" s="378" t="s">
        <v>725</v>
      </c>
      <c r="D58" s="378" t="s">
        <v>724</v>
      </c>
      <c r="E58" s="379" t="s">
        <v>770</v>
      </c>
      <c r="F58" s="379" t="s">
        <v>771</v>
      </c>
      <c r="G58" s="652"/>
      <c r="H58" s="652"/>
      <c r="I58" s="652"/>
      <c r="J58" s="652"/>
    </row>
    <row r="59" spans="1:13" ht="184.5" thickTop="1" thickBot="1" x14ac:dyDescent="0.25">
      <c r="A59" s="378" t="s">
        <v>266</v>
      </c>
      <c r="B59" s="378" t="s">
        <v>267</v>
      </c>
      <c r="C59" s="378" t="s">
        <v>268</v>
      </c>
      <c r="D59" s="378" t="s">
        <v>269</v>
      </c>
      <c r="E59" s="379" t="s">
        <v>564</v>
      </c>
      <c r="F59" s="379" t="s">
        <v>508</v>
      </c>
      <c r="G59" s="653">
        <f t="shared" ref="G59:G72" si="7">H59+I59</f>
        <v>21375769.399999999</v>
      </c>
      <c r="H59" s="653">
        <f>'d3'!E47-H61</f>
        <v>21375769.399999999</v>
      </c>
      <c r="I59" s="653">
        <f>'d3'!J47-I61</f>
        <v>0</v>
      </c>
      <c r="J59" s="653">
        <f>'d3'!K47-J61</f>
        <v>0</v>
      </c>
    </row>
    <row r="60" spans="1:13" ht="409.6" thickTop="1" thickBot="1" x14ac:dyDescent="0.25">
      <c r="A60" s="378" t="s">
        <v>266</v>
      </c>
      <c r="B60" s="378" t="s">
        <v>267</v>
      </c>
      <c r="C60" s="378" t="s">
        <v>268</v>
      </c>
      <c r="D60" s="378" t="s">
        <v>269</v>
      </c>
      <c r="E60" s="379" t="s">
        <v>770</v>
      </c>
      <c r="F60" s="379" t="s">
        <v>771</v>
      </c>
      <c r="G60" s="652"/>
      <c r="H60" s="652"/>
      <c r="I60" s="652"/>
      <c r="J60" s="652"/>
    </row>
    <row r="61" spans="1:13" ht="230.25" thickTop="1" thickBot="1" x14ac:dyDescent="0.25">
      <c r="A61" s="378" t="s">
        <v>266</v>
      </c>
      <c r="B61" s="378" t="s">
        <v>267</v>
      </c>
      <c r="C61" s="378" t="s">
        <v>268</v>
      </c>
      <c r="D61" s="378" t="s">
        <v>269</v>
      </c>
      <c r="E61" s="321" t="s">
        <v>599</v>
      </c>
      <c r="F61" s="251" t="s">
        <v>600</v>
      </c>
      <c r="G61" s="379">
        <f>H61+I61</f>
        <v>124500</v>
      </c>
      <c r="H61" s="379">
        <f>124500</f>
        <v>124500</v>
      </c>
      <c r="I61" s="379">
        <v>0</v>
      </c>
      <c r="J61" s="379">
        <v>0</v>
      </c>
    </row>
    <row r="62" spans="1:13" ht="184.5" thickTop="1" thickBot="1" x14ac:dyDescent="0.25">
      <c r="A62" s="378" t="s">
        <v>270</v>
      </c>
      <c r="B62" s="378" t="s">
        <v>271</v>
      </c>
      <c r="C62" s="378" t="s">
        <v>272</v>
      </c>
      <c r="D62" s="378" t="s">
        <v>421</v>
      </c>
      <c r="E62" s="379" t="s">
        <v>564</v>
      </c>
      <c r="F62" s="379" t="s">
        <v>508</v>
      </c>
      <c r="G62" s="653">
        <f t="shared" si="7"/>
        <v>26430416</v>
      </c>
      <c r="H62" s="653">
        <f>'d3'!E48-H64</f>
        <v>26430416</v>
      </c>
      <c r="I62" s="653">
        <f>'d3'!J48-I64</f>
        <v>0</v>
      </c>
      <c r="J62" s="653">
        <f>'d3'!K48-J64</f>
        <v>0</v>
      </c>
    </row>
    <row r="63" spans="1:13" ht="409.6" thickTop="1" thickBot="1" x14ac:dyDescent="0.25">
      <c r="A63" s="378" t="s">
        <v>270</v>
      </c>
      <c r="B63" s="378" t="s">
        <v>271</v>
      </c>
      <c r="C63" s="378" t="s">
        <v>272</v>
      </c>
      <c r="D63" s="378" t="s">
        <v>421</v>
      </c>
      <c r="E63" s="379" t="s">
        <v>770</v>
      </c>
      <c r="F63" s="379" t="s">
        <v>771</v>
      </c>
      <c r="G63" s="652"/>
      <c r="H63" s="652"/>
      <c r="I63" s="652"/>
      <c r="J63" s="652"/>
    </row>
    <row r="64" spans="1:13" ht="230.25" thickTop="1" thickBot="1" x14ac:dyDescent="0.25">
      <c r="A64" s="378" t="s">
        <v>270</v>
      </c>
      <c r="B64" s="378" t="s">
        <v>271</v>
      </c>
      <c r="C64" s="378" t="s">
        <v>272</v>
      </c>
      <c r="D64" s="378" t="s">
        <v>421</v>
      </c>
      <c r="E64" s="321" t="s">
        <v>599</v>
      </c>
      <c r="F64" s="251" t="s">
        <v>600</v>
      </c>
      <c r="G64" s="379">
        <f>H64+I64</f>
        <v>148120</v>
      </c>
      <c r="H64" s="379">
        <f>148120</f>
        <v>148120</v>
      </c>
      <c r="I64" s="379">
        <v>0</v>
      </c>
      <c r="J64" s="379">
        <v>0</v>
      </c>
    </row>
    <row r="65" spans="1:13" ht="172.5" customHeight="1" thickTop="1" thickBot="1" x14ac:dyDescent="0.25">
      <c r="A65" s="378" t="s">
        <v>273</v>
      </c>
      <c r="B65" s="378" t="s">
        <v>274</v>
      </c>
      <c r="C65" s="378" t="s">
        <v>275</v>
      </c>
      <c r="D65" s="378" t="s">
        <v>276</v>
      </c>
      <c r="E65" s="379" t="s">
        <v>564</v>
      </c>
      <c r="F65" s="379" t="s">
        <v>508</v>
      </c>
      <c r="G65" s="653">
        <f t="shared" si="7"/>
        <v>6366022</v>
      </c>
      <c r="H65" s="653">
        <f>'d3'!E49-H67</f>
        <v>6366022</v>
      </c>
      <c r="I65" s="653">
        <f>'d3'!J49-I67</f>
        <v>0</v>
      </c>
      <c r="J65" s="653">
        <f>'d3'!K49-J67</f>
        <v>0</v>
      </c>
    </row>
    <row r="66" spans="1:13" ht="409.6" thickTop="1" thickBot="1" x14ac:dyDescent="0.25">
      <c r="A66" s="378" t="s">
        <v>273</v>
      </c>
      <c r="B66" s="378" t="s">
        <v>274</v>
      </c>
      <c r="C66" s="378" t="s">
        <v>275</v>
      </c>
      <c r="D66" s="378" t="s">
        <v>276</v>
      </c>
      <c r="E66" s="379" t="s">
        <v>770</v>
      </c>
      <c r="F66" s="379" t="s">
        <v>771</v>
      </c>
      <c r="G66" s="652"/>
      <c r="H66" s="652"/>
      <c r="I66" s="652"/>
      <c r="J66" s="652"/>
    </row>
    <row r="67" spans="1:13" ht="321.75" thickTop="1" thickBot="1" x14ac:dyDescent="0.25">
      <c r="A67" s="378" t="s">
        <v>273</v>
      </c>
      <c r="B67" s="378" t="s">
        <v>274</v>
      </c>
      <c r="C67" s="378" t="s">
        <v>275</v>
      </c>
      <c r="D67" s="378" t="s">
        <v>276</v>
      </c>
      <c r="E67" s="321" t="s">
        <v>573</v>
      </c>
      <c r="F67" s="379" t="s">
        <v>505</v>
      </c>
      <c r="G67" s="379">
        <f t="shared" si="7"/>
        <v>1200000</v>
      </c>
      <c r="H67" s="379">
        <v>1200000</v>
      </c>
      <c r="I67" s="379"/>
      <c r="J67" s="379"/>
    </row>
    <row r="68" spans="1:13" ht="230.25" thickTop="1" thickBot="1" x14ac:dyDescent="0.25">
      <c r="A68" s="378" t="s">
        <v>277</v>
      </c>
      <c r="B68" s="378" t="s">
        <v>278</v>
      </c>
      <c r="C68" s="378" t="s">
        <v>422</v>
      </c>
      <c r="D68" s="378" t="s">
        <v>279</v>
      </c>
      <c r="E68" s="379" t="s">
        <v>564</v>
      </c>
      <c r="F68" s="379" t="s">
        <v>508</v>
      </c>
      <c r="G68" s="653">
        <f t="shared" si="7"/>
        <v>8846243</v>
      </c>
      <c r="H68" s="653">
        <f>'d3'!E50</f>
        <v>8846243</v>
      </c>
      <c r="I68" s="653">
        <f>'d3'!J50</f>
        <v>0</v>
      </c>
      <c r="J68" s="653">
        <f>'d3'!K50</f>
        <v>0</v>
      </c>
    </row>
    <row r="69" spans="1:13" ht="409.6" thickTop="1" thickBot="1" x14ac:dyDescent="0.25">
      <c r="A69" s="378" t="s">
        <v>277</v>
      </c>
      <c r="B69" s="378" t="s">
        <v>278</v>
      </c>
      <c r="C69" s="378" t="s">
        <v>422</v>
      </c>
      <c r="D69" s="378" t="s">
        <v>279</v>
      </c>
      <c r="E69" s="379" t="s">
        <v>770</v>
      </c>
      <c r="F69" s="379" t="s">
        <v>771</v>
      </c>
      <c r="G69" s="652"/>
      <c r="H69" s="652"/>
      <c r="I69" s="652"/>
      <c r="J69" s="652"/>
    </row>
    <row r="70" spans="1:13" ht="184.5" thickTop="1" thickBot="1" x14ac:dyDescent="0.25">
      <c r="A70" s="378" t="s">
        <v>676</v>
      </c>
      <c r="B70" s="378" t="s">
        <v>677</v>
      </c>
      <c r="C70" s="378" t="s">
        <v>280</v>
      </c>
      <c r="D70" s="378" t="s">
        <v>678</v>
      </c>
      <c r="E70" s="379" t="s">
        <v>564</v>
      </c>
      <c r="F70" s="379" t="s">
        <v>508</v>
      </c>
      <c r="G70" s="653">
        <f t="shared" si="7"/>
        <v>12685096.689999999</v>
      </c>
      <c r="H70" s="653">
        <f>'d3'!E51</f>
        <v>12685096.689999999</v>
      </c>
      <c r="I70" s="653">
        <f>'d3'!J51</f>
        <v>0</v>
      </c>
      <c r="J70" s="653">
        <f>'d3'!K51</f>
        <v>0</v>
      </c>
    </row>
    <row r="71" spans="1:13" ht="409.6" thickTop="1" thickBot="1" x14ac:dyDescent="0.25">
      <c r="A71" s="378" t="s">
        <v>676</v>
      </c>
      <c r="B71" s="378" t="s">
        <v>677</v>
      </c>
      <c r="C71" s="378" t="s">
        <v>280</v>
      </c>
      <c r="D71" s="378" t="s">
        <v>678</v>
      </c>
      <c r="E71" s="379" t="s">
        <v>770</v>
      </c>
      <c r="F71" s="379" t="s">
        <v>771</v>
      </c>
      <c r="G71" s="652"/>
      <c r="H71" s="652"/>
      <c r="I71" s="652"/>
      <c r="J71" s="652"/>
    </row>
    <row r="72" spans="1:13" s="94" customFormat="1" ht="160.5" customHeight="1" thickTop="1" thickBot="1" x14ac:dyDescent="0.25">
      <c r="A72" s="378" t="s">
        <v>393</v>
      </c>
      <c r="B72" s="378" t="s">
        <v>395</v>
      </c>
      <c r="C72" s="378" t="s">
        <v>280</v>
      </c>
      <c r="D72" s="230" t="s">
        <v>391</v>
      </c>
      <c r="E72" s="379" t="s">
        <v>564</v>
      </c>
      <c r="F72" s="379" t="s">
        <v>508</v>
      </c>
      <c r="G72" s="653">
        <f t="shared" si="7"/>
        <v>5249685.9800000004</v>
      </c>
      <c r="H72" s="653">
        <f>'d3'!E52</f>
        <v>5227685.9800000004</v>
      </c>
      <c r="I72" s="653">
        <f>'d3'!J52</f>
        <v>22000</v>
      </c>
      <c r="J72" s="653">
        <f>'d3'!K52</f>
        <v>0</v>
      </c>
    </row>
    <row r="73" spans="1:13" s="94" customFormat="1" ht="409.6" thickTop="1" thickBot="1" x14ac:dyDescent="0.25">
      <c r="A73" s="378" t="s">
        <v>393</v>
      </c>
      <c r="B73" s="378" t="s">
        <v>395</v>
      </c>
      <c r="C73" s="378" t="s">
        <v>280</v>
      </c>
      <c r="D73" s="230" t="s">
        <v>391</v>
      </c>
      <c r="E73" s="379" t="s">
        <v>770</v>
      </c>
      <c r="F73" s="379" t="s">
        <v>771</v>
      </c>
      <c r="G73" s="652"/>
      <c r="H73" s="652"/>
      <c r="I73" s="652"/>
      <c r="J73" s="652"/>
    </row>
    <row r="74" spans="1:13" s="94" customFormat="1" ht="166.7" customHeight="1" thickTop="1" thickBot="1" x14ac:dyDescent="0.25">
      <c r="A74" s="378" t="s">
        <v>394</v>
      </c>
      <c r="B74" s="378" t="s">
        <v>396</v>
      </c>
      <c r="C74" s="378" t="s">
        <v>280</v>
      </c>
      <c r="D74" s="230" t="s">
        <v>392</v>
      </c>
      <c r="E74" s="379" t="s">
        <v>564</v>
      </c>
      <c r="F74" s="379" t="s">
        <v>508</v>
      </c>
      <c r="G74" s="653">
        <f>H74+I74</f>
        <v>4326300</v>
      </c>
      <c r="H74" s="653">
        <f>'d3'!E53</f>
        <v>4326300</v>
      </c>
      <c r="I74" s="653">
        <f>'d3'!J53</f>
        <v>0</v>
      </c>
      <c r="J74" s="653">
        <f>'d3'!K53</f>
        <v>0</v>
      </c>
    </row>
    <row r="75" spans="1:13" s="94" customFormat="1" ht="409.6" thickTop="1" thickBot="1" x14ac:dyDescent="0.25">
      <c r="A75" s="378" t="s">
        <v>394</v>
      </c>
      <c r="B75" s="378" t="s">
        <v>396</v>
      </c>
      <c r="C75" s="378" t="s">
        <v>280</v>
      </c>
      <c r="D75" s="230" t="s">
        <v>392</v>
      </c>
      <c r="E75" s="379" t="s">
        <v>770</v>
      </c>
      <c r="F75" s="379" t="s">
        <v>771</v>
      </c>
      <c r="G75" s="652"/>
      <c r="H75" s="652"/>
      <c r="I75" s="652"/>
      <c r="J75" s="652"/>
    </row>
    <row r="76" spans="1:13" s="94" customFormat="1" ht="184.5" thickTop="1" thickBot="1" x14ac:dyDescent="0.25">
      <c r="A76" s="378" t="s">
        <v>563</v>
      </c>
      <c r="B76" s="378" t="s">
        <v>243</v>
      </c>
      <c r="C76" s="378" t="s">
        <v>210</v>
      </c>
      <c r="D76" s="378" t="s">
        <v>42</v>
      </c>
      <c r="E76" s="379" t="s">
        <v>564</v>
      </c>
      <c r="F76" s="379" t="s">
        <v>508</v>
      </c>
      <c r="G76" s="653">
        <f>H76+I76</f>
        <v>18666895.030000001</v>
      </c>
      <c r="H76" s="653">
        <v>0</v>
      </c>
      <c r="I76" s="653">
        <f>'d3'!J54-I78</f>
        <v>18666895.030000001</v>
      </c>
      <c r="J76" s="653">
        <f>'d3'!K54-J78</f>
        <v>18666895.030000001</v>
      </c>
    </row>
    <row r="77" spans="1:13" s="94" customFormat="1" ht="409.6" thickTop="1" thickBot="1" x14ac:dyDescent="0.25">
      <c r="A77" s="378" t="s">
        <v>563</v>
      </c>
      <c r="B77" s="378" t="s">
        <v>243</v>
      </c>
      <c r="C77" s="378" t="s">
        <v>210</v>
      </c>
      <c r="D77" s="378" t="s">
        <v>42</v>
      </c>
      <c r="E77" s="379" t="s">
        <v>770</v>
      </c>
      <c r="F77" s="379" t="s">
        <v>771</v>
      </c>
      <c r="G77" s="652"/>
      <c r="H77" s="652"/>
      <c r="I77" s="652"/>
      <c r="J77" s="652"/>
    </row>
    <row r="78" spans="1:13" s="94" customFormat="1" ht="230.25" thickTop="1" thickBot="1" x14ac:dyDescent="0.25">
      <c r="A78" s="378" t="s">
        <v>563</v>
      </c>
      <c r="B78" s="378" t="s">
        <v>243</v>
      </c>
      <c r="C78" s="378" t="s">
        <v>210</v>
      </c>
      <c r="D78" s="378" t="s">
        <v>42</v>
      </c>
      <c r="E78" s="321" t="s">
        <v>599</v>
      </c>
      <c r="F78" s="251" t="s">
        <v>600</v>
      </c>
      <c r="G78" s="379">
        <f>H78+I78</f>
        <v>164500</v>
      </c>
      <c r="H78" s="379">
        <v>0</v>
      </c>
      <c r="I78" s="379">
        <f>164500</f>
        <v>164500</v>
      </c>
      <c r="J78" s="379">
        <f>164500</f>
        <v>164500</v>
      </c>
    </row>
    <row r="79" spans="1:13" s="94" customFormat="1" ht="184.5" hidden="1" thickTop="1" thickBot="1" x14ac:dyDescent="0.25">
      <c r="A79" s="378" t="s">
        <v>727</v>
      </c>
      <c r="B79" s="378" t="s">
        <v>443</v>
      </c>
      <c r="C79" s="378" t="s">
        <v>53</v>
      </c>
      <c r="D79" s="378" t="s">
        <v>444</v>
      </c>
      <c r="E79" s="379" t="s">
        <v>564</v>
      </c>
      <c r="F79" s="379" t="s">
        <v>508</v>
      </c>
      <c r="G79" s="379">
        <f>H79+I79</f>
        <v>0</v>
      </c>
      <c r="H79" s="379">
        <f>'d3'!F55</f>
        <v>0</v>
      </c>
      <c r="I79" s="379">
        <f>'d3'!J55</f>
        <v>0</v>
      </c>
      <c r="J79" s="379">
        <f>'d3'!K55</f>
        <v>0</v>
      </c>
    </row>
    <row r="80" spans="1:13" ht="241.5" customHeight="1" thickTop="1" thickBot="1" x14ac:dyDescent="0.25">
      <c r="A80" s="451" t="s">
        <v>196</v>
      </c>
      <c r="B80" s="451"/>
      <c r="C80" s="451"/>
      <c r="D80" s="452" t="s">
        <v>45</v>
      </c>
      <c r="E80" s="453"/>
      <c r="F80" s="454"/>
      <c r="G80" s="454">
        <f>G81</f>
        <v>172158362</v>
      </c>
      <c r="H80" s="454">
        <f t="shared" ref="H80:J80" si="8">H81</f>
        <v>155415835</v>
      </c>
      <c r="I80" s="453">
        <f t="shared" si="8"/>
        <v>16742527</v>
      </c>
      <c r="J80" s="453">
        <f t="shared" si="8"/>
        <v>16179527</v>
      </c>
      <c r="K80" s="149" t="b">
        <f>H80='d3'!E57-'d3'!E58</f>
        <v>1</v>
      </c>
      <c r="L80" s="131" t="b">
        <f>I80='d3'!J56-'d3'!J58+I82-'d3'!J73-'d3'!J76-'d3'!J80</f>
        <v>1</v>
      </c>
      <c r="M80" s="131" t="b">
        <f>J80='d3'!K56-'d3'!K58+J82-'d3'!K73-'d3'!K76-'d3'!K80</f>
        <v>1</v>
      </c>
    </row>
    <row r="81" spans="1:12" ht="256.5" customHeight="1" thickTop="1" thickBot="1" x14ac:dyDescent="0.25">
      <c r="A81" s="455" t="s">
        <v>197</v>
      </c>
      <c r="B81" s="455"/>
      <c r="C81" s="455"/>
      <c r="D81" s="456" t="s">
        <v>46</v>
      </c>
      <c r="E81" s="457"/>
      <c r="F81" s="458"/>
      <c r="G81" s="458">
        <f>SUM(G82:G110)</f>
        <v>172158362</v>
      </c>
      <c r="H81" s="458">
        <f t="shared" ref="H81:J81" si="9">SUM(H82:H110)</f>
        <v>155415835</v>
      </c>
      <c r="I81" s="458">
        <f t="shared" si="9"/>
        <v>16742527</v>
      </c>
      <c r="J81" s="458">
        <f t="shared" si="9"/>
        <v>16179527</v>
      </c>
      <c r="L81" s="107"/>
    </row>
    <row r="82" spans="1:12" ht="230.25" thickTop="1" thickBot="1" x14ac:dyDescent="0.25">
      <c r="A82" s="378" t="s">
        <v>513</v>
      </c>
      <c r="B82" s="378" t="s">
        <v>286</v>
      </c>
      <c r="C82" s="378" t="s">
        <v>284</v>
      </c>
      <c r="D82" s="378" t="s">
        <v>285</v>
      </c>
      <c r="E82" s="321" t="s">
        <v>525</v>
      </c>
      <c r="F82" s="379" t="s">
        <v>524</v>
      </c>
      <c r="G82" s="379">
        <f t="shared" ref="G82:G107" si="10">H82+I82</f>
        <v>500000</v>
      </c>
      <c r="H82" s="379">
        <v>0</v>
      </c>
      <c r="I82" s="379">
        <f>500000</f>
        <v>500000</v>
      </c>
      <c r="J82" s="379">
        <f>500000</f>
        <v>500000</v>
      </c>
      <c r="L82" s="107"/>
    </row>
    <row r="83" spans="1:12" s="94" customFormat="1" ht="230.25" thickTop="1" thickBot="1" x14ac:dyDescent="0.25">
      <c r="A83" s="378" t="s">
        <v>320</v>
      </c>
      <c r="B83" s="378" t="s">
        <v>321</v>
      </c>
      <c r="C83" s="378" t="s">
        <v>251</v>
      </c>
      <c r="D83" s="336" t="s">
        <v>322</v>
      </c>
      <c r="E83" s="321" t="s">
        <v>533</v>
      </c>
      <c r="F83" s="379" t="s">
        <v>504</v>
      </c>
      <c r="G83" s="379">
        <f t="shared" si="10"/>
        <v>420000</v>
      </c>
      <c r="H83" s="379">
        <f>'d3'!E59</f>
        <v>270000</v>
      </c>
      <c r="I83" s="379">
        <f>'d3'!J59</f>
        <v>150000</v>
      </c>
      <c r="J83" s="379">
        <f>'d3'!K59</f>
        <v>150000</v>
      </c>
    </row>
    <row r="84" spans="1:12" s="94" customFormat="1" ht="230.25" thickTop="1" thickBot="1" x14ac:dyDescent="0.25">
      <c r="A84" s="378" t="s">
        <v>323</v>
      </c>
      <c r="B84" s="378" t="s">
        <v>324</v>
      </c>
      <c r="C84" s="378" t="s">
        <v>252</v>
      </c>
      <c r="D84" s="378" t="s">
        <v>7</v>
      </c>
      <c r="E84" s="321" t="s">
        <v>533</v>
      </c>
      <c r="F84" s="379" t="s">
        <v>504</v>
      </c>
      <c r="G84" s="379">
        <f t="shared" si="10"/>
        <v>1210000</v>
      </c>
      <c r="H84" s="379">
        <f>'d3'!E60</f>
        <v>1210000</v>
      </c>
      <c r="I84" s="379">
        <f>'d3'!J60</f>
        <v>0</v>
      </c>
      <c r="J84" s="379">
        <f>'d3'!K60</f>
        <v>0</v>
      </c>
    </row>
    <row r="85" spans="1:12" s="94" customFormat="1" ht="230.25" thickTop="1" thickBot="1" x14ac:dyDescent="0.25">
      <c r="A85" s="378" t="s">
        <v>326</v>
      </c>
      <c r="B85" s="378" t="s">
        <v>327</v>
      </c>
      <c r="C85" s="378" t="s">
        <v>252</v>
      </c>
      <c r="D85" s="378" t="s">
        <v>8</v>
      </c>
      <c r="E85" s="321" t="s">
        <v>533</v>
      </c>
      <c r="F85" s="379" t="s">
        <v>504</v>
      </c>
      <c r="G85" s="379">
        <f t="shared" si="10"/>
        <v>8450000</v>
      </c>
      <c r="H85" s="379">
        <f>'d3'!E61</f>
        <v>8450000</v>
      </c>
      <c r="I85" s="379">
        <f>'d3'!J61</f>
        <v>0</v>
      </c>
      <c r="J85" s="379">
        <f>'d3'!K61</f>
        <v>0</v>
      </c>
    </row>
    <row r="86" spans="1:12" s="94" customFormat="1" ht="230.25" thickTop="1" thickBot="1" x14ac:dyDescent="0.25">
      <c r="A86" s="378" t="s">
        <v>328</v>
      </c>
      <c r="B86" s="378" t="s">
        <v>325</v>
      </c>
      <c r="C86" s="378" t="s">
        <v>252</v>
      </c>
      <c r="D86" s="378" t="s">
        <v>9</v>
      </c>
      <c r="E86" s="321" t="s">
        <v>533</v>
      </c>
      <c r="F86" s="379" t="s">
        <v>504</v>
      </c>
      <c r="G86" s="379">
        <f t="shared" si="10"/>
        <v>350000</v>
      </c>
      <c r="H86" s="379">
        <f>'d3'!E62</f>
        <v>350000</v>
      </c>
      <c r="I86" s="379">
        <f>'d3'!J62</f>
        <v>0</v>
      </c>
      <c r="J86" s="379">
        <f>'d3'!K62</f>
        <v>0</v>
      </c>
    </row>
    <row r="87" spans="1:12" s="94" customFormat="1" ht="230.25" thickTop="1" thickBot="1" x14ac:dyDescent="0.25">
      <c r="A87" s="378" t="s">
        <v>329</v>
      </c>
      <c r="B87" s="378" t="s">
        <v>330</v>
      </c>
      <c r="C87" s="378" t="s">
        <v>252</v>
      </c>
      <c r="D87" s="378" t="s">
        <v>11</v>
      </c>
      <c r="E87" s="321" t="s">
        <v>533</v>
      </c>
      <c r="F87" s="379" t="s">
        <v>504</v>
      </c>
      <c r="G87" s="379">
        <f t="shared" si="10"/>
        <v>70000000</v>
      </c>
      <c r="H87" s="379">
        <f>'d3'!E63</f>
        <v>70000000</v>
      </c>
      <c r="I87" s="379">
        <f>'d3'!J63</f>
        <v>0</v>
      </c>
      <c r="J87" s="379">
        <f>'d3'!K63</f>
        <v>0</v>
      </c>
    </row>
    <row r="88" spans="1:12" s="94" customFormat="1" ht="230.25" thickTop="1" thickBot="1" x14ac:dyDescent="0.25">
      <c r="A88" s="378" t="s">
        <v>679</v>
      </c>
      <c r="B88" s="378" t="s">
        <v>680</v>
      </c>
      <c r="C88" s="378" t="s">
        <v>252</v>
      </c>
      <c r="D88" s="378" t="s">
        <v>681</v>
      </c>
      <c r="E88" s="321" t="s">
        <v>533</v>
      </c>
      <c r="F88" s="379" t="s">
        <v>504</v>
      </c>
      <c r="G88" s="379">
        <f t="shared" si="10"/>
        <v>194834</v>
      </c>
      <c r="H88" s="379">
        <f>'d3'!E64</f>
        <v>194834</v>
      </c>
      <c r="I88" s="379">
        <f>'d3'!J64</f>
        <v>0</v>
      </c>
      <c r="J88" s="379">
        <f>'d3'!K64</f>
        <v>0</v>
      </c>
    </row>
    <row r="89" spans="1:12" s="94" customFormat="1" ht="230.25" thickTop="1" thickBot="1" x14ac:dyDescent="0.25">
      <c r="A89" s="378" t="s">
        <v>682</v>
      </c>
      <c r="B89" s="378" t="s">
        <v>683</v>
      </c>
      <c r="C89" s="378" t="s">
        <v>251</v>
      </c>
      <c r="D89" s="378" t="s">
        <v>684</v>
      </c>
      <c r="E89" s="321" t="s">
        <v>533</v>
      </c>
      <c r="F89" s="379" t="s">
        <v>504</v>
      </c>
      <c r="G89" s="379">
        <f t="shared" si="10"/>
        <v>249955</v>
      </c>
      <c r="H89" s="379">
        <f>'d3'!E65</f>
        <v>249955</v>
      </c>
      <c r="I89" s="379">
        <f>'d3'!J65</f>
        <v>0</v>
      </c>
      <c r="J89" s="379">
        <f>'d3'!K65</f>
        <v>0</v>
      </c>
    </row>
    <row r="90" spans="1:12" ht="321.75" thickTop="1" thickBot="1" x14ac:dyDescent="0.25">
      <c r="A90" s="378" t="s">
        <v>318</v>
      </c>
      <c r="B90" s="378" t="s">
        <v>316</v>
      </c>
      <c r="C90" s="378" t="s">
        <v>246</v>
      </c>
      <c r="D90" s="378" t="s">
        <v>21</v>
      </c>
      <c r="E90" s="321" t="s">
        <v>533</v>
      </c>
      <c r="F90" s="379" t="s">
        <v>504</v>
      </c>
      <c r="G90" s="379">
        <f t="shared" si="10"/>
        <v>21431028</v>
      </c>
      <c r="H90" s="379">
        <f>'d3'!E66</f>
        <v>21241028</v>
      </c>
      <c r="I90" s="379">
        <f>'d3'!J66</f>
        <v>190000</v>
      </c>
      <c r="J90" s="379">
        <f>'d3'!K66</f>
        <v>0</v>
      </c>
    </row>
    <row r="91" spans="1:12" ht="230.25" thickTop="1" thickBot="1" x14ac:dyDescent="0.25">
      <c r="A91" s="378" t="s">
        <v>319</v>
      </c>
      <c r="B91" s="378" t="s">
        <v>317</v>
      </c>
      <c r="C91" s="378" t="s">
        <v>245</v>
      </c>
      <c r="D91" s="378" t="s">
        <v>606</v>
      </c>
      <c r="E91" s="321" t="s">
        <v>533</v>
      </c>
      <c r="F91" s="379" t="s">
        <v>504</v>
      </c>
      <c r="G91" s="379">
        <f t="shared" si="10"/>
        <v>5926260</v>
      </c>
      <c r="H91" s="379">
        <f>'d3'!E67-H92-H93</f>
        <v>5873761</v>
      </c>
      <c r="I91" s="429">
        <f>'d3'!J67-I92-I93</f>
        <v>52499</v>
      </c>
      <c r="J91" s="429">
        <f>'d3'!K67-J92-J93</f>
        <v>52499</v>
      </c>
    </row>
    <row r="92" spans="1:12" ht="230.25" thickTop="1" thickBot="1" x14ac:dyDescent="0.25">
      <c r="A92" s="378" t="s">
        <v>319</v>
      </c>
      <c r="B92" s="378" t="s">
        <v>317</v>
      </c>
      <c r="C92" s="378" t="s">
        <v>245</v>
      </c>
      <c r="D92" s="378" t="s">
        <v>606</v>
      </c>
      <c r="E92" s="321" t="s">
        <v>599</v>
      </c>
      <c r="F92" s="251" t="s">
        <v>600</v>
      </c>
      <c r="G92" s="379">
        <f>H92+I92</f>
        <v>69800</v>
      </c>
      <c r="H92" s="374">
        <v>0</v>
      </c>
      <c r="I92" s="379">
        <f>69800</f>
        <v>69800</v>
      </c>
      <c r="J92" s="379">
        <f>69800</f>
        <v>69800</v>
      </c>
    </row>
    <row r="93" spans="1:12" s="428" customFormat="1" ht="230.25" thickTop="1" thickBot="1" x14ac:dyDescent="0.25">
      <c r="A93" s="440" t="s">
        <v>319</v>
      </c>
      <c r="B93" s="440" t="s">
        <v>317</v>
      </c>
      <c r="C93" s="440" t="s">
        <v>245</v>
      </c>
      <c r="D93" s="440" t="s">
        <v>606</v>
      </c>
      <c r="E93" s="439" t="s">
        <v>566</v>
      </c>
      <c r="F93" s="251" t="s">
        <v>565</v>
      </c>
      <c r="G93" s="439">
        <f>H93+I93</f>
        <v>85000</v>
      </c>
      <c r="H93" s="441">
        <v>5000</v>
      </c>
      <c r="I93" s="439">
        <v>80000</v>
      </c>
      <c r="J93" s="439">
        <v>80000</v>
      </c>
    </row>
    <row r="94" spans="1:12" ht="409.6" thickTop="1" thickBot="1" x14ac:dyDescent="0.25">
      <c r="A94" s="378" t="s">
        <v>314</v>
      </c>
      <c r="B94" s="378" t="s">
        <v>315</v>
      </c>
      <c r="C94" s="378" t="s">
        <v>245</v>
      </c>
      <c r="D94" s="378" t="s">
        <v>604</v>
      </c>
      <c r="E94" s="321" t="s">
        <v>533</v>
      </c>
      <c r="F94" s="379" t="s">
        <v>504</v>
      </c>
      <c r="G94" s="379">
        <f t="shared" si="10"/>
        <v>2208150</v>
      </c>
      <c r="H94" s="379">
        <f>'d3'!E68</f>
        <v>2208150</v>
      </c>
      <c r="I94" s="379">
        <f>'d3'!J68</f>
        <v>0</v>
      </c>
      <c r="J94" s="379">
        <f>'d3'!K68</f>
        <v>0</v>
      </c>
    </row>
    <row r="95" spans="1:12" ht="321.75" thickTop="1" thickBot="1" x14ac:dyDescent="0.25">
      <c r="A95" s="378" t="s">
        <v>685</v>
      </c>
      <c r="B95" s="378" t="s">
        <v>686</v>
      </c>
      <c r="C95" s="378" t="s">
        <v>245</v>
      </c>
      <c r="D95" s="378" t="s">
        <v>687</v>
      </c>
      <c r="E95" s="321" t="s">
        <v>533</v>
      </c>
      <c r="F95" s="379" t="s">
        <v>504</v>
      </c>
      <c r="G95" s="379">
        <f t="shared" si="10"/>
        <v>164029</v>
      </c>
      <c r="H95" s="379">
        <f>'d3'!E69</f>
        <v>164029</v>
      </c>
      <c r="I95" s="379">
        <f>'d3'!J69</f>
        <v>0</v>
      </c>
      <c r="J95" s="379">
        <f>'d3'!K69</f>
        <v>0</v>
      </c>
    </row>
    <row r="96" spans="1:12" ht="409.6" thickTop="1" thickBot="1" x14ac:dyDescent="0.25">
      <c r="A96" s="378" t="s">
        <v>424</v>
      </c>
      <c r="B96" s="378" t="s">
        <v>423</v>
      </c>
      <c r="C96" s="378" t="s">
        <v>60</v>
      </c>
      <c r="D96" s="378" t="s">
        <v>605</v>
      </c>
      <c r="E96" s="321" t="s">
        <v>533</v>
      </c>
      <c r="F96" s="379" t="s">
        <v>504</v>
      </c>
      <c r="G96" s="379">
        <f t="shared" si="10"/>
        <v>1038380</v>
      </c>
      <c r="H96" s="379">
        <f>'d3'!E70-H97</f>
        <v>1038380</v>
      </c>
      <c r="I96" s="379">
        <f>'d3'!J70-I97</f>
        <v>0</v>
      </c>
      <c r="J96" s="379">
        <f>'d3'!K70-J97</f>
        <v>0</v>
      </c>
    </row>
    <row r="97" spans="1:13" ht="409.6" thickTop="1" thickBot="1" x14ac:dyDescent="0.25">
      <c r="A97" s="378" t="s">
        <v>424</v>
      </c>
      <c r="B97" s="378" t="s">
        <v>423</v>
      </c>
      <c r="C97" s="378" t="s">
        <v>60</v>
      </c>
      <c r="D97" s="378" t="s">
        <v>605</v>
      </c>
      <c r="E97" s="321" t="s">
        <v>574</v>
      </c>
      <c r="F97" s="379" t="s">
        <v>505</v>
      </c>
      <c r="G97" s="379">
        <f t="shared" si="10"/>
        <v>1199460</v>
      </c>
      <c r="H97" s="379">
        <f>941370+258090</f>
        <v>1199460</v>
      </c>
      <c r="I97" s="379">
        <v>0</v>
      </c>
      <c r="J97" s="379">
        <v>0</v>
      </c>
    </row>
    <row r="98" spans="1:13" ht="276" thickTop="1" thickBot="1" x14ac:dyDescent="0.25">
      <c r="A98" s="378" t="s">
        <v>397</v>
      </c>
      <c r="B98" s="378" t="s">
        <v>398</v>
      </c>
      <c r="C98" s="378" t="s">
        <v>251</v>
      </c>
      <c r="D98" s="378" t="s">
        <v>425</v>
      </c>
      <c r="E98" s="321" t="s">
        <v>533</v>
      </c>
      <c r="F98" s="379" t="s">
        <v>504</v>
      </c>
      <c r="G98" s="379">
        <f t="shared" si="10"/>
        <v>530000</v>
      </c>
      <c r="H98" s="379">
        <f>'d3'!E71</f>
        <v>530000</v>
      </c>
      <c r="I98" s="379">
        <f>'d3'!J71</f>
        <v>0</v>
      </c>
      <c r="J98" s="379">
        <f>'d3'!K71</f>
        <v>0</v>
      </c>
    </row>
    <row r="99" spans="1:13" ht="138.75" thickTop="1" thickBot="1" x14ac:dyDescent="0.25">
      <c r="A99" s="378" t="s">
        <v>537</v>
      </c>
      <c r="B99" s="378" t="s">
        <v>456</v>
      </c>
      <c r="C99" s="378" t="s">
        <v>457</v>
      </c>
      <c r="D99" s="378" t="s">
        <v>455</v>
      </c>
      <c r="E99" s="321" t="s">
        <v>609</v>
      </c>
      <c r="F99" s="379" t="s">
        <v>541</v>
      </c>
      <c r="G99" s="379">
        <f t="shared" si="10"/>
        <v>350000</v>
      </c>
      <c r="H99" s="379">
        <f>'d3'!E72</f>
        <v>350000</v>
      </c>
      <c r="I99" s="379">
        <f>'d3'!J72</f>
        <v>0</v>
      </c>
      <c r="J99" s="379">
        <f>'d3'!K72</f>
        <v>0</v>
      </c>
    </row>
    <row r="100" spans="1:13" ht="230.25" thickTop="1" thickBot="1" x14ac:dyDescent="0.25">
      <c r="A100" s="378" t="s">
        <v>399</v>
      </c>
      <c r="B100" s="378" t="s">
        <v>401</v>
      </c>
      <c r="C100" s="378" t="s">
        <v>237</v>
      </c>
      <c r="D100" s="230" t="s">
        <v>403</v>
      </c>
      <c r="E100" s="321" t="s">
        <v>533</v>
      </c>
      <c r="F100" s="379" t="s">
        <v>504</v>
      </c>
      <c r="G100" s="379">
        <f t="shared" si="10"/>
        <v>9864537</v>
      </c>
      <c r="H100" s="374">
        <f>'d3'!E83-H101</f>
        <v>6430958</v>
      </c>
      <c r="I100" s="379">
        <f>'d3'!J83-I101</f>
        <v>3433579</v>
      </c>
      <c r="J100" s="379">
        <f>'d3'!K83-J101</f>
        <v>3358579</v>
      </c>
    </row>
    <row r="101" spans="1:13" ht="230.25" thickTop="1" thickBot="1" x14ac:dyDescent="0.25">
      <c r="A101" s="378" t="s">
        <v>399</v>
      </c>
      <c r="B101" s="378" t="s">
        <v>401</v>
      </c>
      <c r="C101" s="378" t="s">
        <v>237</v>
      </c>
      <c r="D101" s="230" t="s">
        <v>403</v>
      </c>
      <c r="E101" s="321" t="s">
        <v>599</v>
      </c>
      <c r="F101" s="251" t="s">
        <v>600</v>
      </c>
      <c r="G101" s="379">
        <f>H101+I101</f>
        <v>94620</v>
      </c>
      <c r="H101" s="374">
        <v>0</v>
      </c>
      <c r="I101" s="379">
        <f>94620</f>
        <v>94620</v>
      </c>
      <c r="J101" s="379">
        <f>94620</f>
        <v>94620</v>
      </c>
    </row>
    <row r="102" spans="1:13" ht="230.25" thickTop="1" thickBot="1" x14ac:dyDescent="0.25">
      <c r="A102" s="378" t="s">
        <v>400</v>
      </c>
      <c r="B102" s="378" t="s">
        <v>402</v>
      </c>
      <c r="C102" s="378" t="s">
        <v>237</v>
      </c>
      <c r="D102" s="230" t="s">
        <v>404</v>
      </c>
      <c r="E102" s="321" t="s">
        <v>533</v>
      </c>
      <c r="F102" s="379" t="s">
        <v>504</v>
      </c>
      <c r="G102" s="379">
        <f t="shared" si="10"/>
        <v>32125300</v>
      </c>
      <c r="H102" s="379">
        <f>'d3'!E84-H104-H103</f>
        <v>31975300</v>
      </c>
      <c r="I102" s="379">
        <f>'d3'!J84-I104-I103</f>
        <v>150000</v>
      </c>
      <c r="J102" s="379">
        <f>'d3'!K84-J104-J103</f>
        <v>150000</v>
      </c>
    </row>
    <row r="103" spans="1:13" ht="184.5" thickTop="1" thickBot="1" x14ac:dyDescent="0.25">
      <c r="A103" s="378" t="s">
        <v>400</v>
      </c>
      <c r="B103" s="378" t="s">
        <v>402</v>
      </c>
      <c r="C103" s="378" t="s">
        <v>237</v>
      </c>
      <c r="D103" s="230" t="s">
        <v>404</v>
      </c>
      <c r="E103" s="379" t="s">
        <v>617</v>
      </c>
      <c r="F103" s="379" t="s">
        <v>618</v>
      </c>
      <c r="G103" s="379">
        <f t="shared" si="10"/>
        <v>550000</v>
      </c>
      <c r="H103" s="379">
        <f>700000-150000</f>
        <v>550000</v>
      </c>
      <c r="I103" s="379"/>
      <c r="J103" s="379"/>
    </row>
    <row r="104" spans="1:13" ht="321.75" thickTop="1" thickBot="1" x14ac:dyDescent="0.25">
      <c r="A104" s="378" t="s">
        <v>400</v>
      </c>
      <c r="B104" s="378" t="s">
        <v>402</v>
      </c>
      <c r="C104" s="378" t="s">
        <v>237</v>
      </c>
      <c r="D104" s="230" t="s">
        <v>404</v>
      </c>
      <c r="E104" s="321" t="s">
        <v>573</v>
      </c>
      <c r="F104" s="379" t="s">
        <v>505</v>
      </c>
      <c r="G104" s="379">
        <f t="shared" si="10"/>
        <v>3424980</v>
      </c>
      <c r="H104" s="379">
        <f>574980+400000+150000+1800000+200000</f>
        <v>3124980</v>
      </c>
      <c r="I104" s="379">
        <v>300000</v>
      </c>
      <c r="J104" s="379">
        <v>300000</v>
      </c>
      <c r="K104" s="133"/>
    </row>
    <row r="105" spans="1:13" ht="321.75" thickTop="1" thickBot="1" x14ac:dyDescent="0.25">
      <c r="A105" s="378" t="s">
        <v>447</v>
      </c>
      <c r="B105" s="378" t="s">
        <v>445</v>
      </c>
      <c r="C105" s="378" t="s">
        <v>415</v>
      </c>
      <c r="D105" s="230" t="s">
        <v>446</v>
      </c>
      <c r="E105" s="321" t="s">
        <v>573</v>
      </c>
      <c r="F105" s="379" t="s">
        <v>505</v>
      </c>
      <c r="G105" s="379">
        <f t="shared" si="10"/>
        <v>4104237</v>
      </c>
      <c r="H105" s="379">
        <f>'d3'!E85</f>
        <v>0</v>
      </c>
      <c r="I105" s="379">
        <f>'d3'!J85</f>
        <v>4104237</v>
      </c>
      <c r="J105" s="379">
        <f>'d3'!K85</f>
        <v>4104237</v>
      </c>
    </row>
    <row r="106" spans="1:13" ht="409.6" thickTop="1" thickBot="1" x14ac:dyDescent="0.25">
      <c r="A106" s="378" t="s">
        <v>934</v>
      </c>
      <c r="B106" s="378" t="s">
        <v>935</v>
      </c>
      <c r="C106" s="378" t="s">
        <v>415</v>
      </c>
      <c r="D106" s="230" t="s">
        <v>936</v>
      </c>
      <c r="E106" s="379" t="s">
        <v>617</v>
      </c>
      <c r="F106" s="379" t="s">
        <v>618</v>
      </c>
      <c r="G106" s="379">
        <f t="shared" si="10"/>
        <v>2319792</v>
      </c>
      <c r="H106" s="379">
        <f>'d3'!E86</f>
        <v>0</v>
      </c>
      <c r="I106" s="379">
        <f>'d3'!J86</f>
        <v>2319792</v>
      </c>
      <c r="J106" s="379">
        <f>'d3'!K86</f>
        <v>2319792</v>
      </c>
    </row>
    <row r="107" spans="1:13" ht="230.25" thickTop="1" thickBot="1" x14ac:dyDescent="0.25">
      <c r="A107" s="378" t="s">
        <v>500</v>
      </c>
      <c r="B107" s="378" t="s">
        <v>501</v>
      </c>
      <c r="C107" s="378" t="s">
        <v>359</v>
      </c>
      <c r="D107" s="230" t="s">
        <v>502</v>
      </c>
      <c r="E107" s="321" t="s">
        <v>533</v>
      </c>
      <c r="F107" s="379" t="s">
        <v>504</v>
      </c>
      <c r="G107" s="379">
        <f t="shared" si="10"/>
        <v>5000000</v>
      </c>
      <c r="H107" s="379">
        <f>'d3'!E87</f>
        <v>0</v>
      </c>
      <c r="I107" s="379">
        <f>'d3'!J87</f>
        <v>5000000</v>
      </c>
      <c r="J107" s="379">
        <f>'d3'!K87</f>
        <v>5000000</v>
      </c>
    </row>
    <row r="108" spans="1:13" ht="409.6" thickTop="1" thickBot="1" x14ac:dyDescent="0.7">
      <c r="A108" s="650" t="s">
        <v>527</v>
      </c>
      <c r="B108" s="650" t="s">
        <v>412</v>
      </c>
      <c r="C108" s="650" t="s">
        <v>210</v>
      </c>
      <c r="D108" s="232" t="s">
        <v>585</v>
      </c>
      <c r="E108" s="651" t="s">
        <v>732</v>
      </c>
      <c r="F108" s="651" t="s">
        <v>733</v>
      </c>
      <c r="G108" s="653">
        <f>H108+I108</f>
        <v>298000</v>
      </c>
      <c r="H108" s="653">
        <f>'d3'!E88</f>
        <v>0</v>
      </c>
      <c r="I108" s="653">
        <f>'d3'!J88</f>
        <v>298000</v>
      </c>
      <c r="J108" s="653">
        <f>'d3'!K88</f>
        <v>0</v>
      </c>
      <c r="K108" s="149" t="b">
        <f>H108='d3'!E88</f>
        <v>1</v>
      </c>
      <c r="L108" s="131" t="b">
        <f>I108='d3'!J88</f>
        <v>1</v>
      </c>
      <c r="M108" s="131" t="b">
        <f>J108='d3'!K88</f>
        <v>1</v>
      </c>
    </row>
    <row r="109" spans="1:13" ht="184.5" thickTop="1" thickBot="1" x14ac:dyDescent="0.25">
      <c r="A109" s="641"/>
      <c r="B109" s="641"/>
      <c r="C109" s="641"/>
      <c r="D109" s="233" t="s">
        <v>586</v>
      </c>
      <c r="E109" s="652"/>
      <c r="F109" s="652"/>
      <c r="G109" s="652"/>
      <c r="H109" s="652"/>
      <c r="I109" s="654"/>
      <c r="J109" s="652"/>
    </row>
    <row r="110" spans="1:13" ht="230.25" hidden="1" thickTop="1" thickBot="1" x14ac:dyDescent="0.25">
      <c r="A110" s="378" t="s">
        <v>939</v>
      </c>
      <c r="B110" s="378" t="s">
        <v>308</v>
      </c>
      <c r="C110" s="378" t="s">
        <v>210</v>
      </c>
      <c r="D110" s="378" t="s">
        <v>306</v>
      </c>
      <c r="E110" s="379" t="s">
        <v>566</v>
      </c>
      <c r="F110" s="251" t="s">
        <v>565</v>
      </c>
      <c r="G110" s="379">
        <f t="shared" ref="G110" si="11">H110+I110</f>
        <v>0</v>
      </c>
      <c r="H110" s="379">
        <f>'d3'!E90</f>
        <v>0</v>
      </c>
      <c r="I110" s="379">
        <f>'d3'!J90</f>
        <v>0</v>
      </c>
      <c r="J110" s="379">
        <f>'d3'!K90</f>
        <v>0</v>
      </c>
    </row>
    <row r="111" spans="1:13" ht="181.5" thickTop="1" thickBot="1" x14ac:dyDescent="0.25">
      <c r="A111" s="451">
        <v>1000000</v>
      </c>
      <c r="B111" s="451"/>
      <c r="C111" s="451"/>
      <c r="D111" s="452" t="s">
        <v>29</v>
      </c>
      <c r="E111" s="453"/>
      <c r="F111" s="454"/>
      <c r="G111" s="454">
        <f>G112</f>
        <v>106121646</v>
      </c>
      <c r="H111" s="454">
        <f t="shared" ref="H111:J111" si="12">H112</f>
        <v>90837087</v>
      </c>
      <c r="I111" s="453">
        <f t="shared" si="12"/>
        <v>15284559</v>
      </c>
      <c r="J111" s="453">
        <f t="shared" si="12"/>
        <v>6723889</v>
      </c>
      <c r="K111" s="149" t="b">
        <f>H111='d3'!E92</f>
        <v>1</v>
      </c>
      <c r="L111" s="131" t="b">
        <f>I111='d3'!J92</f>
        <v>1</v>
      </c>
      <c r="M111" s="132" t="b">
        <f>J111='d3'!K92</f>
        <v>1</v>
      </c>
    </row>
    <row r="112" spans="1:13" ht="226.5" thickTop="1" thickBot="1" x14ac:dyDescent="0.25">
      <c r="A112" s="455">
        <v>1010000</v>
      </c>
      <c r="B112" s="455"/>
      <c r="C112" s="455"/>
      <c r="D112" s="456" t="s">
        <v>47</v>
      </c>
      <c r="E112" s="457"/>
      <c r="F112" s="458"/>
      <c r="G112" s="458">
        <f>SUM(G113:G126)</f>
        <v>106121646</v>
      </c>
      <c r="H112" s="458">
        <f>SUM(H113:H126)</f>
        <v>90837087</v>
      </c>
      <c r="I112" s="458">
        <f>SUM(I113:I126)</f>
        <v>15284559</v>
      </c>
      <c r="J112" s="458">
        <f>SUM(J113:J126)</f>
        <v>6723889</v>
      </c>
    </row>
    <row r="113" spans="1:13" ht="230.25" thickTop="1" thickBot="1" x14ac:dyDescent="0.25">
      <c r="A113" s="378" t="s">
        <v>20</v>
      </c>
      <c r="B113" s="378" t="s">
        <v>225</v>
      </c>
      <c r="C113" s="378" t="s">
        <v>226</v>
      </c>
      <c r="D113" s="378" t="s">
        <v>716</v>
      </c>
      <c r="E113" s="379" t="s">
        <v>10</v>
      </c>
      <c r="F113" s="379" t="s">
        <v>498</v>
      </c>
      <c r="G113" s="379">
        <f>H113+I113</f>
        <v>63762187</v>
      </c>
      <c r="H113" s="379">
        <f>'d3'!E93-H114</f>
        <v>55202617</v>
      </c>
      <c r="I113" s="379">
        <f>'d3'!J93-I114</f>
        <v>8559570</v>
      </c>
      <c r="J113" s="379">
        <f>'d3'!K93-J114</f>
        <v>700000</v>
      </c>
    </row>
    <row r="114" spans="1:13" ht="230.25" thickTop="1" thickBot="1" x14ac:dyDescent="0.25">
      <c r="A114" s="378" t="s">
        <v>20</v>
      </c>
      <c r="B114" s="378" t="s">
        <v>225</v>
      </c>
      <c r="C114" s="378" t="s">
        <v>226</v>
      </c>
      <c r="D114" s="378" t="s">
        <v>716</v>
      </c>
      <c r="E114" s="321" t="s">
        <v>599</v>
      </c>
      <c r="F114" s="251" t="s">
        <v>600</v>
      </c>
      <c r="G114" s="379">
        <f>H114+I114</f>
        <v>80000</v>
      </c>
      <c r="H114" s="374">
        <v>0</v>
      </c>
      <c r="I114" s="379">
        <f>80000</f>
        <v>80000</v>
      </c>
      <c r="J114" s="379">
        <f>80000</f>
        <v>80000</v>
      </c>
    </row>
    <row r="115" spans="1:13" ht="243" customHeight="1" thickTop="1" thickBot="1" x14ac:dyDescent="0.25">
      <c r="A115" s="378" t="s">
        <v>211</v>
      </c>
      <c r="B115" s="378" t="s">
        <v>212</v>
      </c>
      <c r="C115" s="378" t="s">
        <v>214</v>
      </c>
      <c r="D115" s="378" t="s">
        <v>215</v>
      </c>
      <c r="E115" s="379" t="s">
        <v>10</v>
      </c>
      <c r="F115" s="379" t="s">
        <v>498</v>
      </c>
      <c r="G115" s="379">
        <f t="shared" ref="G115:G126" si="13">H115+I115</f>
        <v>796400</v>
      </c>
      <c r="H115" s="379">
        <f>'d3'!E94</f>
        <v>796400</v>
      </c>
      <c r="I115" s="379">
        <f>'d3'!J94</f>
        <v>0</v>
      </c>
      <c r="J115" s="379">
        <f>'d3'!K94</f>
        <v>0</v>
      </c>
    </row>
    <row r="116" spans="1:13" ht="230.25" thickTop="1" thickBot="1" x14ac:dyDescent="0.25">
      <c r="A116" s="378" t="s">
        <v>216</v>
      </c>
      <c r="B116" s="378" t="s">
        <v>217</v>
      </c>
      <c r="C116" s="378" t="s">
        <v>218</v>
      </c>
      <c r="D116" s="378" t="s">
        <v>219</v>
      </c>
      <c r="E116" s="379" t="s">
        <v>10</v>
      </c>
      <c r="F116" s="379" t="s">
        <v>498</v>
      </c>
      <c r="G116" s="379">
        <f t="shared" si="13"/>
        <v>8732645</v>
      </c>
      <c r="H116" s="379">
        <f>'d3'!E95-H117</f>
        <v>8642645</v>
      </c>
      <c r="I116" s="379">
        <f>'d3'!J95-I117</f>
        <v>90000</v>
      </c>
      <c r="J116" s="379">
        <f>'d3'!K95-J117</f>
        <v>0</v>
      </c>
    </row>
    <row r="117" spans="1:13" ht="230.25" thickTop="1" thickBot="1" x14ac:dyDescent="0.25">
      <c r="A117" s="378" t="s">
        <v>216</v>
      </c>
      <c r="B117" s="378" t="s">
        <v>217</v>
      </c>
      <c r="C117" s="378" t="s">
        <v>218</v>
      </c>
      <c r="D117" s="378" t="s">
        <v>219</v>
      </c>
      <c r="E117" s="321" t="s">
        <v>599</v>
      </c>
      <c r="F117" s="251" t="s">
        <v>600</v>
      </c>
      <c r="G117" s="379">
        <f>H117+I117</f>
        <v>150000</v>
      </c>
      <c r="H117" s="374">
        <f>36000</f>
        <v>36000</v>
      </c>
      <c r="I117" s="379">
        <f>114000</f>
        <v>114000</v>
      </c>
      <c r="J117" s="379">
        <f>114000</f>
        <v>114000</v>
      </c>
    </row>
    <row r="118" spans="1:13" ht="230.25" thickTop="1" thickBot="1" x14ac:dyDescent="0.25">
      <c r="A118" s="378" t="s">
        <v>220</v>
      </c>
      <c r="B118" s="378" t="s">
        <v>221</v>
      </c>
      <c r="C118" s="378" t="s">
        <v>218</v>
      </c>
      <c r="D118" s="378" t="s">
        <v>630</v>
      </c>
      <c r="E118" s="379" t="s">
        <v>10</v>
      </c>
      <c r="F118" s="379" t="s">
        <v>498</v>
      </c>
      <c r="G118" s="379">
        <f t="shared" si="13"/>
        <v>7392778</v>
      </c>
      <c r="H118" s="379">
        <f>'d3'!E96-H119</f>
        <v>1636778</v>
      </c>
      <c r="I118" s="379">
        <f>'d3'!J96-I119</f>
        <v>5756000</v>
      </c>
      <c r="J118" s="379">
        <f>'d3'!K96-J119</f>
        <v>5680000</v>
      </c>
    </row>
    <row r="119" spans="1:13" ht="230.25" thickTop="1" thickBot="1" x14ac:dyDescent="0.25">
      <c r="A119" s="378" t="s">
        <v>220</v>
      </c>
      <c r="B119" s="378" t="s">
        <v>221</v>
      </c>
      <c r="C119" s="378" t="s">
        <v>218</v>
      </c>
      <c r="D119" s="378" t="s">
        <v>630</v>
      </c>
      <c r="E119" s="321" t="s">
        <v>599</v>
      </c>
      <c r="F119" s="251" t="s">
        <v>600</v>
      </c>
      <c r="G119" s="379">
        <f>H119+I119</f>
        <v>150000</v>
      </c>
      <c r="H119" s="374">
        <f>150000</f>
        <v>150000</v>
      </c>
      <c r="I119" s="379">
        <v>0</v>
      </c>
      <c r="J119" s="379">
        <v>0</v>
      </c>
    </row>
    <row r="120" spans="1:13" ht="230.25" thickTop="1" thickBot="1" x14ac:dyDescent="0.25">
      <c r="A120" s="378" t="s">
        <v>222</v>
      </c>
      <c r="B120" s="378" t="s">
        <v>213</v>
      </c>
      <c r="C120" s="378" t="s">
        <v>223</v>
      </c>
      <c r="D120" s="378" t="s">
        <v>224</v>
      </c>
      <c r="E120" s="379" t="s">
        <v>10</v>
      </c>
      <c r="F120" s="379" t="s">
        <v>498</v>
      </c>
      <c r="G120" s="379">
        <f t="shared" si="13"/>
        <v>6861665</v>
      </c>
      <c r="H120" s="379">
        <f>'d3'!E97-H121</f>
        <v>6474565</v>
      </c>
      <c r="I120" s="379">
        <f>'d3'!J97-I121</f>
        <v>387100</v>
      </c>
      <c r="J120" s="379">
        <f>'d3'!K97-J121</f>
        <v>0</v>
      </c>
    </row>
    <row r="121" spans="1:13" ht="230.25" thickTop="1" thickBot="1" x14ac:dyDescent="0.25">
      <c r="A121" s="378" t="s">
        <v>222</v>
      </c>
      <c r="B121" s="378" t="s">
        <v>213</v>
      </c>
      <c r="C121" s="378" t="s">
        <v>223</v>
      </c>
      <c r="D121" s="378" t="s">
        <v>224</v>
      </c>
      <c r="E121" s="321" t="s">
        <v>599</v>
      </c>
      <c r="F121" s="251" t="s">
        <v>600</v>
      </c>
      <c r="G121" s="379">
        <f>H121+I121</f>
        <v>149889</v>
      </c>
      <c r="H121" s="374">
        <v>0</v>
      </c>
      <c r="I121" s="379">
        <f>149889</f>
        <v>149889</v>
      </c>
      <c r="J121" s="379">
        <f>149889</f>
        <v>149889</v>
      </c>
    </row>
    <row r="122" spans="1:13" ht="230.25" thickTop="1" thickBot="1" x14ac:dyDescent="0.25">
      <c r="A122" s="378" t="s">
        <v>405</v>
      </c>
      <c r="B122" s="378" t="s">
        <v>406</v>
      </c>
      <c r="C122" s="378" t="s">
        <v>227</v>
      </c>
      <c r="D122" s="378" t="s">
        <v>631</v>
      </c>
      <c r="E122" s="379" t="s">
        <v>10</v>
      </c>
      <c r="F122" s="379" t="s">
        <v>498</v>
      </c>
      <c r="G122" s="379">
        <f t="shared" si="13"/>
        <v>14840480</v>
      </c>
      <c r="H122" s="379">
        <f>'d3'!E98-H123</f>
        <v>14692480</v>
      </c>
      <c r="I122" s="379">
        <f>'d3'!J98-I123</f>
        <v>148000</v>
      </c>
      <c r="J122" s="379">
        <f>'d3'!K98-J123</f>
        <v>0</v>
      </c>
    </row>
    <row r="123" spans="1:13" ht="199.5" customHeight="1" thickTop="1" thickBot="1" x14ac:dyDescent="0.25">
      <c r="A123" s="378" t="s">
        <v>405</v>
      </c>
      <c r="B123" s="378" t="s">
        <v>406</v>
      </c>
      <c r="C123" s="378" t="s">
        <v>227</v>
      </c>
      <c r="D123" s="378" t="s">
        <v>631</v>
      </c>
      <c r="E123" s="379" t="s">
        <v>864</v>
      </c>
      <c r="F123" s="379" t="s">
        <v>499</v>
      </c>
      <c r="G123" s="379">
        <f t="shared" si="13"/>
        <v>631902</v>
      </c>
      <c r="H123" s="379">
        <f>620800+11102</f>
        <v>631902</v>
      </c>
      <c r="I123" s="379"/>
      <c r="J123" s="379"/>
    </row>
    <row r="124" spans="1:13" ht="204" customHeight="1" thickTop="1" thickBot="1" x14ac:dyDescent="0.25">
      <c r="A124" s="378" t="s">
        <v>407</v>
      </c>
      <c r="B124" s="378" t="s">
        <v>408</v>
      </c>
      <c r="C124" s="378" t="s">
        <v>227</v>
      </c>
      <c r="D124" s="378" t="s">
        <v>632</v>
      </c>
      <c r="E124" s="379" t="s">
        <v>10</v>
      </c>
      <c r="F124" s="379" t="s">
        <v>498</v>
      </c>
      <c r="G124" s="379">
        <f t="shared" si="13"/>
        <v>1786000</v>
      </c>
      <c r="H124" s="379">
        <f>'d3'!E99-H125-H126</f>
        <v>1786000</v>
      </c>
      <c r="I124" s="379">
        <f>'d3'!J99-I125-I126</f>
        <v>0</v>
      </c>
      <c r="J124" s="379">
        <f>'d3'!K99-J125-J126</f>
        <v>0</v>
      </c>
    </row>
    <row r="125" spans="1:13" ht="178.5" customHeight="1" thickTop="1" thickBot="1" x14ac:dyDescent="0.25">
      <c r="A125" s="378" t="s">
        <v>407</v>
      </c>
      <c r="B125" s="378" t="s">
        <v>408</v>
      </c>
      <c r="C125" s="378" t="s">
        <v>227</v>
      </c>
      <c r="D125" s="378" t="s">
        <v>632</v>
      </c>
      <c r="E125" s="379" t="s">
        <v>864</v>
      </c>
      <c r="F125" s="379" t="s">
        <v>499</v>
      </c>
      <c r="G125" s="379">
        <f t="shared" si="13"/>
        <v>322700</v>
      </c>
      <c r="H125" s="379">
        <f>318100+4600</f>
        <v>322700</v>
      </c>
      <c r="I125" s="379"/>
      <c r="J125" s="379"/>
    </row>
    <row r="126" spans="1:13" ht="310.5" customHeight="1" thickTop="1" thickBot="1" x14ac:dyDescent="0.25">
      <c r="A126" s="378" t="s">
        <v>407</v>
      </c>
      <c r="B126" s="378" t="s">
        <v>408</v>
      </c>
      <c r="C126" s="378" t="s">
        <v>227</v>
      </c>
      <c r="D126" s="378" t="s">
        <v>632</v>
      </c>
      <c r="E126" s="379" t="s">
        <v>607</v>
      </c>
      <c r="F126" s="379" t="s">
        <v>608</v>
      </c>
      <c r="G126" s="379">
        <f t="shared" si="13"/>
        <v>465000</v>
      </c>
      <c r="H126" s="379">
        <v>465000</v>
      </c>
      <c r="I126" s="379"/>
      <c r="J126" s="379"/>
    </row>
    <row r="127" spans="1:13" ht="163.5" customHeight="1" thickTop="1" thickBot="1" x14ac:dyDescent="0.25">
      <c r="A127" s="451" t="s">
        <v>26</v>
      </c>
      <c r="B127" s="451"/>
      <c r="C127" s="451"/>
      <c r="D127" s="452" t="s">
        <v>27</v>
      </c>
      <c r="E127" s="453"/>
      <c r="F127" s="454"/>
      <c r="G127" s="454">
        <f>G128</f>
        <v>68318949.420000002</v>
      </c>
      <c r="H127" s="454">
        <f t="shared" ref="H127:J127" si="14">H128</f>
        <v>61035782</v>
      </c>
      <c r="I127" s="453">
        <f t="shared" si="14"/>
        <v>7283167.4199999999</v>
      </c>
      <c r="J127" s="453">
        <f t="shared" si="14"/>
        <v>4867193</v>
      </c>
      <c r="K127" s="149" t="b">
        <f>H127='d3'!E101+'d4'!F12</f>
        <v>1</v>
      </c>
      <c r="L127" s="131" t="b">
        <f>I127='d3'!J101+'d4'!G12</f>
        <v>1</v>
      </c>
      <c r="M127" s="132" t="b">
        <f>J127='d3'!K101+'d4'!H12</f>
        <v>1</v>
      </c>
    </row>
    <row r="128" spans="1:13" ht="175.5" customHeight="1" thickTop="1" thickBot="1" x14ac:dyDescent="0.25">
      <c r="A128" s="455" t="s">
        <v>25</v>
      </c>
      <c r="B128" s="455"/>
      <c r="C128" s="455"/>
      <c r="D128" s="456" t="s">
        <v>43</v>
      </c>
      <c r="E128" s="457"/>
      <c r="F128" s="458"/>
      <c r="G128" s="458">
        <f>SUM(G129:G146)</f>
        <v>68318949.420000002</v>
      </c>
      <c r="H128" s="458">
        <f>SUM(H129:H146)</f>
        <v>61035782</v>
      </c>
      <c r="I128" s="458">
        <f>SUM(I129:I146)</f>
        <v>7283167.4199999999</v>
      </c>
      <c r="J128" s="458">
        <f>SUM(J129:J146)</f>
        <v>4867193</v>
      </c>
    </row>
    <row r="129" spans="1:10" ht="276" thickTop="1" thickBot="1" x14ac:dyDescent="0.25">
      <c r="A129" s="378" t="s">
        <v>228</v>
      </c>
      <c r="B129" s="378" t="s">
        <v>229</v>
      </c>
      <c r="C129" s="378" t="s">
        <v>230</v>
      </c>
      <c r="D129" s="378" t="s">
        <v>231</v>
      </c>
      <c r="E129" s="321" t="s">
        <v>767</v>
      </c>
      <c r="F129" s="379" t="s">
        <v>506</v>
      </c>
      <c r="G129" s="379">
        <f t="shared" ref="G129:G130" si="15">H129+I129</f>
        <v>4432637</v>
      </c>
      <c r="H129" s="374">
        <f>'d3'!E102</f>
        <v>4377637</v>
      </c>
      <c r="I129" s="375">
        <f>'d3'!J102</f>
        <v>55000</v>
      </c>
      <c r="J129" s="379">
        <f>'d3'!K102</f>
        <v>55000</v>
      </c>
    </row>
    <row r="130" spans="1:10" ht="276" thickTop="1" thickBot="1" x14ac:dyDescent="0.25">
      <c r="A130" s="378" t="s">
        <v>235</v>
      </c>
      <c r="B130" s="378" t="s">
        <v>236</v>
      </c>
      <c r="C130" s="378" t="s">
        <v>230</v>
      </c>
      <c r="D130" s="378" t="s">
        <v>12</v>
      </c>
      <c r="E130" s="321" t="s">
        <v>767</v>
      </c>
      <c r="F130" s="379" t="s">
        <v>506</v>
      </c>
      <c r="G130" s="379">
        <f t="shared" si="15"/>
        <v>4114224</v>
      </c>
      <c r="H130" s="374">
        <f>'d3'!E103-H131</f>
        <v>3789224</v>
      </c>
      <c r="I130" s="375">
        <f>'d3'!J103-I131</f>
        <v>325000</v>
      </c>
      <c r="J130" s="379">
        <f>'d3'!K103-J131</f>
        <v>0</v>
      </c>
    </row>
    <row r="131" spans="1:10" ht="230.25" thickTop="1" thickBot="1" x14ac:dyDescent="0.25">
      <c r="A131" s="378" t="s">
        <v>235</v>
      </c>
      <c r="B131" s="378" t="s">
        <v>236</v>
      </c>
      <c r="C131" s="378" t="s">
        <v>230</v>
      </c>
      <c r="D131" s="378" t="s">
        <v>12</v>
      </c>
      <c r="E131" s="321" t="s">
        <v>599</v>
      </c>
      <c r="F131" s="251" t="s">
        <v>600</v>
      </c>
      <c r="G131" s="379">
        <f>H131+I131</f>
        <v>150000</v>
      </c>
      <c r="H131" s="374">
        <v>0</v>
      </c>
      <c r="I131" s="379">
        <f>150000</f>
        <v>150000</v>
      </c>
      <c r="J131" s="379">
        <f>150000</f>
        <v>150000</v>
      </c>
    </row>
    <row r="132" spans="1:10" ht="276" thickTop="1" thickBot="1" x14ac:dyDescent="0.25">
      <c r="A132" s="378" t="s">
        <v>429</v>
      </c>
      <c r="B132" s="378" t="s">
        <v>430</v>
      </c>
      <c r="C132" s="378" t="s">
        <v>230</v>
      </c>
      <c r="D132" s="378" t="s">
        <v>431</v>
      </c>
      <c r="E132" s="321" t="s">
        <v>767</v>
      </c>
      <c r="F132" s="379" t="s">
        <v>506</v>
      </c>
      <c r="G132" s="379">
        <f t="shared" ref="G132:G137" si="16">H132+I132</f>
        <v>6019776</v>
      </c>
      <c r="H132" s="374">
        <f>'d3'!E104-H133</f>
        <v>5949669</v>
      </c>
      <c r="I132" s="375">
        <f>'d3'!J104-I133</f>
        <v>70107</v>
      </c>
      <c r="J132" s="379">
        <f>'d3'!K104-J133</f>
        <v>70107</v>
      </c>
    </row>
    <row r="133" spans="1:10" ht="230.25" thickTop="1" thickBot="1" x14ac:dyDescent="0.25">
      <c r="A133" s="378" t="s">
        <v>429</v>
      </c>
      <c r="B133" s="378" t="s">
        <v>430</v>
      </c>
      <c r="C133" s="378" t="s">
        <v>230</v>
      </c>
      <c r="D133" s="378" t="s">
        <v>431</v>
      </c>
      <c r="E133" s="321" t="s">
        <v>599</v>
      </c>
      <c r="F133" s="251" t="s">
        <v>600</v>
      </c>
      <c r="G133" s="379">
        <f>H133+I133</f>
        <v>108629</v>
      </c>
      <c r="H133" s="374">
        <f>108629</f>
        <v>108629</v>
      </c>
      <c r="I133" s="379">
        <v>0</v>
      </c>
      <c r="J133" s="379">
        <v>0</v>
      </c>
    </row>
    <row r="134" spans="1:10" ht="276" thickTop="1" thickBot="1" x14ac:dyDescent="0.25">
      <c r="A134" s="378" t="s">
        <v>54</v>
      </c>
      <c r="B134" s="378" t="s">
        <v>232</v>
      </c>
      <c r="C134" s="378" t="s">
        <v>241</v>
      </c>
      <c r="D134" s="378" t="s">
        <v>55</v>
      </c>
      <c r="E134" s="321" t="s">
        <v>767</v>
      </c>
      <c r="F134" s="379" t="s">
        <v>506</v>
      </c>
      <c r="G134" s="379">
        <f t="shared" si="16"/>
        <v>10780000</v>
      </c>
      <c r="H134" s="379">
        <f>'d3'!E105</f>
        <v>10780000</v>
      </c>
      <c r="I134" s="375">
        <f>'d3'!J105</f>
        <v>0</v>
      </c>
      <c r="J134" s="379">
        <f>'d3'!K105</f>
        <v>0</v>
      </c>
    </row>
    <row r="135" spans="1:10" ht="276" thickTop="1" thickBot="1" x14ac:dyDescent="0.25">
      <c r="A135" s="378" t="s">
        <v>56</v>
      </c>
      <c r="B135" s="378" t="s">
        <v>233</v>
      </c>
      <c r="C135" s="378" t="s">
        <v>241</v>
      </c>
      <c r="D135" s="378" t="s">
        <v>5</v>
      </c>
      <c r="E135" s="321" t="s">
        <v>767</v>
      </c>
      <c r="F135" s="379" t="s">
        <v>506</v>
      </c>
      <c r="G135" s="379">
        <f t="shared" si="16"/>
        <v>1779668</v>
      </c>
      <c r="H135" s="379">
        <f>'d3'!E106</f>
        <v>1779668</v>
      </c>
      <c r="I135" s="375">
        <f>'d3'!J106</f>
        <v>0</v>
      </c>
      <c r="J135" s="379">
        <f>'d3'!K106</f>
        <v>0</v>
      </c>
    </row>
    <row r="136" spans="1:10" ht="276" thickTop="1" thickBot="1" x14ac:dyDescent="0.25">
      <c r="A136" s="378" t="s">
        <v>57</v>
      </c>
      <c r="B136" s="378" t="s">
        <v>234</v>
      </c>
      <c r="C136" s="378" t="s">
        <v>241</v>
      </c>
      <c r="D136" s="378" t="s">
        <v>426</v>
      </c>
      <c r="E136" s="321" t="s">
        <v>767</v>
      </c>
      <c r="F136" s="379" t="s">
        <v>506</v>
      </c>
      <c r="G136" s="379">
        <f t="shared" si="16"/>
        <v>56195</v>
      </c>
      <c r="H136" s="379">
        <f>'d3'!E107</f>
        <v>56195</v>
      </c>
      <c r="I136" s="375">
        <f>'d3'!J107</f>
        <v>0</v>
      </c>
      <c r="J136" s="379">
        <f>'d3'!K107</f>
        <v>0</v>
      </c>
    </row>
    <row r="137" spans="1:10" ht="276" thickTop="1" thickBot="1" x14ac:dyDescent="0.25">
      <c r="A137" s="378" t="s">
        <v>34</v>
      </c>
      <c r="B137" s="378" t="s">
        <v>238</v>
      </c>
      <c r="C137" s="378" t="s">
        <v>241</v>
      </c>
      <c r="D137" s="378" t="s">
        <v>58</v>
      </c>
      <c r="E137" s="321" t="s">
        <v>767</v>
      </c>
      <c r="F137" s="379" t="s">
        <v>506</v>
      </c>
      <c r="G137" s="379">
        <f t="shared" si="16"/>
        <v>30575083</v>
      </c>
      <c r="H137" s="379">
        <f>'d3'!E108-H138</f>
        <v>24955243</v>
      </c>
      <c r="I137" s="375">
        <f>'d3'!J108-I138</f>
        <v>5619840</v>
      </c>
      <c r="J137" s="379">
        <f>'d3'!K108-J138</f>
        <v>3849036</v>
      </c>
    </row>
    <row r="138" spans="1:10" ht="230.25" thickTop="1" thickBot="1" x14ac:dyDescent="0.25">
      <c r="A138" s="378" t="s">
        <v>34</v>
      </c>
      <c r="B138" s="378" t="s">
        <v>238</v>
      </c>
      <c r="C138" s="378" t="s">
        <v>241</v>
      </c>
      <c r="D138" s="378" t="s">
        <v>58</v>
      </c>
      <c r="E138" s="321" t="s">
        <v>599</v>
      </c>
      <c r="F138" s="251" t="s">
        <v>600</v>
      </c>
      <c r="G138" s="379">
        <f>H138+I138</f>
        <v>130250</v>
      </c>
      <c r="H138" s="374">
        <f>55800</f>
        <v>55800</v>
      </c>
      <c r="I138" s="379">
        <f>74450</f>
        <v>74450</v>
      </c>
      <c r="J138" s="379">
        <f>74450</f>
        <v>74450</v>
      </c>
    </row>
    <row r="139" spans="1:10" ht="276" thickTop="1" thickBot="1" x14ac:dyDescent="0.25">
      <c r="A139" s="378" t="s">
        <v>35</v>
      </c>
      <c r="B139" s="378" t="s">
        <v>239</v>
      </c>
      <c r="C139" s="378" t="s">
        <v>241</v>
      </c>
      <c r="D139" s="378" t="s">
        <v>59</v>
      </c>
      <c r="E139" s="321" t="s">
        <v>767</v>
      </c>
      <c r="F139" s="379" t="s">
        <v>506</v>
      </c>
      <c r="G139" s="379">
        <f t="shared" ref="G139:G146" si="17">H139+I139</f>
        <v>6946669</v>
      </c>
      <c r="H139" s="379">
        <f>'d3'!E109</f>
        <v>6478069</v>
      </c>
      <c r="I139" s="375">
        <f>'d3'!J109</f>
        <v>468600</v>
      </c>
      <c r="J139" s="379">
        <f>'d3'!K109</f>
        <v>468600</v>
      </c>
    </row>
    <row r="140" spans="1:10" ht="321.75" thickTop="1" thickBot="1" x14ac:dyDescent="0.25">
      <c r="A140" s="338" t="s">
        <v>36</v>
      </c>
      <c r="B140" s="338" t="s">
        <v>240</v>
      </c>
      <c r="C140" s="338" t="s">
        <v>241</v>
      </c>
      <c r="D140" s="378" t="s">
        <v>37</v>
      </c>
      <c r="E140" s="321" t="s">
        <v>767</v>
      </c>
      <c r="F140" s="379" t="s">
        <v>506</v>
      </c>
      <c r="G140" s="379">
        <f t="shared" si="17"/>
        <v>1163547</v>
      </c>
      <c r="H140" s="379">
        <f>'d3'!E110</f>
        <v>1163547</v>
      </c>
      <c r="I140" s="375">
        <f>'d3'!J110</f>
        <v>0</v>
      </c>
      <c r="J140" s="379">
        <f>'d3'!K110</f>
        <v>0</v>
      </c>
    </row>
    <row r="141" spans="1:10" ht="276" thickTop="1" thickBot="1" x14ac:dyDescent="0.25">
      <c r="A141" s="338" t="s">
        <v>730</v>
      </c>
      <c r="B141" s="338" t="s">
        <v>728</v>
      </c>
      <c r="C141" s="338" t="s">
        <v>241</v>
      </c>
      <c r="D141" s="378" t="s">
        <v>729</v>
      </c>
      <c r="E141" s="321" t="s">
        <v>767</v>
      </c>
      <c r="F141" s="379" t="s">
        <v>506</v>
      </c>
      <c r="G141" s="379">
        <f t="shared" si="17"/>
        <v>0</v>
      </c>
      <c r="H141" s="379">
        <f>'d3'!E111</f>
        <v>0</v>
      </c>
      <c r="I141" s="375">
        <f>'d3'!J111</f>
        <v>0</v>
      </c>
      <c r="J141" s="375">
        <f>'d3'!K111</f>
        <v>0</v>
      </c>
    </row>
    <row r="142" spans="1:10" ht="276" thickTop="1" thickBot="1" x14ac:dyDescent="0.25">
      <c r="A142" s="338" t="s">
        <v>38</v>
      </c>
      <c r="B142" s="338" t="s">
        <v>242</v>
      </c>
      <c r="C142" s="338" t="s">
        <v>241</v>
      </c>
      <c r="D142" s="378" t="s">
        <v>39</v>
      </c>
      <c r="E142" s="321" t="s">
        <v>767</v>
      </c>
      <c r="F142" s="379" t="s">
        <v>506</v>
      </c>
      <c r="G142" s="379">
        <f t="shared" si="17"/>
        <v>1522890</v>
      </c>
      <c r="H142" s="379">
        <f>'d3'!E112</f>
        <v>1522890</v>
      </c>
      <c r="I142" s="375">
        <f>'d3'!J112</f>
        <v>0</v>
      </c>
      <c r="J142" s="379">
        <f>'d3'!K112</f>
        <v>0</v>
      </c>
    </row>
    <row r="143" spans="1:10" ht="321.75" thickTop="1" thickBot="1" x14ac:dyDescent="0.25">
      <c r="A143" s="338" t="s">
        <v>417</v>
      </c>
      <c r="B143" s="338" t="s">
        <v>416</v>
      </c>
      <c r="C143" s="338" t="s">
        <v>415</v>
      </c>
      <c r="D143" s="378" t="s">
        <v>414</v>
      </c>
      <c r="E143" s="321" t="s">
        <v>767</v>
      </c>
      <c r="F143" s="379" t="s">
        <v>506</v>
      </c>
      <c r="G143" s="379">
        <f t="shared" si="17"/>
        <v>19211</v>
      </c>
      <c r="H143" s="379">
        <f>'d3'!E113</f>
        <v>19211</v>
      </c>
      <c r="I143" s="375">
        <f>'d3'!J113</f>
        <v>0</v>
      </c>
      <c r="J143" s="375">
        <f>'d3'!K113</f>
        <v>0</v>
      </c>
    </row>
    <row r="144" spans="1:10" ht="276" thickTop="1" thickBot="1" x14ac:dyDescent="0.25">
      <c r="A144" s="338" t="s">
        <v>612</v>
      </c>
      <c r="B144" s="338" t="s">
        <v>615</v>
      </c>
      <c r="C144" s="338" t="s">
        <v>60</v>
      </c>
      <c r="D144" s="378" t="s">
        <v>611</v>
      </c>
      <c r="E144" s="321" t="s">
        <v>767</v>
      </c>
      <c r="F144" s="379" t="s">
        <v>506</v>
      </c>
      <c r="G144" s="379">
        <f t="shared" si="17"/>
        <v>320170.42000000004</v>
      </c>
      <c r="H144" s="379">
        <f>'d4'!F14</f>
        <v>0</v>
      </c>
      <c r="I144" s="375">
        <f>'d4'!G14</f>
        <v>320170.42000000004</v>
      </c>
      <c r="J144" s="438">
        <f>'d4'!H14</f>
        <v>0</v>
      </c>
    </row>
    <row r="145" spans="1:13" ht="93" hidden="1" thickTop="1" thickBot="1" x14ac:dyDescent="0.25">
      <c r="A145" s="207" t="s">
        <v>463</v>
      </c>
      <c r="B145" s="207" t="s">
        <v>443</v>
      </c>
      <c r="C145" s="207" t="s">
        <v>53</v>
      </c>
      <c r="D145" s="207" t="s">
        <v>444</v>
      </c>
      <c r="E145" s="209"/>
      <c r="F145" s="210"/>
      <c r="G145" s="210"/>
      <c r="H145" s="210"/>
      <c r="I145" s="211"/>
      <c r="J145" s="208"/>
    </row>
    <row r="146" spans="1:13" ht="276" thickTop="1" thickBot="1" x14ac:dyDescent="0.25">
      <c r="A146" s="378" t="s">
        <v>463</v>
      </c>
      <c r="B146" s="378" t="s">
        <v>443</v>
      </c>
      <c r="C146" s="378" t="s">
        <v>53</v>
      </c>
      <c r="D146" s="378" t="s">
        <v>444</v>
      </c>
      <c r="E146" s="321" t="s">
        <v>767</v>
      </c>
      <c r="F146" s="379" t="s">
        <v>506</v>
      </c>
      <c r="G146" s="379">
        <f t="shared" si="17"/>
        <v>200000</v>
      </c>
      <c r="H146" s="374">
        <f>'d3'!E114</f>
        <v>0</v>
      </c>
      <c r="I146" s="375">
        <f>'d3'!J114</f>
        <v>200000</v>
      </c>
      <c r="J146" s="375">
        <f>'d3'!K114</f>
        <v>200000</v>
      </c>
    </row>
    <row r="147" spans="1:13" ht="202.5" customHeight="1" thickTop="1" thickBot="1" x14ac:dyDescent="0.25">
      <c r="A147" s="451" t="s">
        <v>198</v>
      </c>
      <c r="B147" s="451"/>
      <c r="C147" s="451"/>
      <c r="D147" s="452" t="s">
        <v>28</v>
      </c>
      <c r="E147" s="453"/>
      <c r="F147" s="454"/>
      <c r="G147" s="454">
        <f>G148</f>
        <v>404478384.28999996</v>
      </c>
      <c r="H147" s="454">
        <f t="shared" ref="H147:J147" si="18">H148</f>
        <v>257697584</v>
      </c>
      <c r="I147" s="453">
        <f t="shared" si="18"/>
        <v>146780800.29000002</v>
      </c>
      <c r="J147" s="453">
        <f t="shared" si="18"/>
        <v>146555521.59</v>
      </c>
      <c r="K147" s="149" t="b">
        <f>H147='d3'!E115-'d3'!E117+H149</f>
        <v>1</v>
      </c>
      <c r="L147" s="131" t="b">
        <f>I147='d3'!J116-'d3'!J117+I149</f>
        <v>1</v>
      </c>
      <c r="M147" s="131" t="b">
        <f>J147='d3'!K116-'d3'!K117+J149</f>
        <v>1</v>
      </c>
    </row>
    <row r="148" spans="1:13" ht="223.5" customHeight="1" thickTop="1" thickBot="1" x14ac:dyDescent="0.25">
      <c r="A148" s="455" t="s">
        <v>199</v>
      </c>
      <c r="B148" s="455"/>
      <c r="C148" s="455"/>
      <c r="D148" s="456" t="s">
        <v>48</v>
      </c>
      <c r="E148" s="457"/>
      <c r="F148" s="458"/>
      <c r="G148" s="458">
        <f>SUM(G149:G178)</f>
        <v>404478384.28999996</v>
      </c>
      <c r="H148" s="458">
        <f>SUM(H149:H178)</f>
        <v>257697584</v>
      </c>
      <c r="I148" s="458">
        <f>SUM(I149:I178)</f>
        <v>146780800.29000002</v>
      </c>
      <c r="J148" s="458">
        <f>SUM(J149:J178)</f>
        <v>146555521.59</v>
      </c>
    </row>
    <row r="149" spans="1:13" ht="367.5" thickTop="1" thickBot="1" x14ac:dyDescent="0.25">
      <c r="A149" s="378" t="s">
        <v>522</v>
      </c>
      <c r="B149" s="378" t="s">
        <v>286</v>
      </c>
      <c r="C149" s="378" t="s">
        <v>284</v>
      </c>
      <c r="D149" s="378" t="s">
        <v>281</v>
      </c>
      <c r="E149" s="321" t="s">
        <v>525</v>
      </c>
      <c r="F149" s="379" t="s">
        <v>524</v>
      </c>
      <c r="G149" s="374">
        <f t="shared" ref="G149:G150" si="19">H149+I149</f>
        <v>177000</v>
      </c>
      <c r="H149" s="379">
        <v>160000</v>
      </c>
      <c r="I149" s="379">
        <v>17000</v>
      </c>
      <c r="J149" s="379">
        <v>17000</v>
      </c>
    </row>
    <row r="150" spans="1:13" ht="276" thickTop="1" thickBot="1" x14ac:dyDescent="0.25">
      <c r="A150" s="378" t="s">
        <v>552</v>
      </c>
      <c r="B150" s="378" t="s">
        <v>53</v>
      </c>
      <c r="C150" s="378" t="s">
        <v>52</v>
      </c>
      <c r="D150" s="378" t="s">
        <v>298</v>
      </c>
      <c r="E150" s="374" t="s">
        <v>515</v>
      </c>
      <c r="F150" s="374" t="s">
        <v>516</v>
      </c>
      <c r="G150" s="374">
        <f t="shared" si="19"/>
        <v>150000</v>
      </c>
      <c r="H150" s="379">
        <f>'d3'!E118</f>
        <v>150000</v>
      </c>
      <c r="I150" s="379">
        <f>'d3'!J118</f>
        <v>0</v>
      </c>
      <c r="J150" s="379">
        <f>'d3'!K118</f>
        <v>0</v>
      </c>
    </row>
    <row r="151" spans="1:13" ht="276" thickTop="1" thickBot="1" x14ac:dyDescent="0.25">
      <c r="A151" s="650" t="s">
        <v>331</v>
      </c>
      <c r="B151" s="650" t="s">
        <v>332</v>
      </c>
      <c r="C151" s="650" t="s">
        <v>415</v>
      </c>
      <c r="D151" s="650" t="s">
        <v>333</v>
      </c>
      <c r="E151" s="374" t="s">
        <v>515</v>
      </c>
      <c r="F151" s="374" t="s">
        <v>516</v>
      </c>
      <c r="G151" s="655">
        <f>H151+I151</f>
        <v>8997900</v>
      </c>
      <c r="H151" s="655">
        <f>'d3'!E119-H152</f>
        <v>2576700</v>
      </c>
      <c r="I151" s="656">
        <f>'d3'!J119-I152</f>
        <v>6421200</v>
      </c>
      <c r="J151" s="657">
        <f>'d3'!K119-J152</f>
        <v>6421200</v>
      </c>
    </row>
    <row r="152" spans="1:13" ht="3.75" customHeight="1" thickTop="1" thickBot="1" x14ac:dyDescent="0.25">
      <c r="A152" s="650"/>
      <c r="B152" s="650"/>
      <c r="C152" s="650"/>
      <c r="D152" s="650"/>
      <c r="E152" s="251"/>
      <c r="F152" s="251"/>
      <c r="G152" s="655"/>
      <c r="H152" s="655"/>
      <c r="I152" s="656"/>
      <c r="J152" s="657"/>
    </row>
    <row r="153" spans="1:13" ht="230.25" thickTop="1" thickBot="1" x14ac:dyDescent="0.25">
      <c r="A153" s="650"/>
      <c r="B153" s="650"/>
      <c r="C153" s="650"/>
      <c r="D153" s="650"/>
      <c r="E153" s="251" t="s">
        <v>570</v>
      </c>
      <c r="F153" s="251" t="s">
        <v>987</v>
      </c>
      <c r="G153" s="655"/>
      <c r="H153" s="655"/>
      <c r="I153" s="656"/>
      <c r="J153" s="657"/>
    </row>
    <row r="154" spans="1:13" ht="276" thickTop="1" thickBot="1" x14ac:dyDescent="0.25">
      <c r="A154" s="650"/>
      <c r="B154" s="650"/>
      <c r="C154" s="650"/>
      <c r="D154" s="650"/>
      <c r="E154" s="251" t="s">
        <v>908</v>
      </c>
      <c r="F154" s="480" t="s">
        <v>994</v>
      </c>
      <c r="G154" s="655"/>
      <c r="H154" s="655"/>
      <c r="I154" s="656"/>
      <c r="J154" s="657"/>
    </row>
    <row r="155" spans="1:13" ht="230.25" thickTop="1" thickBot="1" x14ac:dyDescent="0.25">
      <c r="A155" s="650"/>
      <c r="B155" s="650"/>
      <c r="C155" s="650"/>
      <c r="D155" s="650"/>
      <c r="E155" s="251" t="s">
        <v>571</v>
      </c>
      <c r="F155" s="251" t="s">
        <v>986</v>
      </c>
      <c r="G155" s="655"/>
      <c r="H155" s="655"/>
      <c r="I155" s="656"/>
      <c r="J155" s="657"/>
    </row>
    <row r="156" spans="1:13" ht="276" thickTop="1" thickBot="1" x14ac:dyDescent="0.25">
      <c r="A156" s="378" t="s">
        <v>464</v>
      </c>
      <c r="B156" s="378" t="s">
        <v>465</v>
      </c>
      <c r="C156" s="378" t="s">
        <v>334</v>
      </c>
      <c r="D156" s="378" t="s">
        <v>466</v>
      </c>
      <c r="E156" s="374" t="s">
        <v>515</v>
      </c>
      <c r="F156" s="251" t="s">
        <v>516</v>
      </c>
      <c r="G156" s="374">
        <f t="shared" ref="G156:G172" si="20">H156+I156</f>
        <v>37000000</v>
      </c>
      <c r="H156" s="374">
        <f>'d3'!E120</f>
        <v>37000000</v>
      </c>
      <c r="I156" s="375">
        <f>'d3'!J120</f>
        <v>0</v>
      </c>
      <c r="J156" s="379">
        <f>'d3'!K120</f>
        <v>0</v>
      </c>
    </row>
    <row r="157" spans="1:13" ht="276" thickTop="1" thickBot="1" x14ac:dyDescent="0.25">
      <c r="A157" s="378" t="s">
        <v>337</v>
      </c>
      <c r="B157" s="378" t="s">
        <v>338</v>
      </c>
      <c r="C157" s="378" t="s">
        <v>334</v>
      </c>
      <c r="D157" s="378" t="s">
        <v>339</v>
      </c>
      <c r="E157" s="374" t="s">
        <v>515</v>
      </c>
      <c r="F157" s="251" t="s">
        <v>516</v>
      </c>
      <c r="G157" s="374">
        <f t="shared" si="20"/>
        <v>9595480</v>
      </c>
      <c r="H157" s="374">
        <f>'d3'!E121</f>
        <v>9595480</v>
      </c>
      <c r="I157" s="375">
        <f>'d3'!J121</f>
        <v>0</v>
      </c>
      <c r="J157" s="379">
        <f>'d3'!K121</f>
        <v>0</v>
      </c>
    </row>
    <row r="158" spans="1:13" ht="276" thickTop="1" thickBot="1" x14ac:dyDescent="0.25">
      <c r="A158" s="378" t="s">
        <v>356</v>
      </c>
      <c r="B158" s="378" t="s">
        <v>357</v>
      </c>
      <c r="C158" s="378" t="s">
        <v>334</v>
      </c>
      <c r="D158" s="378" t="s">
        <v>358</v>
      </c>
      <c r="E158" s="374" t="s">
        <v>515</v>
      </c>
      <c r="F158" s="251" t="s">
        <v>516</v>
      </c>
      <c r="G158" s="374">
        <f t="shared" si="20"/>
        <v>10235016</v>
      </c>
      <c r="H158" s="374">
        <f>'d3'!E122</f>
        <v>0</v>
      </c>
      <c r="I158" s="375">
        <f>'d3'!J122</f>
        <v>10235016</v>
      </c>
      <c r="J158" s="379">
        <f>'d3'!K122</f>
        <v>10235016</v>
      </c>
    </row>
    <row r="159" spans="1:13" ht="276" thickTop="1" thickBot="1" x14ac:dyDescent="0.25">
      <c r="A159" s="378" t="s">
        <v>335</v>
      </c>
      <c r="B159" s="378" t="s">
        <v>336</v>
      </c>
      <c r="C159" s="378" t="s">
        <v>334</v>
      </c>
      <c r="D159" s="378" t="s">
        <v>633</v>
      </c>
      <c r="E159" s="374" t="s">
        <v>515</v>
      </c>
      <c r="F159" s="251" t="s">
        <v>516</v>
      </c>
      <c r="G159" s="374">
        <f t="shared" si="20"/>
        <v>18200000</v>
      </c>
      <c r="H159" s="374">
        <f>'d3'!E123-H160</f>
        <v>500000</v>
      </c>
      <c r="I159" s="375">
        <f>'d3'!J123-I160</f>
        <v>17700000</v>
      </c>
      <c r="J159" s="379">
        <f>'d3'!K123-J160</f>
        <v>17700000</v>
      </c>
    </row>
    <row r="160" spans="1:13" ht="230.25" thickTop="1" thickBot="1" x14ac:dyDescent="0.25">
      <c r="A160" s="378" t="s">
        <v>335</v>
      </c>
      <c r="B160" s="378" t="s">
        <v>336</v>
      </c>
      <c r="C160" s="378" t="s">
        <v>334</v>
      </c>
      <c r="D160" s="378" t="s">
        <v>633</v>
      </c>
      <c r="E160" s="321" t="s">
        <v>599</v>
      </c>
      <c r="F160" s="251" t="s">
        <v>600</v>
      </c>
      <c r="G160" s="379">
        <f>H160+I160</f>
        <v>472317</v>
      </c>
      <c r="H160" s="374">
        <v>0</v>
      </c>
      <c r="I160" s="379">
        <f>472317</f>
        <v>472317</v>
      </c>
      <c r="J160" s="379">
        <f>472317</f>
        <v>472317</v>
      </c>
    </row>
    <row r="161" spans="1:10" ht="276" thickTop="1" thickBot="1" x14ac:dyDescent="0.25">
      <c r="A161" s="659" t="s">
        <v>351</v>
      </c>
      <c r="B161" s="659" t="s">
        <v>352</v>
      </c>
      <c r="C161" s="659" t="s">
        <v>334</v>
      </c>
      <c r="D161" s="659" t="s">
        <v>353</v>
      </c>
      <c r="E161" s="374" t="s">
        <v>515</v>
      </c>
      <c r="F161" s="251" t="s">
        <v>516</v>
      </c>
      <c r="G161" s="653">
        <f t="shared" si="20"/>
        <v>6600000</v>
      </c>
      <c r="H161" s="653">
        <f>'d3'!E124</f>
        <v>6600000</v>
      </c>
      <c r="I161" s="653">
        <f>'d3'!J124</f>
        <v>0</v>
      </c>
      <c r="J161" s="653">
        <f>'d3'!K124</f>
        <v>0</v>
      </c>
    </row>
    <row r="162" spans="1:10" s="475" customFormat="1" ht="276" thickTop="1" thickBot="1" x14ac:dyDescent="0.25">
      <c r="A162" s="652"/>
      <c r="B162" s="652"/>
      <c r="C162" s="652"/>
      <c r="D162" s="652"/>
      <c r="E162" s="479" t="s">
        <v>984</v>
      </c>
      <c r="F162" s="480" t="s">
        <v>985</v>
      </c>
      <c r="G162" s="660"/>
      <c r="H162" s="660"/>
      <c r="I162" s="660"/>
      <c r="J162" s="660"/>
    </row>
    <row r="163" spans="1:10" ht="194.25" customHeight="1" thickTop="1" thickBot="1" x14ac:dyDescent="0.25">
      <c r="A163" s="650" t="s">
        <v>340</v>
      </c>
      <c r="B163" s="650" t="s">
        <v>341</v>
      </c>
      <c r="C163" s="650" t="s">
        <v>334</v>
      </c>
      <c r="D163" s="650" t="s">
        <v>342</v>
      </c>
      <c r="E163" s="374" t="s">
        <v>515</v>
      </c>
      <c r="F163" s="251" t="s">
        <v>516</v>
      </c>
      <c r="G163" s="655">
        <f t="shared" si="20"/>
        <v>171980343</v>
      </c>
      <c r="H163" s="655">
        <f>'d3'!E125-H165</f>
        <v>159079116</v>
      </c>
      <c r="I163" s="655">
        <f>'d3'!J125-I165</f>
        <v>12901227</v>
      </c>
      <c r="J163" s="655">
        <f>'d3'!K125-J165</f>
        <v>12901227</v>
      </c>
    </row>
    <row r="164" spans="1:10" ht="230.25" thickTop="1" thickBot="1" x14ac:dyDescent="0.25">
      <c r="A164" s="658"/>
      <c r="B164" s="658"/>
      <c r="C164" s="658"/>
      <c r="D164" s="658"/>
      <c r="E164" s="374" t="s">
        <v>571</v>
      </c>
      <c r="F164" s="251" t="s">
        <v>694</v>
      </c>
      <c r="G164" s="658"/>
      <c r="H164" s="658"/>
      <c r="I164" s="658"/>
      <c r="J164" s="658"/>
    </row>
    <row r="165" spans="1:10" ht="230.25" thickTop="1" thickBot="1" x14ac:dyDescent="0.25">
      <c r="A165" s="378">
        <v>1216030</v>
      </c>
      <c r="B165" s="378">
        <v>6030</v>
      </c>
      <c r="C165" s="378" t="s">
        <v>334</v>
      </c>
      <c r="D165" s="378" t="s">
        <v>342</v>
      </c>
      <c r="E165" s="321" t="s">
        <v>599</v>
      </c>
      <c r="F165" s="251" t="s">
        <v>600</v>
      </c>
      <c r="G165" s="379">
        <f>H165+I165</f>
        <v>97230</v>
      </c>
      <c r="H165" s="374">
        <f>97230</f>
        <v>97230</v>
      </c>
      <c r="I165" s="379">
        <v>0</v>
      </c>
      <c r="J165" s="379">
        <v>0</v>
      </c>
    </row>
    <row r="166" spans="1:10" ht="276" thickTop="1" thickBot="1" x14ac:dyDescent="0.25">
      <c r="A166" s="378" t="s">
        <v>360</v>
      </c>
      <c r="B166" s="378" t="s">
        <v>361</v>
      </c>
      <c r="C166" s="378" t="s">
        <v>359</v>
      </c>
      <c r="D166" s="378" t="s">
        <v>637</v>
      </c>
      <c r="E166" s="374" t="s">
        <v>515</v>
      </c>
      <c r="F166" s="251" t="s">
        <v>516</v>
      </c>
      <c r="G166" s="374">
        <f t="shared" si="20"/>
        <v>8172390</v>
      </c>
      <c r="H166" s="374">
        <f>'d3'!E126</f>
        <v>0</v>
      </c>
      <c r="I166" s="375">
        <f>'d3'!J126</f>
        <v>8172390</v>
      </c>
      <c r="J166" s="379">
        <f>'d3'!K126</f>
        <v>8172390</v>
      </c>
    </row>
    <row r="167" spans="1:10" ht="276" thickTop="1" thickBot="1" x14ac:dyDescent="0.25">
      <c r="A167" s="378" t="s">
        <v>558</v>
      </c>
      <c r="B167" s="378" t="s">
        <v>428</v>
      </c>
      <c r="C167" s="378" t="s">
        <v>210</v>
      </c>
      <c r="D167" s="378" t="s">
        <v>313</v>
      </c>
      <c r="E167" s="374" t="s">
        <v>515</v>
      </c>
      <c r="F167" s="251" t="s">
        <v>516</v>
      </c>
      <c r="G167" s="374">
        <f t="shared" si="20"/>
        <v>604023.59000000008</v>
      </c>
      <c r="H167" s="374">
        <f>'d3'!E127</f>
        <v>0</v>
      </c>
      <c r="I167" s="375">
        <f>'d3'!J127</f>
        <v>604023.59000000008</v>
      </c>
      <c r="J167" s="379">
        <f>'d3'!K127</f>
        <v>604023.59000000008</v>
      </c>
    </row>
    <row r="168" spans="1:10" ht="276" thickTop="1" thickBot="1" x14ac:dyDescent="0.25">
      <c r="A168" s="378" t="s">
        <v>346</v>
      </c>
      <c r="B168" s="378" t="s">
        <v>347</v>
      </c>
      <c r="C168" s="378" t="s">
        <v>349</v>
      </c>
      <c r="D168" s="378" t="s">
        <v>348</v>
      </c>
      <c r="E168" s="374" t="s">
        <v>515</v>
      </c>
      <c r="F168" s="251" t="s">
        <v>516</v>
      </c>
      <c r="G168" s="374">
        <f t="shared" si="20"/>
        <v>89414641.700000003</v>
      </c>
      <c r="H168" s="374">
        <f>'d3'!E128</f>
        <v>39546004</v>
      </c>
      <c r="I168" s="375">
        <f>'d3'!J128</f>
        <v>49868637.700000003</v>
      </c>
      <c r="J168" s="379">
        <f>'d3'!K128</f>
        <v>49849259</v>
      </c>
    </row>
    <row r="169" spans="1:10" ht="409.6" thickTop="1" thickBot="1" x14ac:dyDescent="0.25">
      <c r="A169" s="378" t="s">
        <v>350</v>
      </c>
      <c r="B169" s="378" t="s">
        <v>262</v>
      </c>
      <c r="C169" s="378" t="s">
        <v>263</v>
      </c>
      <c r="D169" s="378" t="s">
        <v>51</v>
      </c>
      <c r="E169" s="336" t="s">
        <v>575</v>
      </c>
      <c r="F169" s="336" t="s">
        <v>656</v>
      </c>
      <c r="G169" s="374">
        <f t="shared" si="20"/>
        <v>8244000</v>
      </c>
      <c r="H169" s="374">
        <f>550000+300000</f>
        <v>850000</v>
      </c>
      <c r="I169" s="374">
        <f>7000000+394000</f>
        <v>7394000</v>
      </c>
      <c r="J169" s="374">
        <f>7000000+394000</f>
        <v>7394000</v>
      </c>
    </row>
    <row r="170" spans="1:10" ht="276" thickTop="1" thickBot="1" x14ac:dyDescent="0.25">
      <c r="A170" s="378" t="s">
        <v>350</v>
      </c>
      <c r="B170" s="378" t="s">
        <v>262</v>
      </c>
      <c r="C170" s="378" t="s">
        <v>263</v>
      </c>
      <c r="D170" s="378" t="s">
        <v>51</v>
      </c>
      <c r="E170" s="374" t="s">
        <v>515</v>
      </c>
      <c r="F170" s="251" t="s">
        <v>516</v>
      </c>
      <c r="G170" s="374">
        <f t="shared" si="20"/>
        <v>18044000</v>
      </c>
      <c r="H170" s="374"/>
      <c r="I170" s="374">
        <v>18044000</v>
      </c>
      <c r="J170" s="374">
        <v>18044000</v>
      </c>
    </row>
    <row r="171" spans="1:10" ht="321.75" thickTop="1" thickBot="1" x14ac:dyDescent="0.25">
      <c r="A171" s="378" t="s">
        <v>350</v>
      </c>
      <c r="B171" s="378" t="s">
        <v>262</v>
      </c>
      <c r="C171" s="378" t="s">
        <v>263</v>
      </c>
      <c r="D171" s="378" t="s">
        <v>51</v>
      </c>
      <c r="E171" s="251" t="s">
        <v>657</v>
      </c>
      <c r="F171" s="251" t="s">
        <v>658</v>
      </c>
      <c r="G171" s="374">
        <f t="shared" si="20"/>
        <v>417475</v>
      </c>
      <c r="H171" s="405"/>
      <c r="I171" s="374">
        <f>(250000)+167475</f>
        <v>417475</v>
      </c>
      <c r="J171" s="374">
        <f>(250000)+167475</f>
        <v>417475</v>
      </c>
    </row>
    <row r="172" spans="1:10" ht="276" hidden="1" thickTop="1" thickBot="1" x14ac:dyDescent="0.25">
      <c r="A172" s="378" t="s">
        <v>350</v>
      </c>
      <c r="B172" s="378" t="s">
        <v>262</v>
      </c>
      <c r="C172" s="378" t="s">
        <v>263</v>
      </c>
      <c r="D172" s="378" t="s">
        <v>51</v>
      </c>
      <c r="E172" s="374" t="s">
        <v>515</v>
      </c>
      <c r="F172" s="251" t="s">
        <v>516</v>
      </c>
      <c r="G172" s="374">
        <f t="shared" si="20"/>
        <v>0</v>
      </c>
      <c r="H172" s="405"/>
      <c r="I172" s="374"/>
      <c r="J172" s="374"/>
    </row>
    <row r="173" spans="1:10" ht="276" thickTop="1" thickBot="1" x14ac:dyDescent="0.25">
      <c r="A173" s="659" t="s">
        <v>362</v>
      </c>
      <c r="B173" s="659" t="s">
        <v>243</v>
      </c>
      <c r="C173" s="659" t="s">
        <v>210</v>
      </c>
      <c r="D173" s="659" t="s">
        <v>42</v>
      </c>
      <c r="E173" s="374" t="s">
        <v>515</v>
      </c>
      <c r="F173" s="251" t="s">
        <v>578</v>
      </c>
      <c r="G173" s="663">
        <f>H173+I173</f>
        <v>14279614</v>
      </c>
      <c r="H173" s="655">
        <f>'d3'!E130</f>
        <v>0</v>
      </c>
      <c r="I173" s="656">
        <f>'d3'!J130</f>
        <v>14279614</v>
      </c>
      <c r="J173" s="657">
        <f>'d3'!K130</f>
        <v>14279614</v>
      </c>
    </row>
    <row r="174" spans="1:10" ht="230.25" thickTop="1" thickBot="1" x14ac:dyDescent="0.25">
      <c r="A174" s="661"/>
      <c r="B174" s="661"/>
      <c r="C174" s="661"/>
      <c r="D174" s="662"/>
      <c r="E174" s="374" t="s">
        <v>695</v>
      </c>
      <c r="F174" s="251" t="s">
        <v>696</v>
      </c>
      <c r="G174" s="664"/>
      <c r="H174" s="655"/>
      <c r="I174" s="656"/>
      <c r="J174" s="657"/>
    </row>
    <row r="175" spans="1:10" ht="409.6" thickTop="1" thickBot="1" x14ac:dyDescent="0.7">
      <c r="A175" s="650" t="s">
        <v>528</v>
      </c>
      <c r="B175" s="650" t="s">
        <v>412</v>
      </c>
      <c r="C175" s="650" t="s">
        <v>210</v>
      </c>
      <c r="D175" s="232" t="s">
        <v>585</v>
      </c>
      <c r="E175" s="651" t="s">
        <v>732</v>
      </c>
      <c r="F175" s="651" t="s">
        <v>733</v>
      </c>
      <c r="G175" s="653">
        <f>H175+I175</f>
        <v>205900</v>
      </c>
      <c r="H175" s="653">
        <f>'d3'!E131</f>
        <v>0</v>
      </c>
      <c r="I175" s="653">
        <f>'d3'!J131</f>
        <v>205900</v>
      </c>
      <c r="J175" s="653">
        <f>'d3'!K131</f>
        <v>0</v>
      </c>
    </row>
    <row r="176" spans="1:10" ht="184.5" thickTop="1" thickBot="1" x14ac:dyDescent="0.25">
      <c r="A176" s="641"/>
      <c r="B176" s="641"/>
      <c r="C176" s="641"/>
      <c r="D176" s="233" t="s">
        <v>586</v>
      </c>
      <c r="E176" s="652"/>
      <c r="F176" s="652"/>
      <c r="G176" s="652"/>
      <c r="H176" s="652"/>
      <c r="I176" s="652"/>
      <c r="J176" s="652"/>
    </row>
    <row r="177" spans="1:13" ht="409.6" thickTop="1" thickBot="1" x14ac:dyDescent="0.25">
      <c r="A177" s="378" t="s">
        <v>752</v>
      </c>
      <c r="B177" s="378" t="s">
        <v>750</v>
      </c>
      <c r="C177" s="378" t="s">
        <v>302</v>
      </c>
      <c r="D177" s="243" t="s">
        <v>751</v>
      </c>
      <c r="E177" s="240" t="s">
        <v>768</v>
      </c>
      <c r="F177" s="240" t="s">
        <v>741</v>
      </c>
      <c r="G177" s="374">
        <f>H177+I177</f>
        <v>100000</v>
      </c>
      <c r="H177" s="374">
        <f>'d3'!E133</f>
        <v>100000</v>
      </c>
      <c r="I177" s="374">
        <f>'d3'!J133</f>
        <v>0</v>
      </c>
      <c r="J177" s="374">
        <f>'d3'!K133</f>
        <v>0</v>
      </c>
    </row>
    <row r="178" spans="1:13" ht="409.6" thickTop="1" thickBot="1" x14ac:dyDescent="0.25">
      <c r="A178" s="378" t="s">
        <v>300</v>
      </c>
      <c r="B178" s="378" t="s">
        <v>301</v>
      </c>
      <c r="C178" s="378" t="s">
        <v>302</v>
      </c>
      <c r="D178" s="378" t="s">
        <v>299</v>
      </c>
      <c r="E178" s="251" t="s">
        <v>588</v>
      </c>
      <c r="F178" s="251" t="s">
        <v>517</v>
      </c>
      <c r="G178" s="374">
        <f>H178+I178</f>
        <v>1491054</v>
      </c>
      <c r="H178" s="374">
        <f>'d3'!E134</f>
        <v>1443054</v>
      </c>
      <c r="I178" s="375">
        <f>'d3'!J134</f>
        <v>48000</v>
      </c>
      <c r="J178" s="379">
        <f>'d3'!K134</f>
        <v>48000</v>
      </c>
    </row>
    <row r="179" spans="1:13" ht="361.5" thickTop="1" thickBot="1" x14ac:dyDescent="0.25">
      <c r="A179" s="451" t="s">
        <v>30</v>
      </c>
      <c r="B179" s="451"/>
      <c r="C179" s="451"/>
      <c r="D179" s="452" t="s">
        <v>459</v>
      </c>
      <c r="E179" s="453"/>
      <c r="F179" s="454"/>
      <c r="G179" s="454">
        <f>G180</f>
        <v>94597972</v>
      </c>
      <c r="H179" s="454">
        <f>H180</f>
        <v>157800</v>
      </c>
      <c r="I179" s="453">
        <f>I180</f>
        <v>94440172</v>
      </c>
      <c r="J179" s="453">
        <f>J180</f>
        <v>94440172</v>
      </c>
    </row>
    <row r="180" spans="1:13" ht="316.5" customHeight="1" thickTop="1" thickBot="1" x14ac:dyDescent="0.25">
      <c r="A180" s="455" t="s">
        <v>31</v>
      </c>
      <c r="B180" s="455"/>
      <c r="C180" s="455"/>
      <c r="D180" s="456" t="s">
        <v>458</v>
      </c>
      <c r="E180" s="457"/>
      <c r="F180" s="458"/>
      <c r="G180" s="458">
        <f>G183+G185+G186+G181+G182+G187+G184</f>
        <v>94597972</v>
      </c>
      <c r="H180" s="458">
        <f>H183+H185+H186+H181+H182+H187+H184</f>
        <v>157800</v>
      </c>
      <c r="I180" s="458">
        <f>I183+I185+I186+I181+I182+I187+I184</f>
        <v>94440172</v>
      </c>
      <c r="J180" s="458">
        <f>J183+J185+J186+J181+J182+J187+J184</f>
        <v>94440172</v>
      </c>
      <c r="K180" s="149" t="b">
        <f>H180='d3'!E136-'d3'!E137</f>
        <v>1</v>
      </c>
      <c r="L180" s="131" t="b">
        <f>I180='d3'!J136</f>
        <v>1</v>
      </c>
      <c r="M180" s="132" t="b">
        <f>J180='d3'!K136</f>
        <v>1</v>
      </c>
    </row>
    <row r="181" spans="1:13" ht="138.75" thickTop="1" thickBot="1" x14ac:dyDescent="0.25">
      <c r="A181" s="378" t="s">
        <v>550</v>
      </c>
      <c r="B181" s="378" t="s">
        <v>53</v>
      </c>
      <c r="C181" s="378" t="s">
        <v>52</v>
      </c>
      <c r="D181" s="378" t="s">
        <v>298</v>
      </c>
      <c r="E181" s="321" t="s">
        <v>732</v>
      </c>
      <c r="F181" s="379" t="s">
        <v>733</v>
      </c>
      <c r="G181" s="379">
        <f>H181+I181</f>
        <v>157800</v>
      </c>
      <c r="H181" s="379">
        <f>'d3'!E138</f>
        <v>157800</v>
      </c>
      <c r="I181" s="379">
        <f>'d3'!J138</f>
        <v>0</v>
      </c>
      <c r="J181" s="379">
        <f>'d3'!K138</f>
        <v>0</v>
      </c>
    </row>
    <row r="182" spans="1:13" ht="321.75" thickTop="1" thickBot="1" x14ac:dyDescent="0.25">
      <c r="A182" s="378" t="s">
        <v>553</v>
      </c>
      <c r="B182" s="378" t="s">
        <v>555</v>
      </c>
      <c r="C182" s="378" t="s">
        <v>241</v>
      </c>
      <c r="D182" s="378" t="s">
        <v>554</v>
      </c>
      <c r="E182" s="321" t="s">
        <v>732</v>
      </c>
      <c r="F182" s="379" t="s">
        <v>733</v>
      </c>
      <c r="G182" s="379">
        <f>H182+I182</f>
        <v>18200000</v>
      </c>
      <c r="H182" s="379">
        <f>'d3'!E139</f>
        <v>0</v>
      </c>
      <c r="I182" s="379">
        <f>'d3'!J139</f>
        <v>18200000</v>
      </c>
      <c r="J182" s="379">
        <f>'d3'!K139</f>
        <v>18200000</v>
      </c>
    </row>
    <row r="183" spans="1:13" ht="138.75" thickTop="1" thickBot="1" x14ac:dyDescent="0.25">
      <c r="A183" s="378" t="s">
        <v>371</v>
      </c>
      <c r="B183" s="378" t="s">
        <v>372</v>
      </c>
      <c r="C183" s="378" t="s">
        <v>359</v>
      </c>
      <c r="D183" s="378" t="s">
        <v>647</v>
      </c>
      <c r="E183" s="321" t="s">
        <v>732</v>
      </c>
      <c r="F183" s="379" t="s">
        <v>733</v>
      </c>
      <c r="G183" s="379">
        <f>I183</f>
        <v>22100000</v>
      </c>
      <c r="H183" s="379">
        <f>'d3'!E140</f>
        <v>0</v>
      </c>
      <c r="I183" s="379">
        <f>'d3'!J140</f>
        <v>22100000</v>
      </c>
      <c r="J183" s="379">
        <f>I183</f>
        <v>22100000</v>
      </c>
    </row>
    <row r="184" spans="1:13" ht="138.75" thickTop="1" thickBot="1" x14ac:dyDescent="0.25">
      <c r="A184" s="378" t="s">
        <v>748</v>
      </c>
      <c r="B184" s="378" t="s">
        <v>749</v>
      </c>
      <c r="C184" s="378" t="s">
        <v>359</v>
      </c>
      <c r="D184" s="378" t="s">
        <v>747</v>
      </c>
      <c r="E184" s="321" t="s">
        <v>732</v>
      </c>
      <c r="F184" s="379" t="s">
        <v>733</v>
      </c>
      <c r="G184" s="379">
        <f>I184</f>
        <v>152378</v>
      </c>
      <c r="H184" s="379">
        <f>'d3'!E141</f>
        <v>0</v>
      </c>
      <c r="I184" s="379">
        <f>'d3'!J141</f>
        <v>152378</v>
      </c>
      <c r="J184" s="379">
        <f>I184</f>
        <v>152378</v>
      </c>
    </row>
    <row r="185" spans="1:13" ht="145.5" thickTop="1" thickBot="1" x14ac:dyDescent="0.25">
      <c r="A185" s="378" t="s">
        <v>373</v>
      </c>
      <c r="B185" s="378" t="s">
        <v>374</v>
      </c>
      <c r="C185" s="378" t="s">
        <v>359</v>
      </c>
      <c r="D185" s="378" t="s">
        <v>646</v>
      </c>
      <c r="E185" s="321" t="s">
        <v>732</v>
      </c>
      <c r="F185" s="379" t="s">
        <v>733</v>
      </c>
      <c r="G185" s="379">
        <f t="shared" ref="G185:G186" si="21">I185</f>
        <v>600000</v>
      </c>
      <c r="H185" s="379">
        <f>'d3'!E142</f>
        <v>0</v>
      </c>
      <c r="I185" s="379">
        <f>'d3'!J142</f>
        <v>600000</v>
      </c>
      <c r="J185" s="379">
        <f>I185</f>
        <v>600000</v>
      </c>
    </row>
    <row r="186" spans="1:13" ht="138.75" thickTop="1" thickBot="1" x14ac:dyDescent="0.25">
      <c r="A186" s="378" t="s">
        <v>376</v>
      </c>
      <c r="B186" s="378" t="s">
        <v>377</v>
      </c>
      <c r="C186" s="378" t="s">
        <v>359</v>
      </c>
      <c r="D186" s="378" t="s">
        <v>645</v>
      </c>
      <c r="E186" s="321" t="s">
        <v>732</v>
      </c>
      <c r="F186" s="379" t="s">
        <v>733</v>
      </c>
      <c r="G186" s="379">
        <f t="shared" si="21"/>
        <v>24117622</v>
      </c>
      <c r="H186" s="379">
        <f>'d3'!E143</f>
        <v>0</v>
      </c>
      <c r="I186" s="379">
        <f>'d3'!J143</f>
        <v>24117622</v>
      </c>
      <c r="J186" s="379">
        <f>I186</f>
        <v>24117622</v>
      </c>
    </row>
    <row r="187" spans="1:13" ht="184.5" thickTop="1" thickBot="1" x14ac:dyDescent="0.25">
      <c r="A187" s="378" t="s">
        <v>572</v>
      </c>
      <c r="B187" s="378" t="s">
        <v>428</v>
      </c>
      <c r="C187" s="378" t="s">
        <v>210</v>
      </c>
      <c r="D187" s="378" t="s">
        <v>313</v>
      </c>
      <c r="E187" s="321" t="s">
        <v>732</v>
      </c>
      <c r="F187" s="379" t="s">
        <v>733</v>
      </c>
      <c r="G187" s="379">
        <f>H187+I187</f>
        <v>29270172</v>
      </c>
      <c r="H187" s="379">
        <f>'d3'!E144</f>
        <v>0</v>
      </c>
      <c r="I187" s="379">
        <f>'d3'!J144</f>
        <v>29270172</v>
      </c>
      <c r="J187" s="379">
        <f>'d3'!K144</f>
        <v>29270172</v>
      </c>
    </row>
    <row r="188" spans="1:13" ht="292.5" customHeight="1" thickTop="1" thickBot="1" x14ac:dyDescent="0.25">
      <c r="A188" s="451" t="s">
        <v>200</v>
      </c>
      <c r="B188" s="451"/>
      <c r="C188" s="451"/>
      <c r="D188" s="452" t="s">
        <v>928</v>
      </c>
      <c r="E188" s="453"/>
      <c r="F188" s="454"/>
      <c r="G188" s="454">
        <f>G189</f>
        <v>441220</v>
      </c>
      <c r="H188" s="454">
        <f t="shared" ref="H188:J188" si="22">H189</f>
        <v>0</v>
      </c>
      <c r="I188" s="453">
        <f t="shared" si="22"/>
        <v>441220</v>
      </c>
      <c r="J188" s="453">
        <f t="shared" si="22"/>
        <v>441220</v>
      </c>
    </row>
    <row r="189" spans="1:13" ht="361.5" thickTop="1" thickBot="1" x14ac:dyDescent="0.25">
      <c r="A189" s="455" t="s">
        <v>201</v>
      </c>
      <c r="B189" s="455"/>
      <c r="C189" s="455"/>
      <c r="D189" s="456" t="s">
        <v>929</v>
      </c>
      <c r="E189" s="457"/>
      <c r="F189" s="458"/>
      <c r="G189" s="458">
        <f>SUM(G190)</f>
        <v>441220</v>
      </c>
      <c r="H189" s="458">
        <f t="shared" ref="H189:J189" si="23">SUM(H190)</f>
        <v>0</v>
      </c>
      <c r="I189" s="458">
        <f t="shared" si="23"/>
        <v>441220</v>
      </c>
      <c r="J189" s="458">
        <f t="shared" si="23"/>
        <v>441220</v>
      </c>
    </row>
    <row r="190" spans="1:13" ht="184.5" thickTop="1" thickBot="1" x14ac:dyDescent="0.25">
      <c r="A190" s="378" t="s">
        <v>754</v>
      </c>
      <c r="B190" s="378" t="s">
        <v>755</v>
      </c>
      <c r="C190" s="378" t="s">
        <v>359</v>
      </c>
      <c r="D190" s="378" t="s">
        <v>756</v>
      </c>
      <c r="E190" s="321" t="s">
        <v>732</v>
      </c>
      <c r="F190" s="379" t="s">
        <v>733</v>
      </c>
      <c r="G190" s="379">
        <f>H190+I190</f>
        <v>441220</v>
      </c>
      <c r="H190" s="379">
        <f>'d3'!E148</f>
        <v>0</v>
      </c>
      <c r="I190" s="379">
        <f>'d3'!J148</f>
        <v>441220</v>
      </c>
      <c r="J190" s="379">
        <f>'d3'!K148</f>
        <v>441220</v>
      </c>
    </row>
    <row r="191" spans="1:13" ht="201.75" customHeight="1" thickTop="1" thickBot="1" x14ac:dyDescent="0.25">
      <c r="A191" s="451" t="s">
        <v>591</v>
      </c>
      <c r="B191" s="451"/>
      <c r="C191" s="451"/>
      <c r="D191" s="452" t="s">
        <v>593</v>
      </c>
      <c r="E191" s="453"/>
      <c r="F191" s="454"/>
      <c r="G191" s="454">
        <f>G192</f>
        <v>63789442</v>
      </c>
      <c r="H191" s="454">
        <f t="shared" ref="H191:J191" si="24">H192</f>
        <v>63740442</v>
      </c>
      <c r="I191" s="453">
        <f t="shared" si="24"/>
        <v>49000</v>
      </c>
      <c r="J191" s="453">
        <f t="shared" si="24"/>
        <v>49000</v>
      </c>
    </row>
    <row r="192" spans="1:13" ht="240.75" customHeight="1" thickTop="1" thickBot="1" x14ac:dyDescent="0.25">
      <c r="A192" s="455" t="s">
        <v>592</v>
      </c>
      <c r="B192" s="455"/>
      <c r="C192" s="455"/>
      <c r="D192" s="456" t="s">
        <v>594</v>
      </c>
      <c r="E192" s="457"/>
      <c r="F192" s="458"/>
      <c r="G192" s="458">
        <f>SUM(G193:G196)</f>
        <v>63789442</v>
      </c>
      <c r="H192" s="458">
        <f>SUM(H193:H196)</f>
        <v>63740442</v>
      </c>
      <c r="I192" s="458">
        <f>SUM(I193:I196)</f>
        <v>49000</v>
      </c>
      <c r="J192" s="458">
        <f>SUM(J193:J196)</f>
        <v>49000</v>
      </c>
      <c r="K192" s="149" t="b">
        <f>H192='d3'!E150-'d3'!E151+H193</f>
        <v>1</v>
      </c>
      <c r="L192" s="131" t="b">
        <f>I192='d3'!J149</f>
        <v>1</v>
      </c>
      <c r="M192" s="132" t="b">
        <f>J192='d3'!K149</f>
        <v>1</v>
      </c>
    </row>
    <row r="193" spans="1:13" ht="230.25" thickTop="1" thickBot="1" x14ac:dyDescent="0.25">
      <c r="A193" s="378" t="s">
        <v>595</v>
      </c>
      <c r="B193" s="378" t="s">
        <v>286</v>
      </c>
      <c r="C193" s="378" t="s">
        <v>284</v>
      </c>
      <c r="D193" s="378" t="s">
        <v>285</v>
      </c>
      <c r="E193" s="321" t="s">
        <v>525</v>
      </c>
      <c r="F193" s="379" t="s">
        <v>524</v>
      </c>
      <c r="G193" s="379">
        <f>H193+I193</f>
        <v>49000</v>
      </c>
      <c r="H193" s="374"/>
      <c r="I193" s="379">
        <v>49000</v>
      </c>
      <c r="J193" s="379">
        <v>49000</v>
      </c>
    </row>
    <row r="194" spans="1:13" ht="230.25" hidden="1" thickTop="1" thickBot="1" x14ac:dyDescent="0.25">
      <c r="A194" s="378" t="s">
        <v>634</v>
      </c>
      <c r="B194" s="378" t="s">
        <v>510</v>
      </c>
      <c r="C194" s="378" t="s">
        <v>511</v>
      </c>
      <c r="D194" s="378" t="s">
        <v>512</v>
      </c>
      <c r="E194" s="321" t="s">
        <v>636</v>
      </c>
      <c r="F194" s="379" t="s">
        <v>697</v>
      </c>
      <c r="G194" s="379">
        <f>H194+I194</f>
        <v>0</v>
      </c>
      <c r="H194" s="374">
        <f>'d3'!E152</f>
        <v>0</v>
      </c>
      <c r="I194" s="379">
        <f>'d3'!J152</f>
        <v>0</v>
      </c>
      <c r="J194" s="379">
        <f>'d3'!K152</f>
        <v>0</v>
      </c>
    </row>
    <row r="195" spans="1:13" ht="230.25" thickTop="1" thickBot="1" x14ac:dyDescent="0.25">
      <c r="A195" s="378" t="s">
        <v>635</v>
      </c>
      <c r="B195" s="378" t="s">
        <v>343</v>
      </c>
      <c r="C195" s="378" t="s">
        <v>345</v>
      </c>
      <c r="D195" s="378" t="s">
        <v>344</v>
      </c>
      <c r="E195" s="321" t="s">
        <v>636</v>
      </c>
      <c r="F195" s="379" t="s">
        <v>697</v>
      </c>
      <c r="G195" s="653">
        <f>H195+I195</f>
        <v>63740442</v>
      </c>
      <c r="H195" s="653">
        <f>'d3'!E153</f>
        <v>63740442</v>
      </c>
      <c r="I195" s="653">
        <f>'d3'!J153</f>
        <v>0</v>
      </c>
      <c r="J195" s="653">
        <f>'d3'!K153</f>
        <v>0</v>
      </c>
    </row>
    <row r="196" spans="1:13" ht="184.5" thickTop="1" thickBot="1" x14ac:dyDescent="0.25">
      <c r="A196" s="378" t="s">
        <v>635</v>
      </c>
      <c r="B196" s="378" t="s">
        <v>343</v>
      </c>
      <c r="C196" s="378" t="s">
        <v>345</v>
      </c>
      <c r="D196" s="378" t="s">
        <v>344</v>
      </c>
      <c r="E196" s="321" t="s">
        <v>932</v>
      </c>
      <c r="F196" s="379" t="s">
        <v>933</v>
      </c>
      <c r="G196" s="652"/>
      <c r="H196" s="652"/>
      <c r="I196" s="652"/>
      <c r="J196" s="652"/>
    </row>
    <row r="197" spans="1:13" ht="160.5" customHeight="1" thickTop="1" thickBot="1" x14ac:dyDescent="0.25">
      <c r="A197" s="451" t="s">
        <v>206</v>
      </c>
      <c r="B197" s="451"/>
      <c r="C197" s="451"/>
      <c r="D197" s="452" t="s">
        <v>432</v>
      </c>
      <c r="E197" s="453"/>
      <c r="F197" s="454"/>
      <c r="G197" s="454">
        <f>G198</f>
        <v>8950976</v>
      </c>
      <c r="H197" s="454">
        <f t="shared" ref="H197:J197" si="25">H198</f>
        <v>7926912</v>
      </c>
      <c r="I197" s="453">
        <f t="shared" si="25"/>
        <v>1024064</v>
      </c>
      <c r="J197" s="453">
        <f t="shared" si="25"/>
        <v>1024064</v>
      </c>
      <c r="K197" s="149" t="b">
        <f>H197='d3'!E155</f>
        <v>1</v>
      </c>
      <c r="L197" s="131" t="b">
        <f>I197='d3'!J155</f>
        <v>1</v>
      </c>
      <c r="M197" s="132" t="b">
        <f>J197='d3'!K155</f>
        <v>1</v>
      </c>
    </row>
    <row r="198" spans="1:13" ht="181.5" thickTop="1" thickBot="1" x14ac:dyDescent="0.25">
      <c r="A198" s="455" t="s">
        <v>207</v>
      </c>
      <c r="B198" s="455"/>
      <c r="C198" s="455"/>
      <c r="D198" s="456" t="s">
        <v>433</v>
      </c>
      <c r="E198" s="457"/>
      <c r="F198" s="458"/>
      <c r="G198" s="458">
        <f>SUM(G199:G205)</f>
        <v>8950976</v>
      </c>
      <c r="H198" s="458">
        <f>SUM(H199:H205)</f>
        <v>7926912</v>
      </c>
      <c r="I198" s="458">
        <f>SUM(I199:I205)</f>
        <v>1024064</v>
      </c>
      <c r="J198" s="458">
        <f>SUM(J199:J205)</f>
        <v>1024064</v>
      </c>
    </row>
    <row r="199" spans="1:13" ht="225" customHeight="1" thickTop="1" thickBot="1" x14ac:dyDescent="0.25">
      <c r="A199" s="378" t="s">
        <v>427</v>
      </c>
      <c r="B199" s="378" t="s">
        <v>428</v>
      </c>
      <c r="C199" s="378" t="s">
        <v>210</v>
      </c>
      <c r="D199" s="378" t="s">
        <v>313</v>
      </c>
      <c r="E199" s="321" t="s">
        <v>599</v>
      </c>
      <c r="F199" s="251" t="s">
        <v>600</v>
      </c>
      <c r="G199" s="374">
        <f t="shared" ref="G199:G204" si="26">H199+I199</f>
        <v>0</v>
      </c>
      <c r="H199" s="379">
        <v>0</v>
      </c>
      <c r="I199" s="379">
        <f>(3000000)-3000000</f>
        <v>0</v>
      </c>
      <c r="J199" s="379">
        <f>(3000000)-3000000</f>
        <v>0</v>
      </c>
      <c r="K199" s="149" t="b">
        <f>H199='d3'!E156</f>
        <v>1</v>
      </c>
      <c r="L199" s="131" t="b">
        <f>I199='d3'!J156</f>
        <v>1</v>
      </c>
      <c r="M199" s="132" t="b">
        <f>J199='d3'!K156</f>
        <v>1</v>
      </c>
    </row>
    <row r="200" spans="1:13" ht="230.25" thickTop="1" thickBot="1" x14ac:dyDescent="0.25">
      <c r="A200" s="378" t="s">
        <v>311</v>
      </c>
      <c r="B200" s="378" t="s">
        <v>312</v>
      </c>
      <c r="C200" s="378" t="s">
        <v>310</v>
      </c>
      <c r="D200" s="378" t="s">
        <v>309</v>
      </c>
      <c r="E200" s="321" t="s">
        <v>597</v>
      </c>
      <c r="F200" s="251" t="s">
        <v>542</v>
      </c>
      <c r="G200" s="374">
        <f>H200+I200</f>
        <v>4635555</v>
      </c>
      <c r="H200" s="379">
        <f>((4119000)+500000)+16555</f>
        <v>4635555</v>
      </c>
      <c r="I200" s="379"/>
      <c r="J200" s="379"/>
      <c r="K200" s="149" t="b">
        <f>H200+H201='d3'!E157</f>
        <v>1</v>
      </c>
      <c r="L200" s="131" t="b">
        <f>I200+I201='d3'!J157</f>
        <v>1</v>
      </c>
      <c r="M200" s="132" t="b">
        <f>J200+J201='d3'!K157</f>
        <v>1</v>
      </c>
    </row>
    <row r="201" spans="1:13" ht="184.5" thickTop="1" thickBot="1" x14ac:dyDescent="0.25">
      <c r="A201" s="378" t="s">
        <v>311</v>
      </c>
      <c r="B201" s="378" t="s">
        <v>312</v>
      </c>
      <c r="C201" s="378" t="s">
        <v>310</v>
      </c>
      <c r="D201" s="378" t="s">
        <v>309</v>
      </c>
      <c r="E201" s="321" t="s">
        <v>598</v>
      </c>
      <c r="F201" s="251" t="s">
        <v>529</v>
      </c>
      <c r="G201" s="374">
        <f t="shared" si="26"/>
        <v>200000</v>
      </c>
      <c r="H201" s="379">
        <v>200000</v>
      </c>
      <c r="I201" s="379"/>
      <c r="J201" s="379"/>
    </row>
    <row r="202" spans="1:13" ht="230.25" thickTop="1" thickBot="1" x14ac:dyDescent="0.25">
      <c r="A202" s="378" t="s">
        <v>303</v>
      </c>
      <c r="B202" s="378" t="s">
        <v>305</v>
      </c>
      <c r="C202" s="378" t="s">
        <v>263</v>
      </c>
      <c r="D202" s="378" t="s">
        <v>304</v>
      </c>
      <c r="E202" s="379" t="s">
        <v>530</v>
      </c>
      <c r="F202" s="251" t="s">
        <v>531</v>
      </c>
      <c r="G202" s="374">
        <f t="shared" si="26"/>
        <v>320000</v>
      </c>
      <c r="H202" s="379">
        <f>420000-100000</f>
        <v>320000</v>
      </c>
      <c r="I202" s="379">
        <v>0</v>
      </c>
      <c r="J202" s="379">
        <v>0</v>
      </c>
      <c r="K202" s="149" t="b">
        <f>H202='d3'!E158</f>
        <v>1</v>
      </c>
      <c r="L202" s="131" t="b">
        <f>I202='d3'!J158</f>
        <v>1</v>
      </c>
      <c r="M202" s="132" t="b">
        <f>J202='d3'!K158</f>
        <v>1</v>
      </c>
    </row>
    <row r="203" spans="1:13" ht="321.75" thickTop="1" thickBot="1" x14ac:dyDescent="0.25">
      <c r="A203" s="378" t="s">
        <v>307</v>
      </c>
      <c r="B203" s="378" t="s">
        <v>308</v>
      </c>
      <c r="C203" s="378" t="s">
        <v>210</v>
      </c>
      <c r="D203" s="378" t="s">
        <v>306</v>
      </c>
      <c r="E203" s="379" t="s">
        <v>596</v>
      </c>
      <c r="F203" s="251" t="s">
        <v>543</v>
      </c>
      <c r="G203" s="374">
        <f t="shared" si="26"/>
        <v>2435765</v>
      </c>
      <c r="H203" s="379">
        <f>((2485765)-50000)-200000</f>
        <v>2235765</v>
      </c>
      <c r="I203" s="379">
        <v>200000</v>
      </c>
      <c r="J203" s="379">
        <v>200000</v>
      </c>
      <c r="K203" s="149" t="b">
        <f>'d3'!E159=H203+H204</f>
        <v>1</v>
      </c>
      <c r="L203" s="131" t="b">
        <f>'d3'!J159=I203+I204</f>
        <v>1</v>
      </c>
      <c r="M203" s="150" t="b">
        <f>'d3'!K159=J203+J204</f>
        <v>1</v>
      </c>
    </row>
    <row r="204" spans="1:13" ht="230.25" thickTop="1" thickBot="1" x14ac:dyDescent="0.25">
      <c r="A204" s="378" t="s">
        <v>307</v>
      </c>
      <c r="B204" s="378" t="s">
        <v>308</v>
      </c>
      <c r="C204" s="378" t="s">
        <v>210</v>
      </c>
      <c r="D204" s="378" t="s">
        <v>306</v>
      </c>
      <c r="E204" s="379" t="s">
        <v>566</v>
      </c>
      <c r="F204" s="251" t="s">
        <v>565</v>
      </c>
      <c r="G204" s="374">
        <f t="shared" si="26"/>
        <v>859656</v>
      </c>
      <c r="H204" s="379">
        <f>((800000)-220000)-44408</f>
        <v>535592</v>
      </c>
      <c r="I204" s="379">
        <f>((200000)+220000)-95936</f>
        <v>324064</v>
      </c>
      <c r="J204" s="379">
        <f>((200000)+220000)-95936</f>
        <v>324064</v>
      </c>
      <c r="K204" s="149"/>
      <c r="L204" s="131"/>
      <c r="M204" s="132"/>
    </row>
    <row r="205" spans="1:13" s="486" customFormat="1" ht="138.75" thickTop="1" thickBot="1" x14ac:dyDescent="0.25">
      <c r="A205" s="487" t="s">
        <v>996</v>
      </c>
      <c r="B205" s="487" t="s">
        <v>443</v>
      </c>
      <c r="C205" s="487" t="s">
        <v>53</v>
      </c>
      <c r="D205" s="487" t="s">
        <v>444</v>
      </c>
      <c r="E205" s="321" t="s">
        <v>732</v>
      </c>
      <c r="F205" s="489" t="s">
        <v>733</v>
      </c>
      <c r="G205" s="488">
        <f t="shared" ref="G205" si="27">H205+I205</f>
        <v>500000</v>
      </c>
      <c r="H205" s="489">
        <v>0</v>
      </c>
      <c r="I205" s="489">
        <v>500000</v>
      </c>
      <c r="J205" s="489">
        <v>500000</v>
      </c>
      <c r="K205" s="149" t="b">
        <f>H205='d3'!E160</f>
        <v>1</v>
      </c>
      <c r="L205" s="131" t="b">
        <f>I205='d3'!J160</f>
        <v>1</v>
      </c>
      <c r="M205" s="132" t="b">
        <f>J205='d3'!K160</f>
        <v>1</v>
      </c>
    </row>
    <row r="206" spans="1:13" ht="226.5" thickTop="1" thickBot="1" x14ac:dyDescent="0.25">
      <c r="A206" s="451" t="s">
        <v>204</v>
      </c>
      <c r="B206" s="451"/>
      <c r="C206" s="451"/>
      <c r="D206" s="452" t="s">
        <v>559</v>
      </c>
      <c r="E206" s="453"/>
      <c r="F206" s="454"/>
      <c r="G206" s="454">
        <f>G207</f>
        <v>1004763.28</v>
      </c>
      <c r="H206" s="454">
        <f t="shared" ref="H206:J206" si="28">H207</f>
        <v>38800</v>
      </c>
      <c r="I206" s="453">
        <f t="shared" si="28"/>
        <v>965963.28</v>
      </c>
      <c r="J206" s="453">
        <f t="shared" si="28"/>
        <v>0</v>
      </c>
      <c r="K206" s="149" t="b">
        <f>H206='d3'!E162-'d3'!E163</f>
        <v>1</v>
      </c>
      <c r="L206" s="131" t="b">
        <f>I206='d3'!J162</f>
        <v>1</v>
      </c>
      <c r="M206" s="132" t="b">
        <f>J206='d3'!K162</f>
        <v>1</v>
      </c>
    </row>
    <row r="207" spans="1:13" ht="271.5" thickTop="1" thickBot="1" x14ac:dyDescent="0.25">
      <c r="A207" s="455" t="s">
        <v>205</v>
      </c>
      <c r="B207" s="455"/>
      <c r="C207" s="455"/>
      <c r="D207" s="456" t="s">
        <v>560</v>
      </c>
      <c r="E207" s="457"/>
      <c r="F207" s="458"/>
      <c r="G207" s="458">
        <f>SUM(G208:G212)</f>
        <v>1004763.28</v>
      </c>
      <c r="H207" s="458">
        <f>SUM(H208:H212)</f>
        <v>38800</v>
      </c>
      <c r="I207" s="458">
        <f>SUM(I208:I212)</f>
        <v>965963.28</v>
      </c>
      <c r="J207" s="458">
        <f>SUM(J208:J212)</f>
        <v>0</v>
      </c>
    </row>
    <row r="208" spans="1:13" ht="230.25" thickTop="1" thickBot="1" x14ac:dyDescent="0.25">
      <c r="A208" s="378" t="s">
        <v>938</v>
      </c>
      <c r="B208" s="378" t="s">
        <v>308</v>
      </c>
      <c r="C208" s="378" t="s">
        <v>210</v>
      </c>
      <c r="D208" s="378" t="s">
        <v>306</v>
      </c>
      <c r="E208" s="379" t="s">
        <v>566</v>
      </c>
      <c r="F208" s="251" t="s">
        <v>565</v>
      </c>
      <c r="G208" s="374">
        <f t="shared" ref="G208:G212" si="29">H208+I208</f>
        <v>38800</v>
      </c>
      <c r="H208" s="379">
        <f>'d3'!E164</f>
        <v>38800</v>
      </c>
      <c r="I208" s="379">
        <f>'d3'!J164</f>
        <v>0</v>
      </c>
      <c r="J208" s="379">
        <f>'d3'!K164</f>
        <v>0</v>
      </c>
    </row>
    <row r="209" spans="1:17" ht="184.5" thickTop="1" thickBot="1" x14ac:dyDescent="0.25">
      <c r="A209" s="378" t="s">
        <v>366</v>
      </c>
      <c r="B209" s="378" t="s">
        <v>367</v>
      </c>
      <c r="C209" s="378" t="s">
        <v>62</v>
      </c>
      <c r="D209" s="378" t="s">
        <v>63</v>
      </c>
      <c r="E209" s="321" t="s">
        <v>534</v>
      </c>
      <c r="F209" s="251" t="s">
        <v>664</v>
      </c>
      <c r="G209" s="374">
        <f t="shared" si="29"/>
        <v>738106</v>
      </c>
      <c r="H209" s="379">
        <f>'d3'!E165</f>
        <v>0</v>
      </c>
      <c r="I209" s="379">
        <f>'d3'!J165</f>
        <v>738106</v>
      </c>
      <c r="J209" s="379">
        <f>'d3'!K165</f>
        <v>0</v>
      </c>
    </row>
    <row r="210" spans="1:17" ht="184.5" thickTop="1" thickBot="1" x14ac:dyDescent="0.25">
      <c r="A210" s="378" t="s">
        <v>650</v>
      </c>
      <c r="B210" s="378" t="s">
        <v>651</v>
      </c>
      <c r="C210" s="378" t="s">
        <v>644</v>
      </c>
      <c r="D210" s="378" t="s">
        <v>652</v>
      </c>
      <c r="E210" s="321" t="s">
        <v>534</v>
      </c>
      <c r="F210" s="251" t="s">
        <v>664</v>
      </c>
      <c r="G210" s="374">
        <f t="shared" si="29"/>
        <v>70000</v>
      </c>
      <c r="H210" s="379">
        <f>'d3'!E166</f>
        <v>0</v>
      </c>
      <c r="I210" s="379">
        <f>'d3'!J166</f>
        <v>70000</v>
      </c>
      <c r="J210" s="379">
        <f>'d3'!K166</f>
        <v>0</v>
      </c>
    </row>
    <row r="211" spans="1:17" ht="184.5" thickTop="1" thickBot="1" x14ac:dyDescent="0.25">
      <c r="A211" s="378" t="s">
        <v>759</v>
      </c>
      <c r="B211" s="378" t="s">
        <v>757</v>
      </c>
      <c r="C211" s="378" t="s">
        <v>760</v>
      </c>
      <c r="D211" s="378" t="s">
        <v>758</v>
      </c>
      <c r="E211" s="321" t="s">
        <v>534</v>
      </c>
      <c r="F211" s="251" t="s">
        <v>664</v>
      </c>
      <c r="G211" s="374">
        <f t="shared" si="29"/>
        <v>63670</v>
      </c>
      <c r="H211" s="379">
        <f>'d3'!E167</f>
        <v>0</v>
      </c>
      <c r="I211" s="379">
        <f>'d3'!J167</f>
        <v>63670</v>
      </c>
      <c r="J211" s="379">
        <f>'d3'!K167</f>
        <v>0</v>
      </c>
    </row>
    <row r="212" spans="1:17" ht="184.5" thickTop="1" thickBot="1" x14ac:dyDescent="0.25">
      <c r="A212" s="378" t="s">
        <v>368</v>
      </c>
      <c r="B212" s="378" t="s">
        <v>369</v>
      </c>
      <c r="C212" s="378" t="s">
        <v>64</v>
      </c>
      <c r="D212" s="378" t="s">
        <v>653</v>
      </c>
      <c r="E212" s="321" t="s">
        <v>534</v>
      </c>
      <c r="F212" s="251" t="s">
        <v>664</v>
      </c>
      <c r="G212" s="374">
        <f t="shared" si="29"/>
        <v>94187.28</v>
      </c>
      <c r="H212" s="379">
        <f>'d3'!E168</f>
        <v>0</v>
      </c>
      <c r="I212" s="379">
        <f>'d3'!J168</f>
        <v>94187.28</v>
      </c>
      <c r="J212" s="379">
        <f>'d3'!K168</f>
        <v>0</v>
      </c>
    </row>
    <row r="213" spans="1:17" ht="361.5" thickTop="1" thickBot="1" x14ac:dyDescent="0.25">
      <c r="A213" s="451" t="s">
        <v>202</v>
      </c>
      <c r="B213" s="451"/>
      <c r="C213" s="451"/>
      <c r="D213" s="452" t="s">
        <v>561</v>
      </c>
      <c r="E213" s="453"/>
      <c r="F213" s="454"/>
      <c r="G213" s="454">
        <f>G214</f>
        <v>300000</v>
      </c>
      <c r="H213" s="454">
        <f t="shared" ref="H213:J213" si="30">H214</f>
        <v>0</v>
      </c>
      <c r="I213" s="453">
        <f t="shared" si="30"/>
        <v>300000</v>
      </c>
      <c r="J213" s="453">
        <f t="shared" si="30"/>
        <v>300000</v>
      </c>
      <c r="K213" s="149" t="b">
        <f>H213='d3'!E170-'d3'!E171</f>
        <v>1</v>
      </c>
      <c r="L213" s="131" t="b">
        <f>I213='d3'!J170</f>
        <v>1</v>
      </c>
      <c r="M213" s="132" t="b">
        <f>J213='d3'!K170</f>
        <v>1</v>
      </c>
    </row>
    <row r="214" spans="1:17" ht="406.5" thickTop="1" thickBot="1" x14ac:dyDescent="0.25">
      <c r="A214" s="455" t="s">
        <v>203</v>
      </c>
      <c r="B214" s="455"/>
      <c r="C214" s="455"/>
      <c r="D214" s="456" t="s">
        <v>562</v>
      </c>
      <c r="E214" s="457"/>
      <c r="F214" s="458"/>
      <c r="G214" s="458">
        <f>SUM(G215:G217)</f>
        <v>300000</v>
      </c>
      <c r="H214" s="458">
        <f>SUM(H215:H217)</f>
        <v>0</v>
      </c>
      <c r="I214" s="458">
        <f>SUM(I215:I217)</f>
        <v>300000</v>
      </c>
      <c r="J214" s="458">
        <f>SUM(J215:J217)</f>
        <v>300000</v>
      </c>
    </row>
    <row r="215" spans="1:17" ht="367.5" hidden="1" thickTop="1" thickBot="1" x14ac:dyDescent="0.25">
      <c r="A215" s="378" t="s">
        <v>519</v>
      </c>
      <c r="B215" s="378" t="s">
        <v>286</v>
      </c>
      <c r="C215" s="378" t="s">
        <v>284</v>
      </c>
      <c r="D215" s="378" t="s">
        <v>281</v>
      </c>
      <c r="E215" s="321" t="s">
        <v>525</v>
      </c>
      <c r="F215" s="379" t="s">
        <v>524</v>
      </c>
      <c r="G215" s="374">
        <f t="shared" ref="G215:G217" si="31">H215+I215</f>
        <v>0</v>
      </c>
      <c r="H215" s="379"/>
      <c r="I215" s="379"/>
      <c r="J215" s="379"/>
    </row>
    <row r="216" spans="1:17" ht="138.75" thickTop="1" thickBot="1" x14ac:dyDescent="0.25">
      <c r="A216" s="378" t="s">
        <v>363</v>
      </c>
      <c r="B216" s="378" t="s">
        <v>364</v>
      </c>
      <c r="C216" s="378" t="s">
        <v>365</v>
      </c>
      <c r="D216" s="378" t="s">
        <v>621</v>
      </c>
      <c r="E216" s="321" t="s">
        <v>732</v>
      </c>
      <c r="F216" s="379" t="s">
        <v>733</v>
      </c>
      <c r="G216" s="374">
        <f t="shared" si="31"/>
        <v>250000</v>
      </c>
      <c r="H216" s="379">
        <f>'d3'!E172</f>
        <v>0</v>
      </c>
      <c r="I216" s="379">
        <f>'d3'!J172</f>
        <v>250000</v>
      </c>
      <c r="J216" s="379">
        <f>'d3'!K172</f>
        <v>250000</v>
      </c>
    </row>
    <row r="217" spans="1:17" ht="138.75" thickTop="1" thickBot="1" x14ac:dyDescent="0.25">
      <c r="A217" s="378" t="s">
        <v>448</v>
      </c>
      <c r="B217" s="378" t="s">
        <v>449</v>
      </c>
      <c r="C217" s="378" t="s">
        <v>210</v>
      </c>
      <c r="D217" s="378" t="s">
        <v>450</v>
      </c>
      <c r="E217" s="321" t="s">
        <v>732</v>
      </c>
      <c r="F217" s="379" t="s">
        <v>733</v>
      </c>
      <c r="G217" s="374">
        <f t="shared" si="31"/>
        <v>50000</v>
      </c>
      <c r="H217" s="379">
        <f>'d3'!E173</f>
        <v>0</v>
      </c>
      <c r="I217" s="379">
        <f>'d3'!J173</f>
        <v>50000</v>
      </c>
      <c r="J217" s="379">
        <f>'d3'!K173</f>
        <v>50000</v>
      </c>
    </row>
    <row r="218" spans="1:17" ht="81.75" customHeight="1" thickTop="1" thickBot="1" x14ac:dyDescent="1.2">
      <c r="A218" s="175" t="s">
        <v>470</v>
      </c>
      <c r="B218" s="175" t="s">
        <v>470</v>
      </c>
      <c r="C218" s="175" t="s">
        <v>470</v>
      </c>
      <c r="D218" s="176" t="s">
        <v>480</v>
      </c>
      <c r="E218" s="175" t="s">
        <v>470</v>
      </c>
      <c r="F218" s="175" t="s">
        <v>470</v>
      </c>
      <c r="G218" s="212">
        <f>G15+G35+G128+G53+G81+G112+G148+G180+G198+G207+G214+G192</f>
        <v>2454709359.9400001</v>
      </c>
      <c r="H218" s="212">
        <f>H15+H35+H128+H53+H81+H112+H148+H180+H198+H207+H214+H192</f>
        <v>1952698609.23</v>
      </c>
      <c r="I218" s="212">
        <f>I15+I35+I128+I53+I81+I112+I148+I180+I198+I207+I214+I192</f>
        <v>502010750.70999998</v>
      </c>
      <c r="J218" s="212">
        <f>J15+J35+J128+J53+J81+J112+J148+J180+J198+J207+J214+J192</f>
        <v>350808404.31</v>
      </c>
      <c r="K218" s="140" t="b">
        <f>G218=H218+I218</f>
        <v>1</v>
      </c>
    </row>
    <row r="219" spans="1:17" ht="31.7" customHeight="1" thickTop="1" x14ac:dyDescent="0.2">
      <c r="A219" s="573" t="s">
        <v>711</v>
      </c>
      <c r="B219" s="574"/>
      <c r="C219" s="574"/>
      <c r="D219" s="574"/>
      <c r="E219" s="574"/>
      <c r="F219" s="574"/>
      <c r="G219" s="574"/>
      <c r="H219" s="574"/>
      <c r="I219" s="574"/>
      <c r="J219" s="574"/>
    </row>
    <row r="220" spans="1:17" ht="31.7" customHeight="1" x14ac:dyDescent="0.2">
      <c r="A220" s="380"/>
      <c r="B220" s="381"/>
      <c r="C220" s="381"/>
      <c r="D220" s="381"/>
      <c r="E220" s="381"/>
      <c r="F220" s="381"/>
      <c r="G220" s="381"/>
      <c r="H220" s="381"/>
      <c r="I220" s="381"/>
      <c r="J220" s="381"/>
    </row>
    <row r="221" spans="1:17" ht="31.7" customHeight="1" x14ac:dyDescent="0.2">
      <c r="A221" s="380"/>
      <c r="B221" s="381"/>
      <c r="C221" s="381"/>
      <c r="D221" s="381"/>
      <c r="E221" s="381"/>
      <c r="F221" s="381"/>
      <c r="G221" s="381"/>
      <c r="H221" s="381"/>
      <c r="I221" s="381"/>
      <c r="J221" s="381"/>
    </row>
    <row r="222" spans="1:17" ht="88.5" hidden="1" customHeight="1" x14ac:dyDescent="0.2">
      <c r="A222" s="380"/>
      <c r="B222" s="381"/>
      <c r="C222" s="381"/>
      <c r="D222" s="326" t="s">
        <v>918</v>
      </c>
      <c r="E222" s="381"/>
      <c r="F222" s="381"/>
      <c r="G222" s="326" t="s">
        <v>919</v>
      </c>
      <c r="H222" s="381"/>
      <c r="I222" s="381"/>
      <c r="J222" s="381"/>
    </row>
    <row r="223" spans="1:17" ht="133.5" customHeight="1" x14ac:dyDescent="0.65">
      <c r="A223" s="366"/>
      <c r="B223" s="366"/>
      <c r="C223" s="366"/>
      <c r="D223" s="541" t="s">
        <v>1006</v>
      </c>
      <c r="E223" s="541"/>
      <c r="F223" s="541"/>
      <c r="G223" s="541"/>
      <c r="H223" s="541"/>
      <c r="I223" s="541"/>
      <c r="J223" s="541"/>
      <c r="K223" s="541"/>
      <c r="L223" s="541"/>
      <c r="M223" s="541"/>
      <c r="N223" s="541"/>
      <c r="O223" s="541"/>
      <c r="P223" s="541"/>
      <c r="Q223" s="541"/>
    </row>
    <row r="224" spans="1:17" ht="45.75" x14ac:dyDescent="0.55000000000000004">
      <c r="D224" s="130"/>
      <c r="E224" s="11"/>
      <c r="F224" s="100"/>
      <c r="G224" s="130"/>
      <c r="H224" s="130"/>
      <c r="I224" s="100"/>
      <c r="J224" s="11"/>
      <c r="K224" s="7"/>
      <c r="L224" s="7"/>
      <c r="M224" s="7"/>
      <c r="N224" s="7"/>
      <c r="O224" s="7"/>
      <c r="P224" s="7"/>
      <c r="Q224" s="7"/>
    </row>
    <row r="225" spans="1:17" ht="45.75" x14ac:dyDescent="0.65">
      <c r="D225" s="541"/>
      <c r="E225" s="541"/>
      <c r="F225" s="541"/>
      <c r="G225" s="541"/>
      <c r="H225" s="541"/>
      <c r="I225" s="541"/>
      <c r="J225" s="541"/>
      <c r="K225" s="7"/>
      <c r="L225" s="7"/>
      <c r="M225" s="7"/>
      <c r="N225" s="7"/>
      <c r="O225" s="7"/>
      <c r="P225" s="7"/>
      <c r="Q225" s="7"/>
    </row>
    <row r="226" spans="1:17" x14ac:dyDescent="0.2">
      <c r="E226" s="4"/>
      <c r="F226" s="3"/>
    </row>
    <row r="227" spans="1:17" x14ac:dyDescent="0.2">
      <c r="E227" s="4"/>
      <c r="F227" s="3"/>
    </row>
    <row r="228" spans="1:17" ht="62.25" x14ac:dyDescent="0.8">
      <c r="A228" s="359"/>
      <c r="B228" s="359"/>
      <c r="C228" s="359"/>
      <c r="D228" s="359"/>
      <c r="E228" s="11"/>
      <c r="F228" s="100"/>
      <c r="I228" s="359"/>
      <c r="J228" s="111"/>
    </row>
    <row r="229" spans="1:17" ht="45.75" x14ac:dyDescent="0.2">
      <c r="E229" s="12"/>
      <c r="F229" s="130"/>
    </row>
    <row r="230" spans="1:17" ht="45.75" x14ac:dyDescent="0.2">
      <c r="A230" s="359"/>
      <c r="B230" s="359"/>
      <c r="C230" s="359"/>
      <c r="D230" s="359"/>
      <c r="E230" s="11" t="s">
        <v>982</v>
      </c>
      <c r="F230" s="100"/>
      <c r="I230" s="359"/>
      <c r="J230" s="359"/>
    </row>
    <row r="231" spans="1:17" ht="45.75" x14ac:dyDescent="0.2">
      <c r="E231" s="12"/>
      <c r="F231" s="130"/>
    </row>
    <row r="232" spans="1:17" ht="45.75" x14ac:dyDescent="0.2">
      <c r="E232" s="12" t="s">
        <v>983</v>
      </c>
      <c r="F232" s="130"/>
    </row>
    <row r="233" spans="1:17" ht="45.75" x14ac:dyDescent="0.2">
      <c r="E233" s="12"/>
      <c r="F233" s="130"/>
    </row>
    <row r="234" spans="1:17" ht="45.75" x14ac:dyDescent="0.2">
      <c r="A234" s="359"/>
      <c r="B234" s="359"/>
      <c r="C234" s="359"/>
      <c r="D234" s="359"/>
      <c r="E234" s="12"/>
      <c r="F234" s="130"/>
      <c r="G234" s="359"/>
      <c r="H234" s="359"/>
      <c r="I234" s="359"/>
      <c r="J234" s="359"/>
    </row>
    <row r="235" spans="1:17" ht="45.75" x14ac:dyDescent="0.2">
      <c r="A235" s="359"/>
      <c r="B235" s="359"/>
      <c r="C235" s="359"/>
      <c r="D235" s="359"/>
      <c r="E235" s="12"/>
      <c r="F235" s="130"/>
      <c r="G235" s="359"/>
      <c r="H235" s="359"/>
      <c r="I235" s="359"/>
      <c r="J235" s="359"/>
    </row>
    <row r="236" spans="1:17" ht="45.75" x14ac:dyDescent="0.2">
      <c r="A236" s="359"/>
      <c r="B236" s="359"/>
      <c r="C236" s="359"/>
      <c r="D236" s="359"/>
      <c r="E236" s="12"/>
      <c r="F236" s="130"/>
      <c r="G236" s="359"/>
      <c r="H236" s="359"/>
      <c r="I236" s="359"/>
      <c r="J236" s="359"/>
    </row>
    <row r="237" spans="1:17" ht="45.75" x14ac:dyDescent="0.2">
      <c r="A237" s="359"/>
      <c r="B237" s="359"/>
      <c r="C237" s="359"/>
      <c r="D237" s="359"/>
      <c r="E237" s="12"/>
      <c r="F237" s="130"/>
      <c r="G237" s="359"/>
      <c r="H237" s="359"/>
      <c r="I237" s="359"/>
      <c r="J237" s="359"/>
    </row>
  </sheetData>
  <mergeCells count="122">
    <mergeCell ref="D223:Q223"/>
    <mergeCell ref="D225:J225"/>
    <mergeCell ref="J175:J176"/>
    <mergeCell ref="G195:G196"/>
    <mergeCell ref="H195:H196"/>
    <mergeCell ref="I195:I196"/>
    <mergeCell ref="J195:J196"/>
    <mergeCell ref="A219:J219"/>
    <mergeCell ref="I173:I174"/>
    <mergeCell ref="J173:J174"/>
    <mergeCell ref="A175:A176"/>
    <mergeCell ref="B175:B176"/>
    <mergeCell ref="C175:C176"/>
    <mergeCell ref="E175:E176"/>
    <mergeCell ref="F175:F176"/>
    <mergeCell ref="G175:G176"/>
    <mergeCell ref="H175:H176"/>
    <mergeCell ref="I175:I176"/>
    <mergeCell ref="A173:A174"/>
    <mergeCell ref="B173:B174"/>
    <mergeCell ref="C173:C174"/>
    <mergeCell ref="D173:D174"/>
    <mergeCell ref="G173:G174"/>
    <mergeCell ref="H173:H174"/>
    <mergeCell ref="A151:A155"/>
    <mergeCell ref="B151:B155"/>
    <mergeCell ref="C151:C155"/>
    <mergeCell ref="D151:D155"/>
    <mergeCell ref="G151:G155"/>
    <mergeCell ref="H151:H155"/>
    <mergeCell ref="I151:I155"/>
    <mergeCell ref="J151:J155"/>
    <mergeCell ref="A163:A164"/>
    <mergeCell ref="B163:B164"/>
    <mergeCell ref="C163:C164"/>
    <mergeCell ref="D163:D164"/>
    <mergeCell ref="G163:G164"/>
    <mergeCell ref="H163:H164"/>
    <mergeCell ref="I163:I164"/>
    <mergeCell ref="J163:J164"/>
    <mergeCell ref="A161:A162"/>
    <mergeCell ref="B161:B162"/>
    <mergeCell ref="C161:C162"/>
    <mergeCell ref="D161:D162"/>
    <mergeCell ref="G161:G162"/>
    <mergeCell ref="H161:H162"/>
    <mergeCell ref="I161:I162"/>
    <mergeCell ref="J161:J162"/>
    <mergeCell ref="G76:G77"/>
    <mergeCell ref="H76:H77"/>
    <mergeCell ref="I76:I77"/>
    <mergeCell ref="J76:J77"/>
    <mergeCell ref="A108:A109"/>
    <mergeCell ref="B108:B109"/>
    <mergeCell ref="C108:C109"/>
    <mergeCell ref="E108:E109"/>
    <mergeCell ref="F108:F109"/>
    <mergeCell ref="G108:G109"/>
    <mergeCell ref="H108:H109"/>
    <mergeCell ref="I108:I109"/>
    <mergeCell ref="J108:J109"/>
    <mergeCell ref="G72:G73"/>
    <mergeCell ref="H72:H73"/>
    <mergeCell ref="I72:I73"/>
    <mergeCell ref="J72:J73"/>
    <mergeCell ref="G74:G75"/>
    <mergeCell ref="H74:H75"/>
    <mergeCell ref="I74:I75"/>
    <mergeCell ref="J74:J75"/>
    <mergeCell ref="G68:G69"/>
    <mergeCell ref="H68:H69"/>
    <mergeCell ref="I68:I69"/>
    <mergeCell ref="J68:J69"/>
    <mergeCell ref="G70:G71"/>
    <mergeCell ref="H70:H71"/>
    <mergeCell ref="I70:I71"/>
    <mergeCell ref="J70:J71"/>
    <mergeCell ref="G65:G66"/>
    <mergeCell ref="H65:H66"/>
    <mergeCell ref="I65:I66"/>
    <mergeCell ref="J65:J66"/>
    <mergeCell ref="G57:G58"/>
    <mergeCell ref="H57:H58"/>
    <mergeCell ref="I57:I58"/>
    <mergeCell ref="J57:J58"/>
    <mergeCell ref="G59:G60"/>
    <mergeCell ref="H59:H60"/>
    <mergeCell ref="I59:I60"/>
    <mergeCell ref="J59:J60"/>
    <mergeCell ref="G54:G55"/>
    <mergeCell ref="H54:H55"/>
    <mergeCell ref="I54:I55"/>
    <mergeCell ref="J54:J55"/>
    <mergeCell ref="F11:F12"/>
    <mergeCell ref="G11:G12"/>
    <mergeCell ref="H11:H12"/>
    <mergeCell ref="I11:J11"/>
    <mergeCell ref="G62:G63"/>
    <mergeCell ref="H62:H63"/>
    <mergeCell ref="I62:I63"/>
    <mergeCell ref="J62:J63"/>
    <mergeCell ref="I1:J1"/>
    <mergeCell ref="I2:J2"/>
    <mergeCell ref="I3:J3"/>
    <mergeCell ref="A5:J5"/>
    <mergeCell ref="A7:J7"/>
    <mergeCell ref="A8:B8"/>
    <mergeCell ref="A23:A24"/>
    <mergeCell ref="B23:B24"/>
    <mergeCell ref="C23:C24"/>
    <mergeCell ref="E23:E24"/>
    <mergeCell ref="F23:F24"/>
    <mergeCell ref="G23:G24"/>
    <mergeCell ref="A9:B9"/>
    <mergeCell ref="A11:A12"/>
    <mergeCell ref="B11:B12"/>
    <mergeCell ref="C11:C12"/>
    <mergeCell ref="D11:D12"/>
    <mergeCell ref="E11:E12"/>
    <mergeCell ref="H23:H24"/>
    <mergeCell ref="I23:I24"/>
    <mergeCell ref="J23:J24"/>
  </mergeCells>
  <pageMargins left="0.23622047244094491" right="0.27559055118110237" top="0.27559055118110237" bottom="0.15748031496062992" header="0.23622047244094491" footer="0.27559055118110237"/>
  <pageSetup paperSize="9" scale="17" fitToHeight="0" orientation="landscape" r:id="rId1"/>
  <headerFooter alignWithMargins="0">
    <oddFooter>&amp;C&amp;"Times New Roman Cyr,курсив"Сторінка &amp;P з &amp;N</oddFooter>
  </headerFooter>
  <rowBreaks count="9" manualBreakCount="9">
    <brk id="25" max="9" man="1"/>
    <brk id="35" max="9" man="1"/>
    <brk id="47" max="9" man="1"/>
    <brk id="59" max="9" man="1"/>
    <brk id="121" max="9" man="1"/>
    <brk id="141" max="9" man="1"/>
    <brk id="160" max="9" man="1"/>
    <brk id="192" max="9" man="1"/>
    <brk id="224" max="9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2:T205"/>
  <sheetViews>
    <sheetView view="pageBreakPreview" zoomScale="25" zoomScaleNormal="25" zoomScaleSheetLayoutView="25" zoomScalePageLayoutView="10" workbookViewId="0">
      <pane ySplit="15" topLeftCell="A45" activePane="bottomLeft" state="frozen"/>
      <selection activeCell="N195" sqref="N195"/>
      <selection pane="bottomLeft" activeCell="F51" sqref="F51"/>
    </sheetView>
  </sheetViews>
  <sheetFormatPr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5" customWidth="1"/>
    <col min="6" max="6" width="62.5703125" style="1" customWidth="1"/>
    <col min="7" max="7" width="55.42578125" style="1" customWidth="1"/>
    <col min="8" max="8" width="48.140625" style="1" customWidth="1"/>
    <col min="9" max="9" width="41.85546875" style="1" customWidth="1"/>
    <col min="10" max="10" width="50.5703125" style="5" customWidth="1"/>
    <col min="11" max="11" width="52.5703125" style="5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56.140625" style="1" bestFit="1" customWidth="1"/>
    <col min="16" max="16" width="86.28515625" style="5" customWidth="1"/>
    <col min="17" max="17" width="52.140625" style="359" customWidth="1"/>
    <col min="18" max="18" width="66.42578125" style="359" bestFit="1" customWidth="1"/>
    <col min="19" max="19" width="9.140625" style="359"/>
    <col min="20" max="20" width="24.7109375" style="359" bestFit="1" customWidth="1"/>
    <col min="21" max="16384" width="9.140625" style="359"/>
  </cols>
  <sheetData>
    <row r="2" spans="1:18" ht="45.75" x14ac:dyDescent="0.2">
      <c r="D2" s="366"/>
      <c r="E2" s="367"/>
      <c r="F2" s="365"/>
      <c r="G2" s="367"/>
      <c r="H2" s="367"/>
      <c r="I2" s="367"/>
      <c r="J2" s="367"/>
      <c r="K2" s="367"/>
      <c r="L2" s="367"/>
      <c r="M2" s="367"/>
      <c r="N2" s="547" t="s">
        <v>702</v>
      </c>
      <c r="O2" s="526"/>
      <c r="P2" s="526"/>
      <c r="Q2" s="526"/>
    </row>
    <row r="3" spans="1:18" ht="45.75" x14ac:dyDescent="0.2">
      <c r="A3" s="366"/>
      <c r="B3" s="366"/>
      <c r="C3" s="366"/>
      <c r="D3" s="366"/>
      <c r="E3" s="367"/>
      <c r="F3" s="365"/>
      <c r="G3" s="367"/>
      <c r="H3" s="367"/>
      <c r="I3" s="367"/>
      <c r="J3" s="367"/>
      <c r="K3" s="367"/>
      <c r="L3" s="367"/>
      <c r="M3" s="367"/>
      <c r="N3" s="547" t="s">
        <v>937</v>
      </c>
      <c r="O3" s="548"/>
      <c r="P3" s="548"/>
      <c r="Q3" s="548"/>
    </row>
    <row r="4" spans="1:18" ht="40.700000000000003" customHeight="1" x14ac:dyDescent="0.2">
      <c r="A4" s="366"/>
      <c r="B4" s="366"/>
      <c r="C4" s="366"/>
      <c r="D4" s="366"/>
      <c r="E4" s="367"/>
      <c r="F4" s="365"/>
      <c r="G4" s="367"/>
      <c r="H4" s="367"/>
      <c r="I4" s="367"/>
      <c r="J4" s="367"/>
      <c r="K4" s="367"/>
      <c r="L4" s="367"/>
      <c r="M4" s="367"/>
      <c r="N4" s="367"/>
      <c r="O4" s="547"/>
      <c r="P4" s="549"/>
    </row>
    <row r="5" spans="1:18" ht="45.75" hidden="1" x14ac:dyDescent="0.2">
      <c r="A5" s="366"/>
      <c r="B5" s="366"/>
      <c r="C5" s="366"/>
      <c r="D5" s="366"/>
      <c r="E5" s="367"/>
      <c r="F5" s="365"/>
      <c r="G5" s="367"/>
      <c r="H5" s="367"/>
      <c r="I5" s="367"/>
      <c r="J5" s="367"/>
      <c r="K5" s="367"/>
      <c r="L5" s="367"/>
      <c r="M5" s="367"/>
      <c r="N5" s="367"/>
      <c r="O5" s="366"/>
      <c r="P5" s="365"/>
    </row>
    <row r="6" spans="1:18" ht="45" x14ac:dyDescent="0.2">
      <c r="A6" s="550" t="s">
        <v>69</v>
      </c>
      <c r="B6" s="550"/>
      <c r="C6" s="550"/>
      <c r="D6" s="550"/>
      <c r="E6" s="550"/>
      <c r="F6" s="550"/>
      <c r="G6" s="550"/>
      <c r="H6" s="550"/>
      <c r="I6" s="550"/>
      <c r="J6" s="550"/>
      <c r="K6" s="550"/>
      <c r="L6" s="550"/>
      <c r="M6" s="550"/>
      <c r="N6" s="550"/>
      <c r="O6" s="550"/>
      <c r="P6" s="550"/>
    </row>
    <row r="7" spans="1:18" ht="45" x14ac:dyDescent="0.2">
      <c r="A7" s="550" t="s">
        <v>581</v>
      </c>
      <c r="B7" s="550"/>
      <c r="C7" s="550"/>
      <c r="D7" s="550"/>
      <c r="E7" s="550"/>
      <c r="F7" s="550"/>
      <c r="G7" s="550"/>
      <c r="H7" s="550"/>
      <c r="I7" s="550"/>
      <c r="J7" s="550"/>
      <c r="K7" s="550"/>
      <c r="L7" s="550"/>
      <c r="M7" s="550"/>
      <c r="N7" s="550"/>
      <c r="O7" s="550"/>
      <c r="P7" s="550"/>
    </row>
    <row r="8" spans="1:18" ht="45" x14ac:dyDescent="0.2">
      <c r="A8" s="367"/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</row>
    <row r="9" spans="1:18" ht="45.75" x14ac:dyDescent="0.65">
      <c r="A9" s="551">
        <v>22201100000</v>
      </c>
      <c r="B9" s="552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</row>
    <row r="10" spans="1:18" ht="45.75" x14ac:dyDescent="0.2">
      <c r="A10" s="542" t="s">
        <v>698</v>
      </c>
      <c r="B10" s="543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67"/>
      <c r="N10" s="367"/>
      <c r="O10" s="367"/>
      <c r="P10" s="367"/>
    </row>
    <row r="11" spans="1:18" ht="53.45" customHeight="1" thickBot="1" x14ac:dyDescent="0.25">
      <c r="A11" s="367"/>
      <c r="B11" s="367"/>
      <c r="C11" s="367"/>
      <c r="D11" s="367"/>
      <c r="E11" s="367"/>
      <c r="F11" s="365"/>
      <c r="G11" s="367"/>
      <c r="H11" s="367"/>
      <c r="I11" s="367"/>
      <c r="J11" s="367"/>
      <c r="K11" s="367"/>
      <c r="L11" s="367"/>
      <c r="M11" s="367"/>
      <c r="N11" s="367"/>
      <c r="O11" s="367"/>
      <c r="P11" s="6" t="s">
        <v>493</v>
      </c>
    </row>
    <row r="12" spans="1:18" ht="62.45" customHeight="1" thickTop="1" thickBot="1" x14ac:dyDescent="0.25">
      <c r="A12" s="544" t="s">
        <v>699</v>
      </c>
      <c r="B12" s="544" t="s">
        <v>700</v>
      </c>
      <c r="C12" s="544" t="s">
        <v>479</v>
      </c>
      <c r="D12" s="544" t="s">
        <v>701</v>
      </c>
      <c r="E12" s="545" t="s">
        <v>14</v>
      </c>
      <c r="F12" s="545"/>
      <c r="G12" s="545"/>
      <c r="H12" s="545"/>
      <c r="I12" s="545"/>
      <c r="J12" s="545" t="s">
        <v>65</v>
      </c>
      <c r="K12" s="545"/>
      <c r="L12" s="545"/>
      <c r="M12" s="545"/>
      <c r="N12" s="545"/>
      <c r="O12" s="553"/>
      <c r="P12" s="545" t="s">
        <v>13</v>
      </c>
    </row>
    <row r="13" spans="1:18" ht="96" customHeight="1" thickTop="1" thickBot="1" x14ac:dyDescent="0.25">
      <c r="A13" s="545"/>
      <c r="B13" s="546"/>
      <c r="C13" s="546"/>
      <c r="D13" s="545"/>
      <c r="E13" s="544" t="s">
        <v>473</v>
      </c>
      <c r="F13" s="544" t="s">
        <v>66</v>
      </c>
      <c r="G13" s="544" t="s">
        <v>15</v>
      </c>
      <c r="H13" s="544"/>
      <c r="I13" s="544" t="s">
        <v>68</v>
      </c>
      <c r="J13" s="544" t="s">
        <v>473</v>
      </c>
      <c r="K13" s="544" t="s">
        <v>474</v>
      </c>
      <c r="L13" s="544" t="s">
        <v>66</v>
      </c>
      <c r="M13" s="544" t="s">
        <v>15</v>
      </c>
      <c r="N13" s="544"/>
      <c r="O13" s="544" t="s">
        <v>68</v>
      </c>
      <c r="P13" s="545"/>
    </row>
    <row r="14" spans="1:18" ht="276" customHeight="1" thickTop="1" thickBot="1" x14ac:dyDescent="0.25">
      <c r="A14" s="546"/>
      <c r="B14" s="546"/>
      <c r="C14" s="546"/>
      <c r="D14" s="546"/>
      <c r="E14" s="544"/>
      <c r="F14" s="544"/>
      <c r="G14" s="368" t="s">
        <v>67</v>
      </c>
      <c r="H14" s="368" t="s">
        <v>17</v>
      </c>
      <c r="I14" s="544"/>
      <c r="J14" s="544"/>
      <c r="K14" s="544"/>
      <c r="L14" s="544"/>
      <c r="M14" s="368" t="s">
        <v>67</v>
      </c>
      <c r="N14" s="368" t="s">
        <v>17</v>
      </c>
      <c r="O14" s="544"/>
      <c r="P14" s="545"/>
    </row>
    <row r="15" spans="1:18" s="2" customFormat="1" ht="111" customHeight="1" thickTop="1" thickBot="1" x14ac:dyDescent="0.25">
      <c r="A15" s="174" t="s">
        <v>3</v>
      </c>
      <c r="B15" s="174" t="s">
        <v>4</v>
      </c>
      <c r="C15" s="174" t="s">
        <v>16</v>
      </c>
      <c r="D15" s="174" t="s">
        <v>6</v>
      </c>
      <c r="E15" s="174" t="s">
        <v>481</v>
      </c>
      <c r="F15" s="174" t="s">
        <v>482</v>
      </c>
      <c r="G15" s="174" t="s">
        <v>483</v>
      </c>
      <c r="H15" s="174" t="s">
        <v>484</v>
      </c>
      <c r="I15" s="174" t="s">
        <v>485</v>
      </c>
      <c r="J15" s="174" t="s">
        <v>486</v>
      </c>
      <c r="K15" s="174" t="s">
        <v>487</v>
      </c>
      <c r="L15" s="174" t="s">
        <v>488</v>
      </c>
      <c r="M15" s="174" t="s">
        <v>489</v>
      </c>
      <c r="N15" s="174" t="s">
        <v>490</v>
      </c>
      <c r="O15" s="174" t="s">
        <v>491</v>
      </c>
      <c r="P15" s="174" t="s">
        <v>492</v>
      </c>
      <c r="Q15" s="327"/>
      <c r="R15" s="161"/>
    </row>
    <row r="16" spans="1:18" s="2" customFormat="1" ht="136.5" thickTop="1" thickBot="1" x14ac:dyDescent="0.25">
      <c r="A16" s="350" t="s">
        <v>188</v>
      </c>
      <c r="B16" s="350"/>
      <c r="C16" s="350"/>
      <c r="D16" s="351" t="s">
        <v>190</v>
      </c>
      <c r="E16" s="352">
        <f>E17</f>
        <v>105362785</v>
      </c>
      <c r="F16" s="353">
        <f t="shared" ref="F16:N16" si="0">F17</f>
        <v>105362785</v>
      </c>
      <c r="G16" s="353">
        <f t="shared" si="0"/>
        <v>62318100</v>
      </c>
      <c r="H16" s="353">
        <f t="shared" si="0"/>
        <v>2413900</v>
      </c>
      <c r="I16" s="352">
        <f t="shared" si="0"/>
        <v>0</v>
      </c>
      <c r="J16" s="352">
        <f t="shared" si="0"/>
        <v>7794446</v>
      </c>
      <c r="K16" s="353">
        <f t="shared" si="0"/>
        <v>5317946</v>
      </c>
      <c r="L16" s="353">
        <f t="shared" si="0"/>
        <v>2351500</v>
      </c>
      <c r="M16" s="353">
        <f t="shared" si="0"/>
        <v>0</v>
      </c>
      <c r="N16" s="352">
        <f t="shared" si="0"/>
        <v>0</v>
      </c>
      <c r="O16" s="352">
        <f>O17</f>
        <v>5442946</v>
      </c>
      <c r="P16" s="353">
        <f t="shared" ref="P16" si="1">P17</f>
        <v>113157231</v>
      </c>
    </row>
    <row r="17" spans="1:20" s="2" customFormat="1" ht="136.5" thickTop="1" thickBot="1" x14ac:dyDescent="0.25">
      <c r="A17" s="354" t="s">
        <v>189</v>
      </c>
      <c r="B17" s="354"/>
      <c r="C17" s="354"/>
      <c r="D17" s="355" t="s">
        <v>191</v>
      </c>
      <c r="E17" s="356">
        <f>SUM(E18:E28)</f>
        <v>105362785</v>
      </c>
      <c r="F17" s="356">
        <f t="shared" ref="F17:O17" si="2">SUM(F18:F28)</f>
        <v>105362785</v>
      </c>
      <c r="G17" s="356">
        <f t="shared" si="2"/>
        <v>62318100</v>
      </c>
      <c r="H17" s="356">
        <f t="shared" si="2"/>
        <v>2413900</v>
      </c>
      <c r="I17" s="356">
        <f t="shared" si="2"/>
        <v>0</v>
      </c>
      <c r="J17" s="356">
        <f t="shared" ref="J17:J23" si="3">L17+O17</f>
        <v>7794446</v>
      </c>
      <c r="K17" s="356">
        <f t="shared" si="2"/>
        <v>5317946</v>
      </c>
      <c r="L17" s="356">
        <f t="shared" si="2"/>
        <v>2351500</v>
      </c>
      <c r="M17" s="356">
        <f t="shared" si="2"/>
        <v>0</v>
      </c>
      <c r="N17" s="356">
        <f t="shared" si="2"/>
        <v>0</v>
      </c>
      <c r="O17" s="356">
        <f t="shared" si="2"/>
        <v>5442946</v>
      </c>
      <c r="P17" s="357">
        <f>E17+J17</f>
        <v>113157231</v>
      </c>
      <c r="Q17" s="328" t="b">
        <f>P18+P19+P21+P22+P26+P27+P23+P25+P28=P17</f>
        <v>0</v>
      </c>
      <c r="R17" s="328" t="b">
        <f>K17='d5'!J12</f>
        <v>0</v>
      </c>
    </row>
    <row r="18" spans="1:20" ht="321.75" thickTop="1" thickBot="1" x14ac:dyDescent="0.25">
      <c r="A18" s="364" t="s">
        <v>282</v>
      </c>
      <c r="B18" s="364" t="s">
        <v>283</v>
      </c>
      <c r="C18" s="364" t="s">
        <v>284</v>
      </c>
      <c r="D18" s="364" t="s">
        <v>281</v>
      </c>
      <c r="E18" s="363">
        <f t="shared" ref="E18:E28" si="4">F18</f>
        <v>85960700</v>
      </c>
      <c r="F18" s="231">
        <f>((89353900)-2000000)-1393200</f>
        <v>85960700</v>
      </c>
      <c r="G18" s="231">
        <f>((64432700)-979400)-1135200</f>
        <v>62318100</v>
      </c>
      <c r="H18" s="231">
        <f>1650000+35500+673300+3400+51700</f>
        <v>2413900</v>
      </c>
      <c r="I18" s="231"/>
      <c r="J18" s="363">
        <f t="shared" si="3"/>
        <v>595300</v>
      </c>
      <c r="K18" s="231">
        <f>(275000+51000+49900+100000+78000+200000)-158600</f>
        <v>595300</v>
      </c>
      <c r="L18" s="254"/>
      <c r="M18" s="255"/>
      <c r="N18" s="255"/>
      <c r="O18" s="361">
        <f>K18</f>
        <v>595300</v>
      </c>
      <c r="P18" s="363">
        <f>+J18+E18</f>
        <v>86556000</v>
      </c>
      <c r="Q18" s="329"/>
      <c r="R18" s="328" t="b">
        <f>K18='d5'!J13+'d5'!J14+'d5'!J15+'d5'!J16</f>
        <v>1</v>
      </c>
    </row>
    <row r="19" spans="1:20" ht="93" thickTop="1" thickBot="1" x14ac:dyDescent="0.25">
      <c r="A19" s="364" t="s">
        <v>297</v>
      </c>
      <c r="B19" s="364" t="s">
        <v>53</v>
      </c>
      <c r="C19" s="364" t="s">
        <v>52</v>
      </c>
      <c r="D19" s="364" t="s">
        <v>298</v>
      </c>
      <c r="E19" s="363">
        <f t="shared" si="4"/>
        <v>2553800</v>
      </c>
      <c r="F19" s="228">
        <f>((3172750)-660000)+41050</f>
        <v>2553800</v>
      </c>
      <c r="G19" s="228"/>
      <c r="H19" s="228"/>
      <c r="I19" s="228"/>
      <c r="J19" s="363">
        <f t="shared" si="3"/>
        <v>0</v>
      </c>
      <c r="K19" s="228"/>
      <c r="L19" s="228"/>
      <c r="M19" s="228"/>
      <c r="N19" s="228"/>
      <c r="O19" s="361">
        <f>K19</f>
        <v>0</v>
      </c>
      <c r="P19" s="363">
        <f>E19+J19</f>
        <v>2553800</v>
      </c>
      <c r="Q19" s="329"/>
      <c r="R19" s="328"/>
    </row>
    <row r="20" spans="1:20" s="475" customFormat="1" ht="48" thickTop="1" thickBot="1" x14ac:dyDescent="0.25">
      <c r="A20" s="476" t="s">
        <v>972</v>
      </c>
      <c r="B20" s="476" t="s">
        <v>973</v>
      </c>
      <c r="C20" s="476" t="s">
        <v>286</v>
      </c>
      <c r="D20" s="476" t="s">
        <v>974</v>
      </c>
      <c r="E20" s="477">
        <f t="shared" si="4"/>
        <v>6767985</v>
      </c>
      <c r="F20" s="228">
        <v>6767985</v>
      </c>
      <c r="G20" s="228"/>
      <c r="H20" s="228"/>
      <c r="I20" s="228"/>
      <c r="J20" s="477">
        <f t="shared" si="3"/>
        <v>0</v>
      </c>
      <c r="K20" s="228"/>
      <c r="L20" s="228"/>
      <c r="M20" s="228"/>
      <c r="N20" s="228"/>
      <c r="O20" s="478">
        <f>K20</f>
        <v>0</v>
      </c>
      <c r="P20" s="477">
        <f>E20+J20</f>
        <v>6767985</v>
      </c>
      <c r="Q20" s="329"/>
      <c r="R20" s="328"/>
    </row>
    <row r="21" spans="1:20" ht="93" thickTop="1" thickBot="1" x14ac:dyDescent="0.25">
      <c r="A21" s="364" t="s">
        <v>288</v>
      </c>
      <c r="B21" s="364" t="s">
        <v>289</v>
      </c>
      <c r="C21" s="364" t="s">
        <v>290</v>
      </c>
      <c r="D21" s="364" t="s">
        <v>287</v>
      </c>
      <c r="E21" s="363">
        <f t="shared" si="4"/>
        <v>4094100</v>
      </c>
      <c r="F21" s="228">
        <f>(4082100)+12000</f>
        <v>4094100</v>
      </c>
      <c r="G21" s="228"/>
      <c r="H21" s="228"/>
      <c r="I21" s="228"/>
      <c r="J21" s="363">
        <f t="shared" si="3"/>
        <v>1334646</v>
      </c>
      <c r="K21" s="228">
        <f>(1300000)+51646-17000</f>
        <v>1334646</v>
      </c>
      <c r="L21" s="228"/>
      <c r="M21" s="228"/>
      <c r="N21" s="228"/>
      <c r="O21" s="361">
        <f>K21</f>
        <v>1334646</v>
      </c>
      <c r="P21" s="363">
        <f>+J21+E21</f>
        <v>5428746</v>
      </c>
      <c r="Q21" s="329"/>
      <c r="R21" s="328" t="b">
        <f>K21='d5'!J18</f>
        <v>1</v>
      </c>
    </row>
    <row r="22" spans="1:20" ht="138.75" thickTop="1" thickBot="1" x14ac:dyDescent="0.25">
      <c r="A22" s="364" t="s">
        <v>354</v>
      </c>
      <c r="B22" s="364" t="s">
        <v>355</v>
      </c>
      <c r="C22" s="364" t="s">
        <v>210</v>
      </c>
      <c r="D22" s="364" t="s">
        <v>589</v>
      </c>
      <c r="E22" s="363">
        <f t="shared" si="4"/>
        <v>162800</v>
      </c>
      <c r="F22" s="228">
        <v>162800</v>
      </c>
      <c r="G22" s="228"/>
      <c r="H22" s="228"/>
      <c r="I22" s="228"/>
      <c r="J22" s="363">
        <f t="shared" si="3"/>
        <v>0</v>
      </c>
      <c r="K22" s="228"/>
      <c r="L22" s="228"/>
      <c r="M22" s="228"/>
      <c r="N22" s="228"/>
      <c r="O22" s="361">
        <f>K22</f>
        <v>0</v>
      </c>
      <c r="P22" s="363">
        <f>+J22+E22</f>
        <v>162800</v>
      </c>
      <c r="Q22" s="329"/>
      <c r="R22" s="328"/>
    </row>
    <row r="23" spans="1:20" s="94" customFormat="1" ht="361.5" customHeight="1" thickTop="1" thickBot="1" x14ac:dyDescent="0.7">
      <c r="A23" s="554" t="s">
        <v>413</v>
      </c>
      <c r="B23" s="554" t="s">
        <v>412</v>
      </c>
      <c r="C23" s="554" t="s">
        <v>210</v>
      </c>
      <c r="D23" s="234" t="s">
        <v>585</v>
      </c>
      <c r="E23" s="556">
        <f t="shared" si="4"/>
        <v>0</v>
      </c>
      <c r="F23" s="557"/>
      <c r="G23" s="559"/>
      <c r="H23" s="559"/>
      <c r="I23" s="559"/>
      <c r="J23" s="556">
        <f t="shared" si="3"/>
        <v>2476500</v>
      </c>
      <c r="K23" s="559"/>
      <c r="L23" s="559">
        <f>((3476500-30000)-1000000)-95000</f>
        <v>2351500</v>
      </c>
      <c r="M23" s="559"/>
      <c r="N23" s="559"/>
      <c r="O23" s="561">
        <f>(K23+30000)+95000</f>
        <v>125000</v>
      </c>
      <c r="P23" s="563">
        <f>E23+J23</f>
        <v>2476500</v>
      </c>
      <c r="Q23" s="330">
        <f>P23</f>
        <v>2476500</v>
      </c>
    </row>
    <row r="24" spans="1:20" s="94" customFormat="1" ht="184.5" thickTop="1" thickBot="1" x14ac:dyDescent="0.25">
      <c r="A24" s="555"/>
      <c r="B24" s="555"/>
      <c r="C24" s="555"/>
      <c r="D24" s="235" t="s">
        <v>586</v>
      </c>
      <c r="E24" s="555"/>
      <c r="F24" s="558"/>
      <c r="G24" s="560"/>
      <c r="H24" s="560"/>
      <c r="I24" s="560"/>
      <c r="J24" s="555"/>
      <c r="K24" s="555"/>
      <c r="L24" s="560"/>
      <c r="M24" s="560"/>
      <c r="N24" s="560"/>
      <c r="O24" s="562"/>
      <c r="P24" s="564"/>
    </row>
    <row r="25" spans="1:20" s="94" customFormat="1" ht="93" hidden="1" thickTop="1" thickBot="1" x14ac:dyDescent="0.25">
      <c r="A25" s="364" t="s">
        <v>734</v>
      </c>
      <c r="B25" s="364" t="s">
        <v>308</v>
      </c>
      <c r="C25" s="364" t="s">
        <v>210</v>
      </c>
      <c r="D25" s="364" t="s">
        <v>306</v>
      </c>
      <c r="E25" s="363">
        <f>F25</f>
        <v>0</v>
      </c>
      <c r="F25" s="228"/>
      <c r="G25" s="362"/>
      <c r="H25" s="362"/>
      <c r="I25" s="362"/>
      <c r="J25" s="407">
        <f>L25+O25</f>
        <v>0</v>
      </c>
      <c r="K25" s="412"/>
      <c r="L25" s="411"/>
      <c r="M25" s="411"/>
      <c r="N25" s="411"/>
      <c r="O25" s="413"/>
      <c r="P25" s="407">
        <f>E25+J25</f>
        <v>0</v>
      </c>
    </row>
    <row r="26" spans="1:20" ht="93" thickTop="1" thickBot="1" x14ac:dyDescent="0.25">
      <c r="A26" s="364" t="s">
        <v>291</v>
      </c>
      <c r="B26" s="364" t="s">
        <v>292</v>
      </c>
      <c r="C26" s="364" t="s">
        <v>293</v>
      </c>
      <c r="D26" s="364" t="s">
        <v>294</v>
      </c>
      <c r="E26" s="363">
        <f>F26</f>
        <v>5313400</v>
      </c>
      <c r="F26" s="228">
        <f>(4653400)+660000</f>
        <v>5313400</v>
      </c>
      <c r="G26" s="228"/>
      <c r="H26" s="228"/>
      <c r="I26" s="228"/>
      <c r="J26" s="363">
        <f>L26+O26</f>
        <v>0</v>
      </c>
      <c r="K26" s="228"/>
      <c r="L26" s="228"/>
      <c r="M26" s="228"/>
      <c r="N26" s="228"/>
      <c r="O26" s="361">
        <f>K26</f>
        <v>0</v>
      </c>
      <c r="P26" s="363">
        <f>E26+J26</f>
        <v>5313400</v>
      </c>
    </row>
    <row r="27" spans="1:20" ht="276" thickTop="1" thickBot="1" x14ac:dyDescent="0.25">
      <c r="A27" s="364" t="s">
        <v>295</v>
      </c>
      <c r="B27" s="364" t="s">
        <v>296</v>
      </c>
      <c r="C27" s="364" t="s">
        <v>53</v>
      </c>
      <c r="D27" s="364" t="s">
        <v>590</v>
      </c>
      <c r="E27" s="363">
        <f t="shared" si="4"/>
        <v>200000</v>
      </c>
      <c r="F27" s="228">
        <f>(200000)</f>
        <v>200000</v>
      </c>
      <c r="G27" s="228"/>
      <c r="H27" s="228"/>
      <c r="I27" s="228"/>
      <c r="J27" s="363">
        <f>L27+O27</f>
        <v>0</v>
      </c>
      <c r="K27" s="228"/>
      <c r="L27" s="228"/>
      <c r="M27" s="228"/>
      <c r="N27" s="228"/>
      <c r="O27" s="361">
        <f>K27</f>
        <v>0</v>
      </c>
      <c r="P27" s="363">
        <f>E27+J27</f>
        <v>200000</v>
      </c>
    </row>
    <row r="28" spans="1:20" ht="184.5" thickTop="1" thickBot="1" x14ac:dyDescent="0.25">
      <c r="A28" s="364" t="s">
        <v>735</v>
      </c>
      <c r="B28" s="364" t="s">
        <v>736</v>
      </c>
      <c r="C28" s="364" t="s">
        <v>53</v>
      </c>
      <c r="D28" s="364" t="s">
        <v>737</v>
      </c>
      <c r="E28" s="363">
        <f t="shared" si="4"/>
        <v>310000</v>
      </c>
      <c r="F28" s="228">
        <f>100000+150000+60000</f>
        <v>310000</v>
      </c>
      <c r="G28" s="228"/>
      <c r="H28" s="228"/>
      <c r="I28" s="228"/>
      <c r="J28" s="363">
        <f>L28+O28</f>
        <v>3388000</v>
      </c>
      <c r="K28" s="228">
        <f>3048000+300000+40000</f>
        <v>3388000</v>
      </c>
      <c r="L28" s="228"/>
      <c r="M28" s="228"/>
      <c r="N28" s="228"/>
      <c r="O28" s="361">
        <f>K28</f>
        <v>3388000</v>
      </c>
      <c r="P28" s="363">
        <f>E28+J28</f>
        <v>3698000</v>
      </c>
      <c r="R28" s="328" t="b">
        <f>K28='d5'!J19+'d5'!J20</f>
        <v>1</v>
      </c>
    </row>
    <row r="29" spans="1:20" ht="136.5" thickTop="1" thickBot="1" x14ac:dyDescent="0.25">
      <c r="A29" s="414" t="s">
        <v>192</v>
      </c>
      <c r="B29" s="414"/>
      <c r="C29" s="414"/>
      <c r="D29" s="415" t="s">
        <v>0</v>
      </c>
      <c r="E29" s="416">
        <f>E30</f>
        <v>1155890487.52</v>
      </c>
      <c r="F29" s="417">
        <f t="shared" ref="F29:G29" si="5">F30</f>
        <v>1155890487.52</v>
      </c>
      <c r="G29" s="417">
        <f t="shared" si="5"/>
        <v>811461021.53999996</v>
      </c>
      <c r="H29" s="417">
        <f>H30</f>
        <v>67556009</v>
      </c>
      <c r="I29" s="416">
        <f t="shared" ref="I29" si="6">I30</f>
        <v>0</v>
      </c>
      <c r="J29" s="416">
        <f>J30</f>
        <v>180038599.69999999</v>
      </c>
      <c r="K29" s="417">
        <f>K30</f>
        <v>44322639.700000003</v>
      </c>
      <c r="L29" s="417">
        <f>L30</f>
        <v>133662020</v>
      </c>
      <c r="M29" s="417">
        <f t="shared" ref="M29" si="7">M30</f>
        <v>38591784</v>
      </c>
      <c r="N29" s="416">
        <f>N30</f>
        <v>8788990</v>
      </c>
      <c r="O29" s="416">
        <f>O30</f>
        <v>46376579.700000003</v>
      </c>
      <c r="P29" s="417">
        <f t="shared" ref="P29" si="8">P30</f>
        <v>1335929087.22</v>
      </c>
    </row>
    <row r="30" spans="1:20" ht="136.5" thickTop="1" thickBot="1" x14ac:dyDescent="0.25">
      <c r="A30" s="418" t="s">
        <v>193</v>
      </c>
      <c r="B30" s="418"/>
      <c r="C30" s="418"/>
      <c r="D30" s="419" t="s">
        <v>1</v>
      </c>
      <c r="E30" s="420">
        <f>SUM(E31:E41)</f>
        <v>1155890487.52</v>
      </c>
      <c r="F30" s="420">
        <f t="shared" ref="F30:I30" si="9">SUM(F31:F41)</f>
        <v>1155890487.52</v>
      </c>
      <c r="G30" s="420">
        <f t="shared" si="9"/>
        <v>811461021.53999996</v>
      </c>
      <c r="H30" s="420">
        <f t="shared" si="9"/>
        <v>67556009</v>
      </c>
      <c r="I30" s="420">
        <f t="shared" si="9"/>
        <v>0</v>
      </c>
      <c r="J30" s="420">
        <f>L30+O30</f>
        <v>180038599.69999999</v>
      </c>
      <c r="K30" s="420">
        <f>SUM(K31:K41)</f>
        <v>44322639.700000003</v>
      </c>
      <c r="L30" s="420">
        <f>SUM(L31:L41)</f>
        <v>133662020</v>
      </c>
      <c r="M30" s="420">
        <f>SUM(M31:M41)</f>
        <v>38591784</v>
      </c>
      <c r="N30" s="420">
        <f>SUM(N31:N41)</f>
        <v>8788990</v>
      </c>
      <c r="O30" s="420">
        <f>SUM(O31:O41)</f>
        <v>46376579.700000003</v>
      </c>
      <c r="P30" s="421">
        <f t="shared" ref="P30:P39" si="10">E30+J30</f>
        <v>1335929087.22</v>
      </c>
      <c r="Q30" s="328" t="b">
        <f>P30=P31+P32+P33+P34+P35+P36+P37+P38+P40+P39+P41</f>
        <v>1</v>
      </c>
      <c r="R30" s="328" t="b">
        <f>K30='d5'!J23</f>
        <v>0</v>
      </c>
    </row>
    <row r="31" spans="1:20" ht="99" customHeight="1" thickTop="1" thickBot="1" x14ac:dyDescent="0.6">
      <c r="A31" s="364" t="s">
        <v>244</v>
      </c>
      <c r="B31" s="364" t="s">
        <v>245</v>
      </c>
      <c r="C31" s="364" t="s">
        <v>247</v>
      </c>
      <c r="D31" s="364" t="s">
        <v>248</v>
      </c>
      <c r="E31" s="363">
        <f>F31</f>
        <v>327506166.56999999</v>
      </c>
      <c r="F31" s="228">
        <f>(348947961+1301540+286340+40720)-8420025.93-58264-10000000-4000000-226000-1000000-109985-17419.5+761300</f>
        <v>327506166.56999999</v>
      </c>
      <c r="G31" s="228">
        <f>(233361000+1301540)-7220025.93-47764-109985-17419.5</f>
        <v>227267345.56999999</v>
      </c>
      <c r="H31" s="228">
        <f>(26988721)-4000000-226000-1000000</f>
        <v>21762721</v>
      </c>
      <c r="I31" s="228"/>
      <c r="J31" s="363">
        <f t="shared" ref="J31:J39" si="11">L31+O31</f>
        <v>60841245</v>
      </c>
      <c r="K31" s="228">
        <f>(((2495735)+814300)+2350000+167800-929100)+500000</f>
        <v>5398735</v>
      </c>
      <c r="L31" s="228">
        <v>54872710</v>
      </c>
      <c r="M31" s="228">
        <v>11945140</v>
      </c>
      <c r="N31" s="228">
        <v>675470</v>
      </c>
      <c r="O31" s="361">
        <f>K31+569800</f>
        <v>5968535</v>
      </c>
      <c r="P31" s="363">
        <f t="shared" si="10"/>
        <v>388347411.56999999</v>
      </c>
      <c r="Q31" s="331"/>
      <c r="R31" s="328" t="b">
        <f>K31='d5'!J24+'d5'!J26+'d5'!J27+'d5'!J28+'d5'!J31</f>
        <v>0</v>
      </c>
    </row>
    <row r="32" spans="1:20" ht="230.25" thickTop="1" thickBot="1" x14ac:dyDescent="0.6">
      <c r="A32" s="364" t="s">
        <v>249</v>
      </c>
      <c r="B32" s="364" t="s">
        <v>246</v>
      </c>
      <c r="C32" s="364" t="s">
        <v>250</v>
      </c>
      <c r="D32" s="364" t="s">
        <v>712</v>
      </c>
      <c r="E32" s="363">
        <f t="shared" ref="E32:E37" si="12">F32</f>
        <v>645026666.95000005</v>
      </c>
      <c r="F32" s="228">
        <f>((691014708)-4247665.3-900000-23685400+78670.27+93.98-6447-1400-2291500+1654860-14000000-3000000-106000-1000000+55870+201300+892577-200000)+8708400-8708400+107175+397000+62825</f>
        <v>645026666.95000005</v>
      </c>
      <c r="G32" s="228">
        <f>((467595470+23685400)-4247665.3-23685400+78670.27-6447)+8708400-8708400</f>
        <v>463420027.96999997</v>
      </c>
      <c r="H32" s="228">
        <f>((26854977)+9230100)-3000000-106000-1000000</f>
        <v>31979077</v>
      </c>
      <c r="I32" s="228"/>
      <c r="J32" s="363">
        <f t="shared" si="11"/>
        <v>83655652.819999993</v>
      </c>
      <c r="K32" s="228">
        <f>(((15297873)+1308980)-15880+5913611+588933+174277+145723+1452531+604430+442740+1614679+3636425.32+2380573+217419.5-450000)+548-62825-380775+273600-400000</f>
        <v>32742862.82</v>
      </c>
      <c r="L32" s="228">
        <v>49999650</v>
      </c>
      <c r="M32" s="228">
        <v>17473000</v>
      </c>
      <c r="N32" s="228">
        <v>1064400</v>
      </c>
      <c r="O32" s="361">
        <f>K32+913140</f>
        <v>33656002.82</v>
      </c>
      <c r="P32" s="363">
        <f t="shared" si="10"/>
        <v>728682319.76999998</v>
      </c>
      <c r="Q32" s="331"/>
      <c r="R32" s="328" t="b">
        <f>K32='d5'!J32+'d5'!J34+'d5'!J35+'d5'!J36+'d5'!J37+'d5'!J38+'d5'!J39+'d5'!J40+'d5'!J42+'d5'!J43+'d5'!J45+'d5'!J46+'d5'!J47+'d5'!J48+'d5'!J49+'d5'!J50+'d5'!J51+'d5'!J53+'d5'!J55+'d5'!J54</f>
        <v>0</v>
      </c>
      <c r="T32" s="332"/>
    </row>
    <row r="33" spans="1:18" ht="276" thickTop="1" thickBot="1" x14ac:dyDescent="0.25">
      <c r="A33" s="364" t="s">
        <v>714</v>
      </c>
      <c r="B33" s="364" t="s">
        <v>251</v>
      </c>
      <c r="C33" s="364" t="s">
        <v>253</v>
      </c>
      <c r="D33" s="364" t="s">
        <v>713</v>
      </c>
      <c r="E33" s="363">
        <f t="shared" si="12"/>
        <v>19540399</v>
      </c>
      <c r="F33" s="228">
        <f>((19860814)-8500+5085-400000+80000)+3000</f>
        <v>19540399</v>
      </c>
      <c r="G33" s="228">
        <v>14672200</v>
      </c>
      <c r="H33" s="228">
        <v>865142</v>
      </c>
      <c r="I33" s="228"/>
      <c r="J33" s="363">
        <f t="shared" si="11"/>
        <v>120951</v>
      </c>
      <c r="K33" s="228">
        <f>((32000)+16250+1849+548+19452)-548</f>
        <v>69551</v>
      </c>
      <c r="L33" s="228">
        <v>51400</v>
      </c>
      <c r="M33" s="228"/>
      <c r="N33" s="228">
        <v>30200</v>
      </c>
      <c r="O33" s="361">
        <f>K33</f>
        <v>69551</v>
      </c>
      <c r="P33" s="363">
        <f t="shared" si="10"/>
        <v>19661350</v>
      </c>
      <c r="R33" s="328" t="b">
        <f>K33='d5'!J56</f>
        <v>0</v>
      </c>
    </row>
    <row r="34" spans="1:18" ht="184.5" thickTop="1" thickBot="1" x14ac:dyDescent="0.25">
      <c r="A34" s="364" t="s">
        <v>254</v>
      </c>
      <c r="B34" s="364" t="s">
        <v>237</v>
      </c>
      <c r="C34" s="364" t="s">
        <v>226</v>
      </c>
      <c r="D34" s="364" t="s">
        <v>715</v>
      </c>
      <c r="E34" s="363">
        <f t="shared" si="12"/>
        <v>33162848</v>
      </c>
      <c r="F34" s="228">
        <f>((32917848)+195000+50000)</f>
        <v>33162848</v>
      </c>
      <c r="G34" s="228">
        <f>(23883848)</f>
        <v>23883848</v>
      </c>
      <c r="H34" s="228">
        <v>2110447</v>
      </c>
      <c r="I34" s="228"/>
      <c r="J34" s="363">
        <f t="shared" si="11"/>
        <v>12351310</v>
      </c>
      <c r="K34" s="228">
        <f>(2500000)+2000000+619000</f>
        <v>5119000</v>
      </c>
      <c r="L34" s="228">
        <v>7117310</v>
      </c>
      <c r="M34" s="228">
        <v>2370000</v>
      </c>
      <c r="N34" s="228">
        <v>248940</v>
      </c>
      <c r="O34" s="361">
        <f>K34+115000</f>
        <v>5234000</v>
      </c>
      <c r="P34" s="363">
        <f t="shared" si="10"/>
        <v>45514158</v>
      </c>
      <c r="R34" s="328" t="b">
        <f>K34='d5'!J57+'d5'!J58+'d5'!J59</f>
        <v>1</v>
      </c>
    </row>
    <row r="35" spans="1:18" ht="184.5" thickTop="1" thickBot="1" x14ac:dyDescent="0.25">
      <c r="A35" s="364" t="s">
        <v>255</v>
      </c>
      <c r="B35" s="364" t="s">
        <v>256</v>
      </c>
      <c r="C35" s="364" t="s">
        <v>257</v>
      </c>
      <c r="D35" s="364" t="s">
        <v>717</v>
      </c>
      <c r="E35" s="363">
        <f t="shared" si="12"/>
        <v>98915700</v>
      </c>
      <c r="F35" s="228">
        <f>(99925935)-800000-100000-400000+289765</f>
        <v>98915700</v>
      </c>
      <c r="G35" s="228">
        <v>60000000</v>
      </c>
      <c r="H35" s="228">
        <f>(11250195)-800000-100000-400000</f>
        <v>9950195</v>
      </c>
      <c r="I35" s="228"/>
      <c r="J35" s="363">
        <f>L35+O35</f>
        <v>21477810</v>
      </c>
      <c r="K35" s="228"/>
      <c r="L35" s="228">
        <f>20991810+30000</f>
        <v>21021810</v>
      </c>
      <c r="M35" s="228">
        <v>6715654</v>
      </c>
      <c r="N35" s="228">
        <f>6731270+30000</f>
        <v>6761270</v>
      </c>
      <c r="O35" s="361">
        <f>K35+486000-30000</f>
        <v>456000</v>
      </c>
      <c r="P35" s="363">
        <f t="shared" si="10"/>
        <v>120393510</v>
      </c>
      <c r="R35" s="328"/>
    </row>
    <row r="36" spans="1:18" ht="93" thickTop="1" thickBot="1" x14ac:dyDescent="0.25">
      <c r="A36" s="364" t="s">
        <v>258</v>
      </c>
      <c r="B36" s="364" t="s">
        <v>259</v>
      </c>
      <c r="C36" s="364" t="s">
        <v>260</v>
      </c>
      <c r="D36" s="364" t="s">
        <v>718</v>
      </c>
      <c r="E36" s="363">
        <f t="shared" si="12"/>
        <v>5193490</v>
      </c>
      <c r="F36" s="228">
        <v>5193490</v>
      </c>
      <c r="G36" s="228">
        <v>3586600</v>
      </c>
      <c r="H36" s="228">
        <v>185490</v>
      </c>
      <c r="I36" s="228"/>
      <c r="J36" s="363">
        <f t="shared" si="11"/>
        <v>63500</v>
      </c>
      <c r="K36" s="228"/>
      <c r="L36" s="228">
        <v>63500</v>
      </c>
      <c r="M36" s="228"/>
      <c r="N36" s="228"/>
      <c r="O36" s="361">
        <f t="shared" ref="O36:O39" si="13">K36</f>
        <v>0</v>
      </c>
      <c r="P36" s="363">
        <f t="shared" si="10"/>
        <v>5256990</v>
      </c>
      <c r="R36" s="333"/>
    </row>
    <row r="37" spans="1:18" s="94" customFormat="1" ht="93" thickTop="1" thickBot="1" x14ac:dyDescent="0.25">
      <c r="A37" s="364" t="s">
        <v>389</v>
      </c>
      <c r="B37" s="364" t="s">
        <v>390</v>
      </c>
      <c r="C37" s="364" t="s">
        <v>260</v>
      </c>
      <c r="D37" s="364" t="s">
        <v>719</v>
      </c>
      <c r="E37" s="363">
        <f t="shared" si="12"/>
        <v>20190430</v>
      </c>
      <c r="F37" s="228">
        <f>(20115430)+30000+45000</f>
        <v>20190430</v>
      </c>
      <c r="G37" s="228">
        <v>15415700</v>
      </c>
      <c r="H37" s="228">
        <v>656555</v>
      </c>
      <c r="I37" s="228"/>
      <c r="J37" s="363">
        <f t="shared" si="11"/>
        <v>535640</v>
      </c>
      <c r="K37" s="228"/>
      <c r="L37" s="228">
        <v>535640</v>
      </c>
      <c r="M37" s="228">
        <v>87990</v>
      </c>
      <c r="N37" s="228">
        <v>8710</v>
      </c>
      <c r="O37" s="361">
        <f t="shared" si="13"/>
        <v>0</v>
      </c>
      <c r="P37" s="363">
        <f t="shared" si="10"/>
        <v>20726070</v>
      </c>
      <c r="R37" s="328"/>
    </row>
    <row r="38" spans="1:18" s="94" customFormat="1" ht="93" thickTop="1" thickBot="1" x14ac:dyDescent="0.25">
      <c r="A38" s="364" t="s">
        <v>410</v>
      </c>
      <c r="B38" s="364" t="s">
        <v>411</v>
      </c>
      <c r="C38" s="364" t="s">
        <v>260</v>
      </c>
      <c r="D38" s="364" t="s">
        <v>409</v>
      </c>
      <c r="E38" s="363">
        <f>F38</f>
        <v>156200</v>
      </c>
      <c r="F38" s="228">
        <f>(156200)</f>
        <v>156200</v>
      </c>
      <c r="G38" s="228"/>
      <c r="H38" s="228"/>
      <c r="I38" s="228"/>
      <c r="J38" s="363">
        <f t="shared" si="11"/>
        <v>0</v>
      </c>
      <c r="K38" s="228"/>
      <c r="L38" s="228"/>
      <c r="M38" s="228"/>
      <c r="N38" s="228"/>
      <c r="O38" s="361">
        <f t="shared" si="13"/>
        <v>0</v>
      </c>
      <c r="P38" s="363">
        <f t="shared" si="10"/>
        <v>156200</v>
      </c>
      <c r="R38" s="333"/>
    </row>
    <row r="39" spans="1:18" s="94" customFormat="1" ht="93" thickTop="1" thickBot="1" x14ac:dyDescent="0.25">
      <c r="A39" s="364" t="s">
        <v>544</v>
      </c>
      <c r="B39" s="364" t="s">
        <v>545</v>
      </c>
      <c r="C39" s="364" t="s">
        <v>260</v>
      </c>
      <c r="D39" s="364" t="s">
        <v>546</v>
      </c>
      <c r="E39" s="363">
        <f>F39</f>
        <v>4098587</v>
      </c>
      <c r="F39" s="228">
        <f>(2167787+1649700+1588600)-1307500</f>
        <v>4098587</v>
      </c>
      <c r="G39" s="228">
        <f>(1632700+1352200+1302100)-1071700</f>
        <v>3215300</v>
      </c>
      <c r="H39" s="228">
        <v>46382</v>
      </c>
      <c r="I39" s="228"/>
      <c r="J39" s="363">
        <f t="shared" si="11"/>
        <v>0</v>
      </c>
      <c r="K39" s="228"/>
      <c r="L39" s="228"/>
      <c r="M39" s="228"/>
      <c r="N39" s="228"/>
      <c r="O39" s="361">
        <f t="shared" si="13"/>
        <v>0</v>
      </c>
      <c r="P39" s="363">
        <f t="shared" si="10"/>
        <v>4098587</v>
      </c>
      <c r="R39" s="333"/>
    </row>
    <row r="40" spans="1:18" s="94" customFormat="1" ht="367.5" thickTop="1" thickBot="1" x14ac:dyDescent="0.25">
      <c r="A40" s="364" t="s">
        <v>548</v>
      </c>
      <c r="B40" s="364" t="s">
        <v>549</v>
      </c>
      <c r="C40" s="364" t="s">
        <v>230</v>
      </c>
      <c r="D40" s="364" t="s">
        <v>547</v>
      </c>
      <c r="E40" s="363">
        <f>F40</f>
        <v>2100000</v>
      </c>
      <c r="F40" s="228">
        <v>2100000</v>
      </c>
      <c r="G40" s="228"/>
      <c r="H40" s="228"/>
      <c r="I40" s="228"/>
      <c r="J40" s="363">
        <f>L40+O40</f>
        <v>0</v>
      </c>
      <c r="K40" s="228"/>
      <c r="L40" s="228"/>
      <c r="M40" s="228"/>
      <c r="N40" s="228"/>
      <c r="O40" s="361">
        <f>K40</f>
        <v>0</v>
      </c>
      <c r="P40" s="363">
        <f>E40+J40</f>
        <v>2100000</v>
      </c>
      <c r="R40" s="333"/>
    </row>
    <row r="41" spans="1:18" s="94" customFormat="1" ht="48" thickTop="1" thickBot="1" x14ac:dyDescent="0.25">
      <c r="A41" s="364" t="s">
        <v>766</v>
      </c>
      <c r="B41" s="364" t="s">
        <v>262</v>
      </c>
      <c r="C41" s="364" t="s">
        <v>263</v>
      </c>
      <c r="D41" s="364" t="s">
        <v>51</v>
      </c>
      <c r="E41" s="363">
        <f>F41</f>
        <v>0</v>
      </c>
      <c r="F41" s="228"/>
      <c r="G41" s="228"/>
      <c r="H41" s="228"/>
      <c r="I41" s="228"/>
      <c r="J41" s="363">
        <f>L41+O41</f>
        <v>992490.88</v>
      </c>
      <c r="K41" s="228">
        <v>992490.88</v>
      </c>
      <c r="L41" s="228"/>
      <c r="M41" s="228"/>
      <c r="N41" s="228"/>
      <c r="O41" s="361">
        <f>K41</f>
        <v>992490.88</v>
      </c>
      <c r="P41" s="363">
        <f>E41+J41</f>
        <v>992490.88</v>
      </c>
      <c r="R41" s="328" t="b">
        <f>K41='d5'!J65</f>
        <v>1</v>
      </c>
    </row>
    <row r="42" spans="1:18" ht="136.5" thickTop="1" thickBot="1" x14ac:dyDescent="0.25">
      <c r="A42" s="414" t="s">
        <v>194</v>
      </c>
      <c r="B42" s="414"/>
      <c r="C42" s="414"/>
      <c r="D42" s="415" t="s">
        <v>22</v>
      </c>
      <c r="E42" s="416">
        <f>E43</f>
        <v>161779686.13</v>
      </c>
      <c r="F42" s="417">
        <f t="shared" ref="F42:G42" si="14">F43</f>
        <v>161779686.13</v>
      </c>
      <c r="G42" s="417">
        <f t="shared" si="14"/>
        <v>3512364</v>
      </c>
      <c r="H42" s="417">
        <f>H43</f>
        <v>139601</v>
      </c>
      <c r="I42" s="416">
        <f t="shared" ref="I42" si="15">I43</f>
        <v>0</v>
      </c>
      <c r="J42" s="416">
        <f>J43</f>
        <v>29063907.600000001</v>
      </c>
      <c r="K42" s="417">
        <f>K43</f>
        <v>29041907.600000001</v>
      </c>
      <c r="L42" s="417">
        <f>L43</f>
        <v>22000</v>
      </c>
      <c r="M42" s="417">
        <f t="shared" ref="M42" si="16">M43</f>
        <v>0</v>
      </c>
      <c r="N42" s="416">
        <f>N43</f>
        <v>0</v>
      </c>
      <c r="O42" s="416">
        <f>O43</f>
        <v>29041907.600000001</v>
      </c>
      <c r="P42" s="417">
        <f>P43</f>
        <v>190843593.72999999</v>
      </c>
    </row>
    <row r="43" spans="1:18" ht="136.5" thickTop="1" thickBot="1" x14ac:dyDescent="0.25">
      <c r="A43" s="418" t="s">
        <v>195</v>
      </c>
      <c r="B43" s="418"/>
      <c r="C43" s="418"/>
      <c r="D43" s="419" t="s">
        <v>44</v>
      </c>
      <c r="E43" s="420">
        <f>SUM(E44:E55)</f>
        <v>161779686.13</v>
      </c>
      <c r="F43" s="420">
        <f t="shared" ref="F43:H43" si="17">SUM(F44:F55)</f>
        <v>161779686.13</v>
      </c>
      <c r="G43" s="420">
        <f t="shared" si="17"/>
        <v>3512364</v>
      </c>
      <c r="H43" s="420">
        <f t="shared" si="17"/>
        <v>139601</v>
      </c>
      <c r="I43" s="420">
        <f>SUM(I44:I55)</f>
        <v>0</v>
      </c>
      <c r="J43" s="420">
        <f>L43+O43</f>
        <v>29063907.600000001</v>
      </c>
      <c r="K43" s="420">
        <f>SUM(K44:K55)</f>
        <v>29041907.600000001</v>
      </c>
      <c r="L43" s="420">
        <f>SUM(L44:L55)</f>
        <v>22000</v>
      </c>
      <c r="M43" s="420">
        <f>SUM(M44:M55)</f>
        <v>0</v>
      </c>
      <c r="N43" s="420">
        <f>SUM(N44:N55)</f>
        <v>0</v>
      </c>
      <c r="O43" s="420">
        <f>SUM(O44:O55)</f>
        <v>29041907.600000001</v>
      </c>
      <c r="P43" s="421">
        <f t="shared" ref="P43:P55" si="18">E43+J43</f>
        <v>190843593.72999999</v>
      </c>
      <c r="Q43" s="328" t="b">
        <f>P43=P45+P47+P48+P49+P50+P52+P53+P44+P54+P51+P46+P55</f>
        <v>1</v>
      </c>
      <c r="R43" s="328" t="b">
        <f>K43='d5'!J66</f>
        <v>0</v>
      </c>
    </row>
    <row r="44" spans="1:18" ht="230.25" thickTop="1" thickBot="1" x14ac:dyDescent="0.25">
      <c r="A44" s="364" t="s">
        <v>514</v>
      </c>
      <c r="B44" s="364" t="s">
        <v>286</v>
      </c>
      <c r="C44" s="364" t="s">
        <v>284</v>
      </c>
      <c r="D44" s="364" t="s">
        <v>285</v>
      </c>
      <c r="E44" s="363">
        <f>F44</f>
        <v>2026703</v>
      </c>
      <c r="F44" s="228">
        <f>(2100703)-74000</f>
        <v>2026703</v>
      </c>
      <c r="G44" s="228">
        <f>(1584000)-60900</f>
        <v>1523100</v>
      </c>
      <c r="H44" s="228">
        <f>(61103)+10000</f>
        <v>71103</v>
      </c>
      <c r="I44" s="228"/>
      <c r="J44" s="363">
        <f t="shared" ref="J44:J55" si="19">L44+O44</f>
        <v>0</v>
      </c>
      <c r="K44" s="363"/>
      <c r="L44" s="363"/>
      <c r="M44" s="363"/>
      <c r="N44" s="363"/>
      <c r="O44" s="361">
        <f>K44</f>
        <v>0</v>
      </c>
      <c r="P44" s="363">
        <f t="shared" si="18"/>
        <v>2026703</v>
      </c>
      <c r="Q44" s="333"/>
      <c r="R44" s="333"/>
    </row>
    <row r="45" spans="1:18" ht="93" thickTop="1" thickBot="1" x14ac:dyDescent="0.25">
      <c r="A45" s="364" t="s">
        <v>264</v>
      </c>
      <c r="B45" s="364" t="s">
        <v>261</v>
      </c>
      <c r="C45" s="364" t="s">
        <v>265</v>
      </c>
      <c r="D45" s="364" t="s">
        <v>23</v>
      </c>
      <c r="E45" s="363">
        <f>F45</f>
        <v>69155363</v>
      </c>
      <c r="F45" s="228">
        <f>(((((68982241+2148400)+3200000)+200000+10000)-2000000+94400-600000+600000+149000))-3628678</f>
        <v>69155363</v>
      </c>
      <c r="G45" s="228"/>
      <c r="H45" s="228"/>
      <c r="I45" s="228"/>
      <c r="J45" s="363">
        <f t="shared" si="19"/>
        <v>10087110</v>
      </c>
      <c r="K45" s="228">
        <f>(12800000)-610000-2102890</f>
        <v>10087110</v>
      </c>
      <c r="L45" s="228"/>
      <c r="M45" s="228"/>
      <c r="N45" s="228"/>
      <c r="O45" s="361">
        <f>K45</f>
        <v>10087110</v>
      </c>
      <c r="P45" s="363">
        <f t="shared" si="18"/>
        <v>79242473</v>
      </c>
      <c r="R45" s="328" t="b">
        <f>K45='d5'!J68</f>
        <v>1</v>
      </c>
    </row>
    <row r="46" spans="1:18" ht="93" thickTop="1" thickBot="1" x14ac:dyDescent="0.25">
      <c r="A46" s="364" t="s">
        <v>723</v>
      </c>
      <c r="B46" s="364" t="s">
        <v>726</v>
      </c>
      <c r="C46" s="364" t="s">
        <v>725</v>
      </c>
      <c r="D46" s="364" t="s">
        <v>724</v>
      </c>
      <c r="E46" s="363">
        <f>F46</f>
        <v>7981320</v>
      </c>
      <c r="F46" s="228">
        <f>(2850000+3362320)+1769000</f>
        <v>7981320</v>
      </c>
      <c r="G46" s="228"/>
      <c r="H46" s="228"/>
      <c r="I46" s="228"/>
      <c r="J46" s="363">
        <f t="shared" si="19"/>
        <v>0</v>
      </c>
      <c r="K46" s="228"/>
      <c r="L46" s="228"/>
      <c r="M46" s="228"/>
      <c r="N46" s="228"/>
      <c r="O46" s="361"/>
      <c r="P46" s="363">
        <f t="shared" si="18"/>
        <v>7981320</v>
      </c>
      <c r="R46" s="333"/>
    </row>
    <row r="47" spans="1:18" ht="138.75" thickTop="1" thickBot="1" x14ac:dyDescent="0.25">
      <c r="A47" s="364" t="s">
        <v>266</v>
      </c>
      <c r="B47" s="364" t="s">
        <v>267</v>
      </c>
      <c r="C47" s="364" t="s">
        <v>268</v>
      </c>
      <c r="D47" s="364" t="s">
        <v>269</v>
      </c>
      <c r="E47" s="363">
        <f t="shared" ref="E47:E55" si="20">F47</f>
        <v>21488069.399999999</v>
      </c>
      <c r="F47" s="228">
        <f>(((21374445)+500000)+124500-300000-200000+83024.4)-93900</f>
        <v>21488069.399999999</v>
      </c>
      <c r="G47" s="228"/>
      <c r="H47" s="228"/>
      <c r="I47" s="228"/>
      <c r="J47" s="363">
        <f t="shared" si="19"/>
        <v>0</v>
      </c>
      <c r="K47" s="228"/>
      <c r="L47" s="228"/>
      <c r="M47" s="228"/>
      <c r="N47" s="228"/>
      <c r="O47" s="361">
        <f>K47</f>
        <v>0</v>
      </c>
      <c r="P47" s="363">
        <f t="shared" si="18"/>
        <v>21488069.399999999</v>
      </c>
      <c r="R47" s="333"/>
    </row>
    <row r="48" spans="1:18" ht="138.75" thickTop="1" thickBot="1" x14ac:dyDescent="0.25">
      <c r="A48" s="364" t="s">
        <v>270</v>
      </c>
      <c r="B48" s="364" t="s">
        <v>271</v>
      </c>
      <c r="C48" s="364" t="s">
        <v>272</v>
      </c>
      <c r="D48" s="364" t="s">
        <v>421</v>
      </c>
      <c r="E48" s="363">
        <f t="shared" si="20"/>
        <v>25983998</v>
      </c>
      <c r="F48" s="228">
        <f>((((18403027)+500000)+134200)+1000000+692407+152330+216000+47520+235405+51789+500000+148120+965300)+2937900</f>
        <v>25983998</v>
      </c>
      <c r="G48" s="228"/>
      <c r="H48" s="228"/>
      <c r="I48" s="228"/>
      <c r="J48" s="363">
        <f t="shared" si="19"/>
        <v>0</v>
      </c>
      <c r="K48" s="228"/>
      <c r="L48" s="228"/>
      <c r="M48" s="228"/>
      <c r="N48" s="228"/>
      <c r="O48" s="361">
        <f>K48</f>
        <v>0</v>
      </c>
      <c r="P48" s="363">
        <f t="shared" si="18"/>
        <v>25983998</v>
      </c>
      <c r="R48" s="333"/>
    </row>
    <row r="49" spans="1:20" ht="93" thickTop="1" thickBot="1" x14ac:dyDescent="0.25">
      <c r="A49" s="364" t="s">
        <v>273</v>
      </c>
      <c r="B49" s="364" t="s">
        <v>274</v>
      </c>
      <c r="C49" s="364" t="s">
        <v>275</v>
      </c>
      <c r="D49" s="364" t="s">
        <v>276</v>
      </c>
      <c r="E49" s="363">
        <f t="shared" si="20"/>
        <v>7553822</v>
      </c>
      <c r="F49" s="228">
        <v>7553822</v>
      </c>
      <c r="G49" s="228"/>
      <c r="H49" s="228"/>
      <c r="I49" s="228"/>
      <c r="J49" s="363">
        <f t="shared" si="19"/>
        <v>0</v>
      </c>
      <c r="K49" s="228"/>
      <c r="L49" s="228"/>
      <c r="M49" s="228"/>
      <c r="N49" s="228"/>
      <c r="O49" s="361">
        <f>K49</f>
        <v>0</v>
      </c>
      <c r="P49" s="363">
        <f t="shared" si="18"/>
        <v>7553822</v>
      </c>
      <c r="R49" s="333"/>
    </row>
    <row r="50" spans="1:20" ht="184.5" thickTop="1" thickBot="1" x14ac:dyDescent="0.25">
      <c r="A50" s="364" t="s">
        <v>277</v>
      </c>
      <c r="B50" s="364" t="s">
        <v>278</v>
      </c>
      <c r="C50" s="364" t="s">
        <v>422</v>
      </c>
      <c r="D50" s="364" t="s">
        <v>279</v>
      </c>
      <c r="E50" s="363">
        <f t="shared" si="20"/>
        <v>8797443</v>
      </c>
      <c r="F50" s="228">
        <f>(8923043)-125600</f>
        <v>8797443</v>
      </c>
      <c r="G50" s="228"/>
      <c r="H50" s="228"/>
      <c r="I50" s="228"/>
      <c r="J50" s="363">
        <f t="shared" si="19"/>
        <v>0</v>
      </c>
      <c r="K50" s="228"/>
      <c r="L50" s="228"/>
      <c r="M50" s="228"/>
      <c r="N50" s="228"/>
      <c r="O50" s="361">
        <f t="shared" ref="O50:O55" si="21">K50</f>
        <v>0</v>
      </c>
      <c r="P50" s="363">
        <f t="shared" si="18"/>
        <v>8797443</v>
      </c>
      <c r="R50" s="333"/>
    </row>
    <row r="51" spans="1:20" ht="138.75" thickTop="1" thickBot="1" x14ac:dyDescent="0.25">
      <c r="A51" s="364" t="s">
        <v>676</v>
      </c>
      <c r="B51" s="364" t="s">
        <v>677</v>
      </c>
      <c r="C51" s="364" t="s">
        <v>280</v>
      </c>
      <c r="D51" s="364" t="s">
        <v>678</v>
      </c>
      <c r="E51" s="363">
        <f t="shared" si="20"/>
        <v>8987396.6899999995</v>
      </c>
      <c r="F51" s="228">
        <f>((2180400)+6806900)+96.69</f>
        <v>8987396.6899999995</v>
      </c>
      <c r="G51" s="228"/>
      <c r="H51" s="228"/>
      <c r="I51" s="228"/>
      <c r="J51" s="363">
        <f t="shared" si="19"/>
        <v>0</v>
      </c>
      <c r="K51" s="228"/>
      <c r="L51" s="228"/>
      <c r="M51" s="228"/>
      <c r="N51" s="228"/>
      <c r="O51" s="361">
        <f t="shared" si="21"/>
        <v>0</v>
      </c>
      <c r="P51" s="363">
        <f t="shared" si="18"/>
        <v>8987396.6899999995</v>
      </c>
      <c r="R51" s="333"/>
    </row>
    <row r="52" spans="1:20" s="94" customFormat="1" ht="138.75" thickTop="1" thickBot="1" x14ac:dyDescent="0.25">
      <c r="A52" s="364" t="s">
        <v>393</v>
      </c>
      <c r="B52" s="364" t="s">
        <v>395</v>
      </c>
      <c r="C52" s="364" t="s">
        <v>280</v>
      </c>
      <c r="D52" s="230" t="s">
        <v>391</v>
      </c>
      <c r="E52" s="363">
        <f t="shared" si="20"/>
        <v>5479271.04</v>
      </c>
      <c r="F52" s="228">
        <f>(((4075758)+500000+53235.04-50000-10000))+910278</f>
        <v>5479271.04</v>
      </c>
      <c r="G52" s="228">
        <v>1989264</v>
      </c>
      <c r="H52" s="228">
        <v>68498</v>
      </c>
      <c r="I52" s="228"/>
      <c r="J52" s="363">
        <f t="shared" si="19"/>
        <v>22000</v>
      </c>
      <c r="K52" s="228"/>
      <c r="L52" s="228">
        <v>22000</v>
      </c>
      <c r="M52" s="228"/>
      <c r="N52" s="228"/>
      <c r="O52" s="361">
        <f t="shared" si="21"/>
        <v>0</v>
      </c>
      <c r="P52" s="363">
        <f t="shared" si="18"/>
        <v>5501271.04</v>
      </c>
      <c r="R52" s="333"/>
    </row>
    <row r="53" spans="1:20" s="94" customFormat="1" ht="93" thickTop="1" thickBot="1" x14ac:dyDescent="0.25">
      <c r="A53" s="364" t="s">
        <v>394</v>
      </c>
      <c r="B53" s="364" t="s">
        <v>396</v>
      </c>
      <c r="C53" s="364" t="s">
        <v>280</v>
      </c>
      <c r="D53" s="230" t="s">
        <v>392</v>
      </c>
      <c r="E53" s="363">
        <f t="shared" si="20"/>
        <v>4326300</v>
      </c>
      <c r="F53" s="228">
        <f>(4201600)+1000000+90000-965300</f>
        <v>4326300</v>
      </c>
      <c r="G53" s="228"/>
      <c r="H53" s="228"/>
      <c r="I53" s="228"/>
      <c r="J53" s="363">
        <f t="shared" si="19"/>
        <v>0</v>
      </c>
      <c r="K53" s="228"/>
      <c r="L53" s="228"/>
      <c r="M53" s="228"/>
      <c r="N53" s="228"/>
      <c r="O53" s="361">
        <f t="shared" si="21"/>
        <v>0</v>
      </c>
      <c r="P53" s="363">
        <f t="shared" si="18"/>
        <v>4326300</v>
      </c>
      <c r="R53" s="333"/>
    </row>
    <row r="54" spans="1:20" s="94" customFormat="1" ht="93" thickTop="1" thickBot="1" x14ac:dyDescent="0.25">
      <c r="A54" s="364" t="s">
        <v>563</v>
      </c>
      <c r="B54" s="364" t="s">
        <v>243</v>
      </c>
      <c r="C54" s="364" t="s">
        <v>210</v>
      </c>
      <c r="D54" s="364" t="s">
        <v>42</v>
      </c>
      <c r="E54" s="363">
        <f t="shared" si="20"/>
        <v>0</v>
      </c>
      <c r="F54" s="228"/>
      <c r="G54" s="228"/>
      <c r="H54" s="228"/>
      <c r="I54" s="228"/>
      <c r="J54" s="363">
        <f t="shared" si="19"/>
        <v>18954797.600000001</v>
      </c>
      <c r="K54" s="228">
        <f>((13764600)+1090122)+457500+3257900+139000+175000-124600-21000+10000+15500-109985-26200+300000+109985+28000-111024.4</f>
        <v>18954797.600000001</v>
      </c>
      <c r="L54" s="228"/>
      <c r="M54" s="228"/>
      <c r="N54" s="228"/>
      <c r="O54" s="361">
        <f t="shared" si="21"/>
        <v>18954797.600000001</v>
      </c>
      <c r="P54" s="363">
        <f t="shared" si="18"/>
        <v>18954797.600000001</v>
      </c>
      <c r="R54" s="328" t="b">
        <f>K54='d5'!J69+'d5'!J70+'d5'!J71+'d5'!J72+'d5'!J73+'d5'!J74+'d5'!J76+'d5'!J77</f>
        <v>0</v>
      </c>
    </row>
    <row r="55" spans="1:20" s="94" customFormat="1" ht="93" hidden="1" thickTop="1" thickBot="1" x14ac:dyDescent="0.25">
      <c r="A55" s="406" t="s">
        <v>727</v>
      </c>
      <c r="B55" s="406" t="s">
        <v>443</v>
      </c>
      <c r="C55" s="406" t="s">
        <v>53</v>
      </c>
      <c r="D55" s="406" t="s">
        <v>444</v>
      </c>
      <c r="E55" s="407">
        <f t="shared" si="20"/>
        <v>0</v>
      </c>
      <c r="F55" s="410"/>
      <c r="G55" s="410"/>
      <c r="H55" s="410"/>
      <c r="I55" s="410"/>
      <c r="J55" s="407">
        <f t="shared" si="19"/>
        <v>0</v>
      </c>
      <c r="K55" s="410"/>
      <c r="L55" s="410"/>
      <c r="M55" s="410"/>
      <c r="N55" s="410"/>
      <c r="O55" s="409">
        <f t="shared" si="21"/>
        <v>0</v>
      </c>
      <c r="P55" s="407">
        <f t="shared" si="18"/>
        <v>0</v>
      </c>
      <c r="R55" s="328"/>
    </row>
    <row r="56" spans="1:20" ht="226.5" thickTop="1" thickBot="1" x14ac:dyDescent="0.25">
      <c r="A56" s="414" t="s">
        <v>196</v>
      </c>
      <c r="B56" s="414"/>
      <c r="C56" s="414"/>
      <c r="D56" s="415" t="s">
        <v>45</v>
      </c>
      <c r="E56" s="416">
        <f>E57</f>
        <v>197397592</v>
      </c>
      <c r="F56" s="417">
        <f t="shared" ref="F56:G56" si="22">F57</f>
        <v>197397592</v>
      </c>
      <c r="G56" s="417">
        <f t="shared" si="22"/>
        <v>54164126</v>
      </c>
      <c r="H56" s="417">
        <f>H57</f>
        <v>1829416</v>
      </c>
      <c r="I56" s="416">
        <f t="shared" ref="I56" si="23">I57</f>
        <v>0</v>
      </c>
      <c r="J56" s="416">
        <f>J57</f>
        <v>24037285.940000001</v>
      </c>
      <c r="K56" s="417">
        <f>K57</f>
        <v>23517285.940000001</v>
      </c>
      <c r="L56" s="417">
        <f>L57</f>
        <v>520000</v>
      </c>
      <c r="M56" s="417">
        <f t="shared" ref="M56" si="24">M57</f>
        <v>125000</v>
      </c>
      <c r="N56" s="416">
        <f>N57</f>
        <v>67900</v>
      </c>
      <c r="O56" s="416">
        <f>O57</f>
        <v>23517285.940000001</v>
      </c>
      <c r="P56" s="417">
        <f>P57</f>
        <v>221434877.94</v>
      </c>
    </row>
    <row r="57" spans="1:20" ht="226.5" thickTop="1" thickBot="1" x14ac:dyDescent="0.25">
      <c r="A57" s="418" t="s">
        <v>197</v>
      </c>
      <c r="B57" s="418"/>
      <c r="C57" s="418"/>
      <c r="D57" s="419" t="s">
        <v>46</v>
      </c>
      <c r="E57" s="420">
        <f>SUM(E58:E90)</f>
        <v>197397592</v>
      </c>
      <c r="F57" s="420">
        <f>SUM(F58:F90)</f>
        <v>197397592</v>
      </c>
      <c r="G57" s="420">
        <f>SUM(G58:G90)</f>
        <v>54164126</v>
      </c>
      <c r="H57" s="420">
        <f>SUM(H58:H90)</f>
        <v>1829416</v>
      </c>
      <c r="I57" s="420">
        <f>SUM(I58:I90)</f>
        <v>0</v>
      </c>
      <c r="J57" s="420">
        <f t="shared" ref="J57:J73" si="25">L57+O57</f>
        <v>24037285.940000001</v>
      </c>
      <c r="K57" s="420">
        <f>SUM(K58:K90)</f>
        <v>23517285.940000001</v>
      </c>
      <c r="L57" s="420">
        <f>SUM(L58:L90)</f>
        <v>520000</v>
      </c>
      <c r="M57" s="420">
        <f>SUM(M58:M90)</f>
        <v>125000</v>
      </c>
      <c r="N57" s="420">
        <f>SUM(N58:N90)</f>
        <v>67900</v>
      </c>
      <c r="O57" s="420">
        <f>SUM(O58:O90)</f>
        <v>23517285.940000001</v>
      </c>
      <c r="P57" s="421">
        <f t="shared" ref="P57:P67" si="26">E57+J57</f>
        <v>221434877.94</v>
      </c>
      <c r="Q57" s="334" t="b">
        <f>P57=P59+P60+P61+P62+P63+P66+P67+P68+P70+P71+P83+P84+P85+P72+P87+P58+P88+P64+P65+P69+P86+P90+P73+P76+P80</f>
        <v>1</v>
      </c>
      <c r="R57" s="335" t="b">
        <f>K57='d5'!J79</f>
        <v>0</v>
      </c>
      <c r="T57" s="334"/>
    </row>
    <row r="58" spans="1:20" ht="230.25" thickTop="1" thickBot="1" x14ac:dyDescent="0.25">
      <c r="A58" s="364" t="s">
        <v>513</v>
      </c>
      <c r="B58" s="364" t="s">
        <v>286</v>
      </c>
      <c r="C58" s="364" t="s">
        <v>284</v>
      </c>
      <c r="D58" s="364" t="s">
        <v>285</v>
      </c>
      <c r="E58" s="363">
        <f t="shared" ref="E58" si="27">F58</f>
        <v>42219258</v>
      </c>
      <c r="F58" s="228">
        <f>(43737200-796642)-721300</f>
        <v>42219258</v>
      </c>
      <c r="G58" s="228">
        <f>(33000000-396642)-572800</f>
        <v>32030558</v>
      </c>
      <c r="H58" s="228">
        <f>(845700)-55200+3000</f>
        <v>793500</v>
      </c>
      <c r="I58" s="228"/>
      <c r="J58" s="363">
        <f t="shared" si="25"/>
        <v>900000</v>
      </c>
      <c r="K58" s="228">
        <f>(900000)</f>
        <v>900000</v>
      </c>
      <c r="L58" s="228"/>
      <c r="M58" s="228"/>
      <c r="N58" s="228"/>
      <c r="O58" s="361">
        <f>K58</f>
        <v>900000</v>
      </c>
      <c r="P58" s="363">
        <f t="shared" si="26"/>
        <v>43119258</v>
      </c>
      <c r="Q58" s="334"/>
      <c r="R58" s="335" t="b">
        <f>K58='d5'!J80+'d5'!J81</f>
        <v>1</v>
      </c>
      <c r="T58" s="334"/>
    </row>
    <row r="59" spans="1:20" s="94" customFormat="1" ht="138.75" thickTop="1" thickBot="1" x14ac:dyDescent="0.25">
      <c r="A59" s="364" t="s">
        <v>320</v>
      </c>
      <c r="B59" s="364" t="s">
        <v>321</v>
      </c>
      <c r="C59" s="364" t="s">
        <v>251</v>
      </c>
      <c r="D59" s="229" t="s">
        <v>322</v>
      </c>
      <c r="E59" s="363">
        <f>F59</f>
        <v>270000</v>
      </c>
      <c r="F59" s="228">
        <f>(570000)-300000</f>
        <v>270000</v>
      </c>
      <c r="G59" s="228"/>
      <c r="H59" s="228"/>
      <c r="I59" s="228"/>
      <c r="J59" s="363">
        <f t="shared" si="25"/>
        <v>150000</v>
      </c>
      <c r="K59" s="228">
        <f>(100000)+50000</f>
        <v>150000</v>
      </c>
      <c r="L59" s="228"/>
      <c r="M59" s="228"/>
      <c r="N59" s="228"/>
      <c r="O59" s="361">
        <f t="shared" ref="O59:O72" si="28">K59</f>
        <v>150000</v>
      </c>
      <c r="P59" s="363">
        <f t="shared" si="26"/>
        <v>420000</v>
      </c>
      <c r="R59" s="335" t="b">
        <f>K59='d5'!J82</f>
        <v>1</v>
      </c>
    </row>
    <row r="60" spans="1:20" s="94" customFormat="1" ht="138.75" thickTop="1" thickBot="1" x14ac:dyDescent="0.25">
      <c r="A60" s="364" t="s">
        <v>323</v>
      </c>
      <c r="B60" s="364" t="s">
        <v>324</v>
      </c>
      <c r="C60" s="364" t="s">
        <v>252</v>
      </c>
      <c r="D60" s="364" t="s">
        <v>7</v>
      </c>
      <c r="E60" s="363">
        <f t="shared" ref="E60:E88" si="29">F60</f>
        <v>1410000</v>
      </c>
      <c r="F60" s="228">
        <v>1410000</v>
      </c>
      <c r="G60" s="228"/>
      <c r="H60" s="228"/>
      <c r="I60" s="228"/>
      <c r="J60" s="363">
        <f t="shared" si="25"/>
        <v>0</v>
      </c>
      <c r="K60" s="228"/>
      <c r="L60" s="228"/>
      <c r="M60" s="228"/>
      <c r="N60" s="228"/>
      <c r="O60" s="361">
        <f t="shared" si="28"/>
        <v>0</v>
      </c>
      <c r="P60" s="363">
        <f t="shared" si="26"/>
        <v>1410000</v>
      </c>
      <c r="R60" s="335"/>
    </row>
    <row r="61" spans="1:20" s="94" customFormat="1" ht="184.5" thickTop="1" thickBot="1" x14ac:dyDescent="0.25">
      <c r="A61" s="364" t="s">
        <v>326</v>
      </c>
      <c r="B61" s="364" t="s">
        <v>327</v>
      </c>
      <c r="C61" s="364" t="s">
        <v>252</v>
      </c>
      <c r="D61" s="364" t="s">
        <v>8</v>
      </c>
      <c r="E61" s="363">
        <f t="shared" si="29"/>
        <v>7900000</v>
      </c>
      <c r="F61" s="228">
        <f>(9000000)-1100000</f>
        <v>7900000</v>
      </c>
      <c r="G61" s="228"/>
      <c r="H61" s="228"/>
      <c r="I61" s="228"/>
      <c r="J61" s="363">
        <f t="shared" si="25"/>
        <v>0</v>
      </c>
      <c r="K61" s="228"/>
      <c r="L61" s="228"/>
      <c r="M61" s="228"/>
      <c r="N61" s="228"/>
      <c r="O61" s="361">
        <f t="shared" si="28"/>
        <v>0</v>
      </c>
      <c r="P61" s="363">
        <f t="shared" si="26"/>
        <v>7900000</v>
      </c>
      <c r="R61" s="335"/>
    </row>
    <row r="62" spans="1:20" s="94" customFormat="1" ht="184.5" thickTop="1" thickBot="1" x14ac:dyDescent="0.25">
      <c r="A62" s="364" t="s">
        <v>328</v>
      </c>
      <c r="B62" s="364" t="s">
        <v>325</v>
      </c>
      <c r="C62" s="364" t="s">
        <v>252</v>
      </c>
      <c r="D62" s="364" t="s">
        <v>9</v>
      </c>
      <c r="E62" s="363">
        <f t="shared" si="29"/>
        <v>600000</v>
      </c>
      <c r="F62" s="228">
        <v>600000</v>
      </c>
      <c r="G62" s="228"/>
      <c r="H62" s="228"/>
      <c r="I62" s="228"/>
      <c r="J62" s="363">
        <f t="shared" si="25"/>
        <v>0</v>
      </c>
      <c r="K62" s="228"/>
      <c r="L62" s="228"/>
      <c r="M62" s="228"/>
      <c r="N62" s="228"/>
      <c r="O62" s="361">
        <f t="shared" si="28"/>
        <v>0</v>
      </c>
      <c r="P62" s="363">
        <f t="shared" si="26"/>
        <v>600000</v>
      </c>
      <c r="R62" s="335"/>
    </row>
    <row r="63" spans="1:20" s="94" customFormat="1" ht="184.5" thickTop="1" thickBot="1" x14ac:dyDescent="0.25">
      <c r="A63" s="364" t="s">
        <v>329</v>
      </c>
      <c r="B63" s="364" t="s">
        <v>330</v>
      </c>
      <c r="C63" s="364" t="s">
        <v>252</v>
      </c>
      <c r="D63" s="364" t="s">
        <v>11</v>
      </c>
      <c r="E63" s="363">
        <f t="shared" si="29"/>
        <v>71400000</v>
      </c>
      <c r="F63" s="228">
        <f>((102000000-18700000)-6500000)-5400000</f>
        <v>71400000</v>
      </c>
      <c r="G63" s="228"/>
      <c r="H63" s="228"/>
      <c r="I63" s="228"/>
      <c r="J63" s="363">
        <f t="shared" si="25"/>
        <v>0</v>
      </c>
      <c r="K63" s="228"/>
      <c r="L63" s="228"/>
      <c r="M63" s="228"/>
      <c r="N63" s="228"/>
      <c r="O63" s="361">
        <f t="shared" si="28"/>
        <v>0</v>
      </c>
      <c r="P63" s="363">
        <f t="shared" si="26"/>
        <v>71400000</v>
      </c>
      <c r="R63" s="335"/>
    </row>
    <row r="64" spans="1:20" s="94" customFormat="1" ht="184.5" thickTop="1" thickBot="1" x14ac:dyDescent="0.25">
      <c r="A64" s="364" t="s">
        <v>679</v>
      </c>
      <c r="B64" s="364" t="s">
        <v>680</v>
      </c>
      <c r="C64" s="364" t="s">
        <v>252</v>
      </c>
      <c r="D64" s="364" t="s">
        <v>681</v>
      </c>
      <c r="E64" s="363">
        <f t="shared" si="29"/>
        <v>194834</v>
      </c>
      <c r="F64" s="228">
        <v>194834</v>
      </c>
      <c r="G64" s="228"/>
      <c r="H64" s="228"/>
      <c r="I64" s="228"/>
      <c r="J64" s="363">
        <f t="shared" si="25"/>
        <v>0</v>
      </c>
      <c r="K64" s="228"/>
      <c r="L64" s="228"/>
      <c r="M64" s="228"/>
      <c r="N64" s="228"/>
      <c r="O64" s="361">
        <f t="shared" si="28"/>
        <v>0</v>
      </c>
      <c r="P64" s="363">
        <f t="shared" si="26"/>
        <v>194834</v>
      </c>
      <c r="R64" s="335"/>
    </row>
    <row r="65" spans="1:18" s="94" customFormat="1" ht="138.75" thickTop="1" thickBot="1" x14ac:dyDescent="0.25">
      <c r="A65" s="364" t="s">
        <v>682</v>
      </c>
      <c r="B65" s="364" t="s">
        <v>683</v>
      </c>
      <c r="C65" s="364" t="s">
        <v>251</v>
      </c>
      <c r="D65" s="364" t="s">
        <v>684</v>
      </c>
      <c r="E65" s="363">
        <f t="shared" si="29"/>
        <v>249955</v>
      </c>
      <c r="F65" s="228">
        <v>249955</v>
      </c>
      <c r="G65" s="228"/>
      <c r="H65" s="228"/>
      <c r="I65" s="228"/>
      <c r="J65" s="363">
        <f t="shared" si="25"/>
        <v>0</v>
      </c>
      <c r="K65" s="228"/>
      <c r="L65" s="228"/>
      <c r="M65" s="228"/>
      <c r="N65" s="228"/>
      <c r="O65" s="361">
        <f>K65</f>
        <v>0</v>
      </c>
      <c r="P65" s="363">
        <f t="shared" si="26"/>
        <v>249955</v>
      </c>
      <c r="R65" s="335"/>
    </row>
    <row r="66" spans="1:18" ht="276" thickTop="1" thickBot="1" x14ac:dyDescent="0.25">
      <c r="A66" s="364" t="s">
        <v>318</v>
      </c>
      <c r="B66" s="364" t="s">
        <v>316</v>
      </c>
      <c r="C66" s="364" t="s">
        <v>246</v>
      </c>
      <c r="D66" s="364" t="s">
        <v>21</v>
      </c>
      <c r="E66" s="363">
        <f t="shared" si="29"/>
        <v>21241028</v>
      </c>
      <c r="F66" s="228">
        <f>(21429053)-188025</f>
        <v>21241028</v>
      </c>
      <c r="G66" s="228">
        <v>14638680</v>
      </c>
      <c r="H66" s="228">
        <v>215955</v>
      </c>
      <c r="I66" s="228"/>
      <c r="J66" s="363">
        <f t="shared" si="25"/>
        <v>190000</v>
      </c>
      <c r="K66" s="228"/>
      <c r="L66" s="228">
        <v>190000</v>
      </c>
      <c r="M66" s="228">
        <v>125000</v>
      </c>
      <c r="N66" s="228">
        <f>1900+1000</f>
        <v>2900</v>
      </c>
      <c r="O66" s="361">
        <f t="shared" si="28"/>
        <v>0</v>
      </c>
      <c r="P66" s="363">
        <f t="shared" si="26"/>
        <v>21431028</v>
      </c>
      <c r="R66" s="335"/>
    </row>
    <row r="67" spans="1:18" ht="138.75" thickTop="1" thickBot="1" x14ac:dyDescent="0.25">
      <c r="A67" s="364" t="s">
        <v>319</v>
      </c>
      <c r="B67" s="364" t="s">
        <v>317</v>
      </c>
      <c r="C67" s="364" t="s">
        <v>245</v>
      </c>
      <c r="D67" s="364" t="s">
        <v>606</v>
      </c>
      <c r="E67" s="363">
        <f t="shared" si="29"/>
        <v>6011260</v>
      </c>
      <c r="F67" s="228">
        <f>((5993260)-20000)+38000</f>
        <v>6011260</v>
      </c>
      <c r="G67" s="228">
        <f>(4221500)+38000</f>
        <v>4259500</v>
      </c>
      <c r="H67" s="228">
        <f>(293030)-50000</f>
        <v>243030</v>
      </c>
      <c r="I67" s="228"/>
      <c r="J67" s="363">
        <f t="shared" si="25"/>
        <v>84800</v>
      </c>
      <c r="K67" s="228">
        <f>(15000)+69800</f>
        <v>84800</v>
      </c>
      <c r="L67" s="228"/>
      <c r="M67" s="228"/>
      <c r="N67" s="228"/>
      <c r="O67" s="361">
        <f t="shared" si="28"/>
        <v>84800</v>
      </c>
      <c r="P67" s="363">
        <f t="shared" si="26"/>
        <v>6096060</v>
      </c>
      <c r="R67" s="335" t="b">
        <f>K67='d5'!J84</f>
        <v>0</v>
      </c>
    </row>
    <row r="68" spans="1:18" ht="409.6" thickTop="1" thickBot="1" x14ac:dyDescent="0.25">
      <c r="A68" s="364" t="s">
        <v>314</v>
      </c>
      <c r="B68" s="364" t="s">
        <v>315</v>
      </c>
      <c r="C68" s="364" t="s">
        <v>245</v>
      </c>
      <c r="D68" s="364" t="s">
        <v>604</v>
      </c>
      <c r="E68" s="363">
        <f t="shared" si="29"/>
        <v>2208150</v>
      </c>
      <c r="F68" s="228">
        <f>(2719650)-511500</f>
        <v>2208150</v>
      </c>
      <c r="G68" s="228"/>
      <c r="H68" s="228"/>
      <c r="I68" s="228"/>
      <c r="J68" s="363">
        <f t="shared" si="25"/>
        <v>0</v>
      </c>
      <c r="K68" s="363"/>
      <c r="L68" s="228"/>
      <c r="M68" s="228"/>
      <c r="N68" s="228"/>
      <c r="O68" s="361">
        <f t="shared" si="28"/>
        <v>0</v>
      </c>
      <c r="P68" s="363">
        <f>+J68+E68</f>
        <v>2208150</v>
      </c>
      <c r="R68" s="335"/>
    </row>
    <row r="69" spans="1:18" ht="230.25" thickTop="1" thickBot="1" x14ac:dyDescent="0.25">
      <c r="A69" s="364" t="s">
        <v>685</v>
      </c>
      <c r="B69" s="364" t="s">
        <v>686</v>
      </c>
      <c r="C69" s="364" t="s">
        <v>245</v>
      </c>
      <c r="D69" s="364" t="s">
        <v>687</v>
      </c>
      <c r="E69" s="363">
        <f t="shared" si="29"/>
        <v>164029</v>
      </c>
      <c r="F69" s="228">
        <f>162829+1200</f>
        <v>164029</v>
      </c>
      <c r="G69" s="228"/>
      <c r="H69" s="228"/>
      <c r="I69" s="228"/>
      <c r="J69" s="363">
        <f t="shared" si="25"/>
        <v>0</v>
      </c>
      <c r="K69" s="363"/>
      <c r="L69" s="228"/>
      <c r="M69" s="228"/>
      <c r="N69" s="228"/>
      <c r="O69" s="361">
        <f t="shared" si="28"/>
        <v>0</v>
      </c>
      <c r="P69" s="363">
        <f>+J69+E69</f>
        <v>164029</v>
      </c>
      <c r="R69" s="335"/>
    </row>
    <row r="70" spans="1:18" ht="367.5" thickTop="1" thickBot="1" x14ac:dyDescent="0.25">
      <c r="A70" s="364" t="s">
        <v>424</v>
      </c>
      <c r="B70" s="364" t="s">
        <v>423</v>
      </c>
      <c r="C70" s="364" t="s">
        <v>60</v>
      </c>
      <c r="D70" s="364" t="s">
        <v>605</v>
      </c>
      <c r="E70" s="363">
        <f t="shared" si="29"/>
        <v>2067840</v>
      </c>
      <c r="F70" s="228">
        <v>2067840</v>
      </c>
      <c r="G70" s="228"/>
      <c r="H70" s="228"/>
      <c r="I70" s="228"/>
      <c r="J70" s="363">
        <f t="shared" si="25"/>
        <v>0</v>
      </c>
      <c r="K70" s="363"/>
      <c r="L70" s="228"/>
      <c r="M70" s="228"/>
      <c r="N70" s="228"/>
      <c r="O70" s="361">
        <f t="shared" si="28"/>
        <v>0</v>
      </c>
      <c r="P70" s="363">
        <f>E70+J70</f>
        <v>2067840</v>
      </c>
      <c r="R70" s="335"/>
    </row>
    <row r="71" spans="1:18" ht="230.25" thickTop="1" thickBot="1" x14ac:dyDescent="0.25">
      <c r="A71" s="364" t="s">
        <v>397</v>
      </c>
      <c r="B71" s="364" t="s">
        <v>398</v>
      </c>
      <c r="C71" s="364" t="s">
        <v>251</v>
      </c>
      <c r="D71" s="364" t="s">
        <v>425</v>
      </c>
      <c r="E71" s="363">
        <f t="shared" si="29"/>
        <v>500000</v>
      </c>
      <c r="F71" s="228">
        <v>500000</v>
      </c>
      <c r="G71" s="228"/>
      <c r="H71" s="228"/>
      <c r="I71" s="228"/>
      <c r="J71" s="363">
        <f t="shared" si="25"/>
        <v>0</v>
      </c>
      <c r="K71" s="228"/>
      <c r="L71" s="228"/>
      <c r="M71" s="228"/>
      <c r="N71" s="228"/>
      <c r="O71" s="361">
        <f t="shared" si="28"/>
        <v>0</v>
      </c>
      <c r="P71" s="363">
        <f>E71+J71</f>
        <v>500000</v>
      </c>
      <c r="R71" s="335"/>
    </row>
    <row r="72" spans="1:18" ht="93" thickTop="1" thickBot="1" x14ac:dyDescent="0.25">
      <c r="A72" s="364" t="s">
        <v>537</v>
      </c>
      <c r="B72" s="364" t="s">
        <v>456</v>
      </c>
      <c r="C72" s="364" t="s">
        <v>457</v>
      </c>
      <c r="D72" s="364" t="s">
        <v>455</v>
      </c>
      <c r="E72" s="424">
        <f t="shared" si="29"/>
        <v>350000</v>
      </c>
      <c r="F72" s="228">
        <v>350000</v>
      </c>
      <c r="G72" s="228">
        <v>288000</v>
      </c>
      <c r="H72" s="228"/>
      <c r="I72" s="228"/>
      <c r="J72" s="363">
        <f t="shared" si="25"/>
        <v>0</v>
      </c>
      <c r="K72" s="228"/>
      <c r="L72" s="228"/>
      <c r="M72" s="228"/>
      <c r="N72" s="228"/>
      <c r="O72" s="361">
        <f t="shared" si="28"/>
        <v>0</v>
      </c>
      <c r="P72" s="363">
        <f>E72+J72</f>
        <v>350000</v>
      </c>
      <c r="R72" s="335"/>
    </row>
    <row r="73" spans="1:18" ht="409.6" thickTop="1" x14ac:dyDescent="0.65">
      <c r="A73" s="568" t="s">
        <v>949</v>
      </c>
      <c r="B73" s="568" t="s">
        <v>950</v>
      </c>
      <c r="C73" s="570" t="s">
        <v>60</v>
      </c>
      <c r="D73" s="425" t="s">
        <v>951</v>
      </c>
      <c r="E73" s="565">
        <f t="shared" si="29"/>
        <v>0</v>
      </c>
      <c r="F73" s="570"/>
      <c r="G73" s="568"/>
      <c r="H73" s="568"/>
      <c r="I73" s="568"/>
      <c r="J73" s="565">
        <f t="shared" si="25"/>
        <v>4456154.9400000004</v>
      </c>
      <c r="K73" s="568">
        <v>4456154.9400000004</v>
      </c>
      <c r="L73" s="568"/>
      <c r="M73" s="568"/>
      <c r="N73" s="568"/>
      <c r="O73" s="568">
        <f>K73</f>
        <v>4456154.9400000004</v>
      </c>
      <c r="P73" s="565">
        <f>E73+J73</f>
        <v>4456154.9400000004</v>
      </c>
      <c r="R73" s="335"/>
    </row>
    <row r="74" spans="1:18" ht="409.5" x14ac:dyDescent="0.2">
      <c r="A74" s="566"/>
      <c r="B74" s="566"/>
      <c r="C74" s="571"/>
      <c r="D74" s="426" t="s">
        <v>952</v>
      </c>
      <c r="E74" s="566"/>
      <c r="F74" s="571"/>
      <c r="G74" s="566"/>
      <c r="H74" s="566"/>
      <c r="I74" s="566"/>
      <c r="J74" s="566"/>
      <c r="K74" s="566"/>
      <c r="L74" s="566"/>
      <c r="M74" s="566"/>
      <c r="N74" s="566"/>
      <c r="O74" s="566"/>
      <c r="P74" s="566"/>
      <c r="R74" s="335" t="b">
        <f>P73='d5'!J85</f>
        <v>1</v>
      </c>
    </row>
    <row r="75" spans="1:18" ht="373.5" customHeight="1" thickBot="1" x14ac:dyDescent="0.25">
      <c r="A75" s="567"/>
      <c r="B75" s="567"/>
      <c r="C75" s="572"/>
      <c r="D75" s="427" t="s">
        <v>953</v>
      </c>
      <c r="E75" s="567"/>
      <c r="F75" s="572"/>
      <c r="G75" s="567"/>
      <c r="H75" s="567"/>
      <c r="I75" s="567"/>
      <c r="J75" s="567"/>
      <c r="K75" s="567"/>
      <c r="L75" s="567"/>
      <c r="M75" s="567"/>
      <c r="N75" s="567"/>
      <c r="O75" s="567"/>
      <c r="P75" s="567"/>
      <c r="R75" s="335"/>
    </row>
    <row r="76" spans="1:18" ht="409.6" thickTop="1" x14ac:dyDescent="0.2">
      <c r="A76" s="569" t="s">
        <v>954</v>
      </c>
      <c r="B76" s="569" t="s">
        <v>955</v>
      </c>
      <c r="C76" s="569" t="s">
        <v>60</v>
      </c>
      <c r="D76" s="376" t="s">
        <v>956</v>
      </c>
      <c r="E76" s="565">
        <f t="shared" ref="E76" si="30">F76</f>
        <v>0</v>
      </c>
      <c r="F76" s="568"/>
      <c r="G76" s="568"/>
      <c r="H76" s="568"/>
      <c r="I76" s="568"/>
      <c r="J76" s="565">
        <f t="shared" ref="J76" si="31">L76+O76</f>
        <v>1917540</v>
      </c>
      <c r="K76" s="568">
        <v>1917540</v>
      </c>
      <c r="L76" s="568"/>
      <c r="M76" s="568"/>
      <c r="N76" s="568"/>
      <c r="O76" s="568">
        <f t="shared" ref="O76" si="32">K76</f>
        <v>1917540</v>
      </c>
      <c r="P76" s="565">
        <f t="shared" ref="P76" si="33">E76+J76</f>
        <v>1917540</v>
      </c>
      <c r="R76" s="335"/>
    </row>
    <row r="77" spans="1:18" ht="409.5" customHeight="1" x14ac:dyDescent="0.2">
      <c r="A77" s="566"/>
      <c r="B77" s="566"/>
      <c r="C77" s="566"/>
      <c r="D77" s="426" t="s">
        <v>957</v>
      </c>
      <c r="E77" s="566"/>
      <c r="F77" s="566"/>
      <c r="G77" s="566"/>
      <c r="H77" s="566"/>
      <c r="I77" s="566"/>
      <c r="J77" s="566"/>
      <c r="K77" s="566"/>
      <c r="L77" s="566"/>
      <c r="M77" s="566"/>
      <c r="N77" s="566"/>
      <c r="O77" s="566"/>
      <c r="P77" s="566"/>
      <c r="R77" s="335" t="b">
        <f>P76='d5'!J88</f>
        <v>1</v>
      </c>
    </row>
    <row r="78" spans="1:18" ht="409.5" x14ac:dyDescent="0.2">
      <c r="A78" s="566"/>
      <c r="B78" s="566"/>
      <c r="C78" s="566"/>
      <c r="D78" s="426" t="s">
        <v>958</v>
      </c>
      <c r="E78" s="566"/>
      <c r="F78" s="566"/>
      <c r="G78" s="566"/>
      <c r="H78" s="566"/>
      <c r="I78" s="566"/>
      <c r="J78" s="566"/>
      <c r="K78" s="566"/>
      <c r="L78" s="566"/>
      <c r="M78" s="566"/>
      <c r="N78" s="566"/>
      <c r="O78" s="566"/>
      <c r="P78" s="566"/>
      <c r="R78" s="335"/>
    </row>
    <row r="79" spans="1:18" ht="275.25" thickBot="1" x14ac:dyDescent="0.25">
      <c r="A79" s="567"/>
      <c r="B79" s="567"/>
      <c r="C79" s="567"/>
      <c r="D79" s="377" t="s">
        <v>959</v>
      </c>
      <c r="E79" s="567"/>
      <c r="F79" s="567"/>
      <c r="G79" s="567"/>
      <c r="H79" s="567"/>
      <c r="I79" s="567"/>
      <c r="J79" s="567"/>
      <c r="K79" s="567"/>
      <c r="L79" s="567"/>
      <c r="M79" s="567"/>
      <c r="N79" s="567"/>
      <c r="O79" s="567"/>
      <c r="P79" s="567"/>
      <c r="R79" s="335"/>
    </row>
    <row r="80" spans="1:18" ht="409.6" thickTop="1" x14ac:dyDescent="0.2">
      <c r="A80" s="569" t="s">
        <v>960</v>
      </c>
      <c r="B80" s="569" t="s">
        <v>961</v>
      </c>
      <c r="C80" s="569" t="s">
        <v>60</v>
      </c>
      <c r="D80" s="376" t="s">
        <v>962</v>
      </c>
      <c r="E80" s="565">
        <f t="shared" ref="E80" si="34">F80</f>
        <v>0</v>
      </c>
      <c r="F80" s="568"/>
      <c r="G80" s="568"/>
      <c r="H80" s="568"/>
      <c r="I80" s="568"/>
      <c r="J80" s="565">
        <f t="shared" ref="J80" si="35">L80+O80</f>
        <v>1344563</v>
      </c>
      <c r="K80" s="568">
        <v>1344563</v>
      </c>
      <c r="L80" s="568"/>
      <c r="M80" s="568"/>
      <c r="N80" s="568"/>
      <c r="O80" s="568">
        <f t="shared" ref="O80" si="36">K80</f>
        <v>1344563</v>
      </c>
      <c r="P80" s="565">
        <f t="shared" ref="P80" si="37">E80+J80</f>
        <v>1344563</v>
      </c>
      <c r="R80" s="335"/>
    </row>
    <row r="81" spans="1:18" ht="409.5" x14ac:dyDescent="0.2">
      <c r="A81" s="566"/>
      <c r="B81" s="566"/>
      <c r="C81" s="566"/>
      <c r="D81" s="426" t="s">
        <v>963</v>
      </c>
      <c r="E81" s="566"/>
      <c r="F81" s="566"/>
      <c r="G81" s="566"/>
      <c r="H81" s="566"/>
      <c r="I81" s="566"/>
      <c r="J81" s="566"/>
      <c r="K81" s="566"/>
      <c r="L81" s="566"/>
      <c r="M81" s="566"/>
      <c r="N81" s="566"/>
      <c r="O81" s="566"/>
      <c r="P81" s="566"/>
      <c r="R81" s="335" t="b">
        <f>K80='d5'!J92</f>
        <v>1</v>
      </c>
    </row>
    <row r="82" spans="1:18" ht="46.5" thickBot="1" x14ac:dyDescent="0.25">
      <c r="A82" s="566"/>
      <c r="B82" s="566"/>
      <c r="C82" s="566"/>
      <c r="D82" s="377" t="s">
        <v>964</v>
      </c>
      <c r="E82" s="566"/>
      <c r="F82" s="566"/>
      <c r="G82" s="566"/>
      <c r="H82" s="566"/>
      <c r="I82" s="566"/>
      <c r="J82" s="566"/>
      <c r="K82" s="566"/>
      <c r="L82" s="566"/>
      <c r="M82" s="566"/>
      <c r="N82" s="566"/>
      <c r="O82" s="566"/>
      <c r="P82" s="566"/>
      <c r="R82" s="335"/>
    </row>
    <row r="83" spans="1:18" ht="184.5" thickTop="1" thickBot="1" x14ac:dyDescent="0.25">
      <c r="A83" s="364" t="s">
        <v>399</v>
      </c>
      <c r="B83" s="364" t="s">
        <v>401</v>
      </c>
      <c r="C83" s="364" t="s">
        <v>237</v>
      </c>
      <c r="D83" s="230" t="s">
        <v>403</v>
      </c>
      <c r="E83" s="363">
        <f t="shared" si="29"/>
        <v>6460958</v>
      </c>
      <c r="F83" s="228">
        <f>(6460958)</f>
        <v>6460958</v>
      </c>
      <c r="G83" s="231">
        <f>(2947388)</f>
        <v>2947388</v>
      </c>
      <c r="H83" s="231">
        <v>576931</v>
      </c>
      <c r="I83" s="228"/>
      <c r="J83" s="363">
        <f t="shared" ref="J83:J88" si="38">L83+O83</f>
        <v>3501199</v>
      </c>
      <c r="K83" s="228">
        <f>((983500)+1942699)+500000</f>
        <v>3426199</v>
      </c>
      <c r="L83" s="228">
        <v>75000</v>
      </c>
      <c r="M83" s="228"/>
      <c r="N83" s="228">
        <f>10000+30000+25000</f>
        <v>65000</v>
      </c>
      <c r="O83" s="361">
        <f t="shared" ref="O83:O88" si="39">K83</f>
        <v>3426199</v>
      </c>
      <c r="P83" s="363">
        <f t="shared" ref="P83:P88" si="40">E83+J83</f>
        <v>9962157</v>
      </c>
      <c r="R83" s="335" t="b">
        <f>K83='d5'!J95+'d5'!J97+'d5'!J98+'d5'!J99+'d5'!J96</f>
        <v>0</v>
      </c>
    </row>
    <row r="84" spans="1:18" ht="138.75" thickTop="1" thickBot="1" x14ac:dyDescent="0.25">
      <c r="A84" s="364" t="s">
        <v>400</v>
      </c>
      <c r="B84" s="364" t="s">
        <v>402</v>
      </c>
      <c r="C84" s="364" t="s">
        <v>237</v>
      </c>
      <c r="D84" s="230" t="s">
        <v>404</v>
      </c>
      <c r="E84" s="363">
        <f t="shared" si="29"/>
        <v>34150280</v>
      </c>
      <c r="F84" s="228">
        <f>((31072500)+1993000)+809200+275580</f>
        <v>34150280</v>
      </c>
      <c r="G84" s="228"/>
      <c r="H84" s="228"/>
      <c r="I84" s="228"/>
      <c r="J84" s="363">
        <f t="shared" si="38"/>
        <v>450000</v>
      </c>
      <c r="K84" s="228">
        <v>450000</v>
      </c>
      <c r="L84" s="228"/>
      <c r="M84" s="228"/>
      <c r="N84" s="228"/>
      <c r="O84" s="361">
        <f t="shared" si="39"/>
        <v>450000</v>
      </c>
      <c r="P84" s="363">
        <f t="shared" si="40"/>
        <v>34600280</v>
      </c>
      <c r="R84" s="335" t="b">
        <f>K84='d5'!J100+'d5'!J101</f>
        <v>1</v>
      </c>
    </row>
    <row r="85" spans="1:18" ht="138.75" thickTop="1" thickBot="1" x14ac:dyDescent="0.25">
      <c r="A85" s="364" t="s">
        <v>447</v>
      </c>
      <c r="B85" s="364" t="s">
        <v>445</v>
      </c>
      <c r="C85" s="364" t="s">
        <v>415</v>
      </c>
      <c r="D85" s="230" t="s">
        <v>446</v>
      </c>
      <c r="E85" s="363">
        <f t="shared" si="29"/>
        <v>0</v>
      </c>
      <c r="F85" s="228"/>
      <c r="G85" s="228"/>
      <c r="H85" s="228"/>
      <c r="I85" s="228"/>
      <c r="J85" s="363">
        <f t="shared" si="38"/>
        <v>4104237</v>
      </c>
      <c r="K85" s="228">
        <f>(3000000)+1104237</f>
        <v>4104237</v>
      </c>
      <c r="L85" s="228"/>
      <c r="M85" s="228"/>
      <c r="N85" s="228"/>
      <c r="O85" s="361">
        <f t="shared" si="39"/>
        <v>4104237</v>
      </c>
      <c r="P85" s="363">
        <f t="shared" si="40"/>
        <v>4104237</v>
      </c>
      <c r="R85" s="335" t="b">
        <f>K85='d5'!J102</f>
        <v>1</v>
      </c>
    </row>
    <row r="86" spans="1:18" ht="409.6" thickTop="1" thickBot="1" x14ac:dyDescent="0.25">
      <c r="A86" s="364" t="s">
        <v>934</v>
      </c>
      <c r="B86" s="364" t="s">
        <v>935</v>
      </c>
      <c r="C86" s="364" t="s">
        <v>415</v>
      </c>
      <c r="D86" s="230" t="s">
        <v>936</v>
      </c>
      <c r="E86" s="363">
        <f t="shared" si="29"/>
        <v>0</v>
      </c>
      <c r="F86" s="228"/>
      <c r="G86" s="228"/>
      <c r="H86" s="228"/>
      <c r="I86" s="228"/>
      <c r="J86" s="363">
        <f t="shared" si="38"/>
        <v>2683792</v>
      </c>
      <c r="K86" s="228">
        <f>(364000)+2319792</f>
        <v>2683792</v>
      </c>
      <c r="L86" s="228"/>
      <c r="M86" s="228"/>
      <c r="N86" s="228"/>
      <c r="O86" s="361">
        <f t="shared" si="39"/>
        <v>2683792</v>
      </c>
      <c r="P86" s="363">
        <f t="shared" si="40"/>
        <v>2683792</v>
      </c>
      <c r="R86" s="335" t="b">
        <f>K86='d5'!J103</f>
        <v>0</v>
      </c>
    </row>
    <row r="87" spans="1:18" ht="99.75" thickTop="1" thickBot="1" x14ac:dyDescent="0.25">
      <c r="A87" s="364" t="s">
        <v>500</v>
      </c>
      <c r="B87" s="364" t="s">
        <v>501</v>
      </c>
      <c r="C87" s="364" t="s">
        <v>359</v>
      </c>
      <c r="D87" s="364" t="s">
        <v>648</v>
      </c>
      <c r="E87" s="363">
        <f t="shared" si="29"/>
        <v>0</v>
      </c>
      <c r="F87" s="228"/>
      <c r="G87" s="228"/>
      <c r="H87" s="228"/>
      <c r="I87" s="228"/>
      <c r="J87" s="363">
        <f t="shared" si="38"/>
        <v>4000000</v>
      </c>
      <c r="K87" s="228">
        <f>(2000000)+2000000</f>
        <v>4000000</v>
      </c>
      <c r="L87" s="228"/>
      <c r="M87" s="228"/>
      <c r="N87" s="228"/>
      <c r="O87" s="361">
        <f t="shared" si="39"/>
        <v>4000000</v>
      </c>
      <c r="P87" s="363">
        <f t="shared" si="40"/>
        <v>4000000</v>
      </c>
      <c r="R87" s="335" t="b">
        <f>K87='d5'!J104</f>
        <v>0</v>
      </c>
    </row>
    <row r="88" spans="1:18" ht="379.5" customHeight="1" thickTop="1" thickBot="1" x14ac:dyDescent="0.7">
      <c r="A88" s="554" t="s">
        <v>527</v>
      </c>
      <c r="B88" s="554" t="s">
        <v>412</v>
      </c>
      <c r="C88" s="554" t="s">
        <v>210</v>
      </c>
      <c r="D88" s="232" t="s">
        <v>585</v>
      </c>
      <c r="E88" s="556">
        <f t="shared" si="29"/>
        <v>0</v>
      </c>
      <c r="F88" s="559"/>
      <c r="G88" s="559"/>
      <c r="H88" s="559"/>
      <c r="I88" s="559"/>
      <c r="J88" s="556">
        <f t="shared" si="38"/>
        <v>255000</v>
      </c>
      <c r="K88" s="559"/>
      <c r="L88" s="559">
        <f>(225000)+30000</f>
        <v>255000</v>
      </c>
      <c r="M88" s="559"/>
      <c r="N88" s="559"/>
      <c r="O88" s="561">
        <f t="shared" si="39"/>
        <v>0</v>
      </c>
      <c r="P88" s="563">
        <f t="shared" si="40"/>
        <v>255000</v>
      </c>
      <c r="Q88" s="337">
        <f>P88</f>
        <v>255000</v>
      </c>
      <c r="R88" s="335"/>
    </row>
    <row r="89" spans="1:18" ht="184.5" thickTop="1" thickBot="1" x14ac:dyDescent="0.25">
      <c r="A89" s="555"/>
      <c r="B89" s="555"/>
      <c r="C89" s="555"/>
      <c r="D89" s="233" t="s">
        <v>586</v>
      </c>
      <c r="E89" s="555"/>
      <c r="F89" s="560"/>
      <c r="G89" s="560"/>
      <c r="H89" s="560"/>
      <c r="I89" s="560"/>
      <c r="J89" s="555"/>
      <c r="K89" s="555"/>
      <c r="L89" s="560"/>
      <c r="M89" s="560"/>
      <c r="N89" s="560"/>
      <c r="O89" s="562"/>
      <c r="P89" s="564"/>
      <c r="R89" s="335"/>
    </row>
    <row r="90" spans="1:18" ht="93" hidden="1" thickTop="1" thickBot="1" x14ac:dyDescent="0.25">
      <c r="A90" s="406" t="s">
        <v>939</v>
      </c>
      <c r="B90" s="406" t="s">
        <v>308</v>
      </c>
      <c r="C90" s="406" t="s">
        <v>210</v>
      </c>
      <c r="D90" s="406" t="s">
        <v>306</v>
      </c>
      <c r="E90" s="407">
        <f t="shared" ref="E90" si="41">F90</f>
        <v>0</v>
      </c>
      <c r="F90" s="410"/>
      <c r="G90" s="410"/>
      <c r="H90" s="410"/>
      <c r="I90" s="410"/>
      <c r="J90" s="407">
        <f t="shared" ref="J90" si="42">L90+O90</f>
        <v>0</v>
      </c>
      <c r="K90" s="410"/>
      <c r="L90" s="410"/>
      <c r="M90" s="410"/>
      <c r="N90" s="410"/>
      <c r="O90" s="409">
        <f t="shared" ref="O90" si="43">K90</f>
        <v>0</v>
      </c>
      <c r="P90" s="407">
        <f t="shared" ref="P90" si="44">E90+J90</f>
        <v>0</v>
      </c>
      <c r="R90" s="335" t="b">
        <f>K90='d5'!J105</f>
        <v>1</v>
      </c>
    </row>
    <row r="91" spans="1:18" ht="136.5" thickTop="1" thickBot="1" x14ac:dyDescent="0.25">
      <c r="A91" s="414">
        <v>1000000</v>
      </c>
      <c r="B91" s="414"/>
      <c r="C91" s="414"/>
      <c r="D91" s="415" t="s">
        <v>29</v>
      </c>
      <c r="E91" s="416">
        <f>E92</f>
        <v>92632100</v>
      </c>
      <c r="F91" s="417">
        <f t="shared" ref="F91:G91" si="45">F92</f>
        <v>92632100</v>
      </c>
      <c r="G91" s="417">
        <f t="shared" si="45"/>
        <v>66298565</v>
      </c>
      <c r="H91" s="417">
        <f>H92</f>
        <v>3297058</v>
      </c>
      <c r="I91" s="416">
        <f t="shared" ref="I91" si="46">I92</f>
        <v>0</v>
      </c>
      <c r="J91" s="416">
        <f>J92</f>
        <v>14684559</v>
      </c>
      <c r="K91" s="417">
        <f>K92</f>
        <v>6123889</v>
      </c>
      <c r="L91" s="417">
        <f>L92</f>
        <v>8481190</v>
      </c>
      <c r="M91" s="417">
        <f t="shared" ref="M91" si="47">M92</f>
        <v>6176480</v>
      </c>
      <c r="N91" s="416">
        <f>N92</f>
        <v>232900</v>
      </c>
      <c r="O91" s="416">
        <f>O92</f>
        <v>6203369</v>
      </c>
      <c r="P91" s="417">
        <f t="shared" ref="P91" si="48">P92</f>
        <v>107316659</v>
      </c>
    </row>
    <row r="92" spans="1:18" ht="181.5" thickTop="1" thickBot="1" x14ac:dyDescent="0.25">
      <c r="A92" s="418">
        <v>1010000</v>
      </c>
      <c r="B92" s="418"/>
      <c r="C92" s="418"/>
      <c r="D92" s="419" t="s">
        <v>47</v>
      </c>
      <c r="E92" s="420">
        <f>F92</f>
        <v>92632100</v>
      </c>
      <c r="F92" s="420">
        <f>SUM(F93:F99)</f>
        <v>92632100</v>
      </c>
      <c r="G92" s="420">
        <f>SUM(G93:G99)</f>
        <v>66298565</v>
      </c>
      <c r="H92" s="420">
        <f>SUM(H93:H99)</f>
        <v>3297058</v>
      </c>
      <c r="I92" s="420">
        <f>SUM(I93:I99)</f>
        <v>0</v>
      </c>
      <c r="J92" s="420">
        <f t="shared" ref="J92:J99" si="49">L92+O92</f>
        <v>14684559</v>
      </c>
      <c r="K92" s="420">
        <f>SUM(K93:K99)</f>
        <v>6123889</v>
      </c>
      <c r="L92" s="420">
        <f>SUM(L93:L99)</f>
        <v>8481190</v>
      </c>
      <c r="M92" s="420">
        <f>SUM(M93:M99)</f>
        <v>6176480</v>
      </c>
      <c r="N92" s="420">
        <f>SUM(N93:N99)</f>
        <v>232900</v>
      </c>
      <c r="O92" s="420">
        <f>SUM(O93:O99)</f>
        <v>6203369</v>
      </c>
      <c r="P92" s="421">
        <f t="shared" ref="P92:P99" si="50">E92+J92</f>
        <v>107316659</v>
      </c>
      <c r="Q92" s="334" t="b">
        <f>P92=P93+P94+P95+P96+P97+P98+P99</f>
        <v>1</v>
      </c>
      <c r="R92" s="335" t="b">
        <f>K92='d5'!J107</f>
        <v>0</v>
      </c>
    </row>
    <row r="93" spans="1:18" ht="93" thickTop="1" thickBot="1" x14ac:dyDescent="0.25">
      <c r="A93" s="364" t="s">
        <v>20</v>
      </c>
      <c r="B93" s="364" t="s">
        <v>225</v>
      </c>
      <c r="C93" s="364" t="s">
        <v>226</v>
      </c>
      <c r="D93" s="364" t="s">
        <v>716</v>
      </c>
      <c r="E93" s="363">
        <f>F93</f>
        <v>55158617</v>
      </c>
      <c r="F93" s="228">
        <f>(54788397)+204255+44940+99200+21825</f>
        <v>55158617</v>
      </c>
      <c r="G93" s="228">
        <f>(42628325)+204255+99200</f>
        <v>42931780</v>
      </c>
      <c r="H93" s="228">
        <f>1708200+22120+221280+84400+25450</f>
        <v>2061450</v>
      </c>
      <c r="I93" s="228"/>
      <c r="J93" s="363">
        <f t="shared" si="49"/>
        <v>8639570</v>
      </c>
      <c r="K93" s="228">
        <f>80000+700000</f>
        <v>780000</v>
      </c>
      <c r="L93" s="228">
        <v>7828170</v>
      </c>
      <c r="M93" s="228">
        <v>5894480</v>
      </c>
      <c r="N93" s="228">
        <v>170200</v>
      </c>
      <c r="O93" s="361">
        <f>K93+31400</f>
        <v>811400</v>
      </c>
      <c r="P93" s="363">
        <f t="shared" si="50"/>
        <v>63798187</v>
      </c>
      <c r="R93" s="335" t="b">
        <f>K93='d5'!J110+'d5'!J111</f>
        <v>1</v>
      </c>
    </row>
    <row r="94" spans="1:18" ht="48" thickTop="1" thickBot="1" x14ac:dyDescent="0.25">
      <c r="A94" s="364" t="s">
        <v>211</v>
      </c>
      <c r="B94" s="364" t="s">
        <v>212</v>
      </c>
      <c r="C94" s="364" t="s">
        <v>214</v>
      </c>
      <c r="D94" s="364" t="s">
        <v>215</v>
      </c>
      <c r="E94" s="363">
        <f t="shared" ref="E94:E97" si="51">F94</f>
        <v>796400</v>
      </c>
      <c r="F94" s="228">
        <f>(796400)</f>
        <v>796400</v>
      </c>
      <c r="G94" s="228"/>
      <c r="H94" s="228"/>
      <c r="I94" s="228"/>
      <c r="J94" s="363">
        <f t="shared" si="49"/>
        <v>0</v>
      </c>
      <c r="K94" s="228"/>
      <c r="L94" s="228"/>
      <c r="M94" s="228"/>
      <c r="N94" s="228"/>
      <c r="O94" s="361">
        <f t="shared" ref="O94:O99" si="52">K94</f>
        <v>0</v>
      </c>
      <c r="P94" s="363">
        <f t="shared" si="50"/>
        <v>796400</v>
      </c>
      <c r="R94" s="335"/>
    </row>
    <row r="95" spans="1:18" ht="93" thickTop="1" thickBot="1" x14ac:dyDescent="0.25">
      <c r="A95" s="364" t="s">
        <v>216</v>
      </c>
      <c r="B95" s="364" t="s">
        <v>217</v>
      </c>
      <c r="C95" s="364" t="s">
        <v>218</v>
      </c>
      <c r="D95" s="364" t="s">
        <v>219</v>
      </c>
      <c r="E95" s="363">
        <f t="shared" si="51"/>
        <v>8505945</v>
      </c>
      <c r="F95" s="228">
        <f>(8469945)+36000</f>
        <v>8505945</v>
      </c>
      <c r="G95" s="228">
        <v>6369770</v>
      </c>
      <c r="H95" s="228">
        <f>353700+6305+65870+12100+18000</f>
        <v>455975</v>
      </c>
      <c r="I95" s="228"/>
      <c r="J95" s="363">
        <f t="shared" si="49"/>
        <v>204000</v>
      </c>
      <c r="K95" s="228">
        <v>114000</v>
      </c>
      <c r="L95" s="228">
        <v>90000</v>
      </c>
      <c r="M95" s="228">
        <v>12200</v>
      </c>
      <c r="N95" s="228">
        <v>19000</v>
      </c>
      <c r="O95" s="361">
        <f t="shared" si="52"/>
        <v>114000</v>
      </c>
      <c r="P95" s="363">
        <f t="shared" si="50"/>
        <v>8709945</v>
      </c>
      <c r="R95" s="335" t="b">
        <f>K95='d5'!J112</f>
        <v>1</v>
      </c>
    </row>
    <row r="96" spans="1:18" ht="93" thickTop="1" thickBot="1" x14ac:dyDescent="0.25">
      <c r="A96" s="364" t="s">
        <v>220</v>
      </c>
      <c r="B96" s="364" t="s">
        <v>221</v>
      </c>
      <c r="C96" s="364" t="s">
        <v>218</v>
      </c>
      <c r="D96" s="364" t="s">
        <v>630</v>
      </c>
      <c r="E96" s="363">
        <f t="shared" si="51"/>
        <v>1633478</v>
      </c>
      <c r="F96" s="228">
        <f>(1483478)+150000</f>
        <v>1633478</v>
      </c>
      <c r="G96" s="228">
        <f>(901100)</f>
        <v>901100</v>
      </c>
      <c r="H96" s="228">
        <f>148500+3168+49110+2500</f>
        <v>203278</v>
      </c>
      <c r="I96" s="228"/>
      <c r="J96" s="363">
        <f t="shared" si="49"/>
        <v>5156000</v>
      </c>
      <c r="K96" s="228">
        <f>(5000000)+80000</f>
        <v>5080000</v>
      </c>
      <c r="L96" s="228">
        <v>76000</v>
      </c>
      <c r="M96" s="228">
        <v>9400</v>
      </c>
      <c r="N96" s="228">
        <v>4000</v>
      </c>
      <c r="O96" s="361">
        <f t="shared" si="52"/>
        <v>5080000</v>
      </c>
      <c r="P96" s="363">
        <f t="shared" si="50"/>
        <v>6789478</v>
      </c>
      <c r="R96" s="335" t="b">
        <f>K96='d5'!J113+'d5'!J114</f>
        <v>0</v>
      </c>
    </row>
    <row r="97" spans="1:18" ht="184.5" thickTop="1" thickBot="1" x14ac:dyDescent="0.25">
      <c r="A97" s="364" t="s">
        <v>222</v>
      </c>
      <c r="B97" s="364" t="s">
        <v>213</v>
      </c>
      <c r="C97" s="364" t="s">
        <v>223</v>
      </c>
      <c r="D97" s="364" t="s">
        <v>224</v>
      </c>
      <c r="E97" s="363">
        <f t="shared" si="51"/>
        <v>6389600</v>
      </c>
      <c r="F97" s="228">
        <v>6389600</v>
      </c>
      <c r="G97" s="228">
        <v>4545315</v>
      </c>
      <c r="H97" s="228">
        <f>406340+8325+83610+35600+8000</f>
        <v>541875</v>
      </c>
      <c r="I97" s="228"/>
      <c r="J97" s="363">
        <f t="shared" si="49"/>
        <v>536989</v>
      </c>
      <c r="K97" s="228">
        <v>149889</v>
      </c>
      <c r="L97" s="228">
        <v>374020</v>
      </c>
      <c r="M97" s="228">
        <v>254600</v>
      </c>
      <c r="N97" s="228">
        <v>39700</v>
      </c>
      <c r="O97" s="361">
        <f>K97+13080</f>
        <v>162969</v>
      </c>
      <c r="P97" s="363">
        <f t="shared" si="50"/>
        <v>6926589</v>
      </c>
      <c r="R97" s="335" t="b">
        <f>K97='d5'!J115</f>
        <v>1</v>
      </c>
    </row>
    <row r="98" spans="1:18" ht="138.75" thickTop="1" thickBot="1" x14ac:dyDescent="0.25">
      <c r="A98" s="364" t="s">
        <v>405</v>
      </c>
      <c r="B98" s="364" t="s">
        <v>406</v>
      </c>
      <c r="C98" s="364" t="s">
        <v>227</v>
      </c>
      <c r="D98" s="364" t="s">
        <v>631</v>
      </c>
      <c r="E98" s="363">
        <f>F98</f>
        <v>14990960</v>
      </c>
      <c r="F98" s="228">
        <v>14990960</v>
      </c>
      <c r="G98" s="228">
        <v>11550600</v>
      </c>
      <c r="H98" s="228">
        <f>31230+2900+350</f>
        <v>34480</v>
      </c>
      <c r="I98" s="228"/>
      <c r="J98" s="363">
        <f t="shared" si="49"/>
        <v>148000</v>
      </c>
      <c r="K98" s="228"/>
      <c r="L98" s="228">
        <v>113000</v>
      </c>
      <c r="M98" s="228">
        <v>5800</v>
      </c>
      <c r="N98" s="228"/>
      <c r="O98" s="361">
        <f>K98+35000</f>
        <v>35000</v>
      </c>
      <c r="P98" s="363">
        <f t="shared" si="50"/>
        <v>15138960</v>
      </c>
      <c r="R98" s="335"/>
    </row>
    <row r="99" spans="1:18" ht="93" thickTop="1" thickBot="1" x14ac:dyDescent="0.25">
      <c r="A99" s="364" t="s">
        <v>407</v>
      </c>
      <c r="B99" s="364" t="s">
        <v>408</v>
      </c>
      <c r="C99" s="364" t="s">
        <v>227</v>
      </c>
      <c r="D99" s="364" t="s">
        <v>632</v>
      </c>
      <c r="E99" s="363">
        <f>F99</f>
        <v>5157100</v>
      </c>
      <c r="F99" s="228">
        <f>(8238100)-3081000</f>
        <v>5157100</v>
      </c>
      <c r="G99" s="228"/>
      <c r="H99" s="228"/>
      <c r="I99" s="228"/>
      <c r="J99" s="363">
        <f t="shared" si="49"/>
        <v>0</v>
      </c>
      <c r="K99" s="228"/>
      <c r="L99" s="228"/>
      <c r="M99" s="228"/>
      <c r="N99" s="228"/>
      <c r="O99" s="361">
        <f t="shared" si="52"/>
        <v>0</v>
      </c>
      <c r="P99" s="363">
        <f t="shared" si="50"/>
        <v>5157100</v>
      </c>
      <c r="R99" s="335"/>
    </row>
    <row r="100" spans="1:18" ht="136.5" thickTop="1" thickBot="1" x14ac:dyDescent="0.25">
      <c r="A100" s="414" t="s">
        <v>26</v>
      </c>
      <c r="B100" s="414"/>
      <c r="C100" s="414"/>
      <c r="D100" s="415" t="s">
        <v>27</v>
      </c>
      <c r="E100" s="416">
        <f>E101</f>
        <v>57610876</v>
      </c>
      <c r="F100" s="417">
        <f t="shared" ref="F100:G100" si="53">F101</f>
        <v>57610876</v>
      </c>
      <c r="G100" s="417">
        <f t="shared" si="53"/>
        <v>23096030</v>
      </c>
      <c r="H100" s="417">
        <f>H101</f>
        <v>1510283</v>
      </c>
      <c r="I100" s="416">
        <f t="shared" ref="I100" si="54">I101</f>
        <v>0</v>
      </c>
      <c r="J100" s="416">
        <f>J101</f>
        <v>6838576</v>
      </c>
      <c r="K100" s="417">
        <f>K101</f>
        <v>4742772</v>
      </c>
      <c r="L100" s="417">
        <f>L101</f>
        <v>2088304</v>
      </c>
      <c r="M100" s="417">
        <f t="shared" ref="M100" si="55">M101</f>
        <v>957332</v>
      </c>
      <c r="N100" s="416">
        <f>N101</f>
        <v>337122</v>
      </c>
      <c r="O100" s="416">
        <f>O101</f>
        <v>4750272</v>
      </c>
      <c r="P100" s="417">
        <f t="shared" ref="P100" si="56">P101</f>
        <v>64449452</v>
      </c>
    </row>
    <row r="101" spans="1:18" ht="136.5" thickTop="1" thickBot="1" x14ac:dyDescent="0.25">
      <c r="A101" s="418" t="s">
        <v>25</v>
      </c>
      <c r="B101" s="418"/>
      <c r="C101" s="418"/>
      <c r="D101" s="419" t="s">
        <v>43</v>
      </c>
      <c r="E101" s="420">
        <f>SUM(E102:E114)</f>
        <v>57610876</v>
      </c>
      <c r="F101" s="420">
        <f>SUM(F102:F114)</f>
        <v>57610876</v>
      </c>
      <c r="G101" s="420">
        <f>SUM(G102:G114)</f>
        <v>23096030</v>
      </c>
      <c r="H101" s="420">
        <f>SUM(H102:H114)</f>
        <v>1510283</v>
      </c>
      <c r="I101" s="420">
        <f>SUM(I102:I114)</f>
        <v>0</v>
      </c>
      <c r="J101" s="420">
        <f>L101+O101</f>
        <v>6838576</v>
      </c>
      <c r="K101" s="420">
        <f>SUM(K102:K114)</f>
        <v>4742772</v>
      </c>
      <c r="L101" s="420">
        <f>SUM(L102:L114)</f>
        <v>2088304</v>
      </c>
      <c r="M101" s="420">
        <f>SUM(M102:M114)</f>
        <v>957332</v>
      </c>
      <c r="N101" s="420">
        <f>SUM(N102:N114)</f>
        <v>337122</v>
      </c>
      <c r="O101" s="420">
        <f>SUM(O102:O114)</f>
        <v>4750272</v>
      </c>
      <c r="P101" s="421">
        <f>E101+J101</f>
        <v>64449452</v>
      </c>
      <c r="Q101" s="334" t="b">
        <f>P101=P102+P103+P104+P105+P106+P107+P108+P109+P110+P112+P114+P113+P111</f>
        <v>1</v>
      </c>
      <c r="R101" s="335" t="b">
        <f>K101='d5'!J117</f>
        <v>0</v>
      </c>
    </row>
    <row r="102" spans="1:18" ht="138.75" thickTop="1" thickBot="1" x14ac:dyDescent="0.25">
      <c r="A102" s="364" t="s">
        <v>228</v>
      </c>
      <c r="B102" s="364" t="s">
        <v>229</v>
      </c>
      <c r="C102" s="364" t="s">
        <v>230</v>
      </c>
      <c r="D102" s="364" t="s">
        <v>231</v>
      </c>
      <c r="E102" s="253">
        <f t="shared" ref="E102:E111" si="57">F102</f>
        <v>4377637</v>
      </c>
      <c r="F102" s="231">
        <f>(4377637)</f>
        <v>4377637</v>
      </c>
      <c r="G102" s="231">
        <f>(3404700)</f>
        <v>3404700</v>
      </c>
      <c r="H102" s="231">
        <f>40653+2690+26810+2400</f>
        <v>72553</v>
      </c>
      <c r="I102" s="231"/>
      <c r="J102" s="363">
        <f t="shared" ref="J102:J114" si="58">L102+O102</f>
        <v>55000</v>
      </c>
      <c r="K102" s="231">
        <v>55000</v>
      </c>
      <c r="L102" s="254"/>
      <c r="M102" s="254"/>
      <c r="N102" s="254"/>
      <c r="O102" s="361">
        <f t="shared" ref="O102:O114" si="59">K102</f>
        <v>55000</v>
      </c>
      <c r="P102" s="363">
        <f>+J102+E102</f>
        <v>4432637</v>
      </c>
      <c r="Q102" s="335"/>
      <c r="R102" s="335" t="b">
        <f>K102='d5'!J119</f>
        <v>1</v>
      </c>
    </row>
    <row r="103" spans="1:18" ht="93" thickTop="1" thickBot="1" x14ac:dyDescent="0.25">
      <c r="A103" s="364" t="s">
        <v>235</v>
      </c>
      <c r="B103" s="364" t="s">
        <v>236</v>
      </c>
      <c r="C103" s="364" t="s">
        <v>230</v>
      </c>
      <c r="D103" s="364" t="s">
        <v>12</v>
      </c>
      <c r="E103" s="253">
        <f t="shared" si="57"/>
        <v>3687024</v>
      </c>
      <c r="F103" s="231">
        <f>(3722024)-35000</f>
        <v>3687024</v>
      </c>
      <c r="G103" s="231">
        <v>2215100</v>
      </c>
      <c r="H103" s="231">
        <f>309408+3330+71000+2300</f>
        <v>386038</v>
      </c>
      <c r="I103" s="231"/>
      <c r="J103" s="363">
        <f t="shared" si="58"/>
        <v>475000</v>
      </c>
      <c r="K103" s="231">
        <v>150000</v>
      </c>
      <c r="L103" s="254">
        <v>325000</v>
      </c>
      <c r="M103" s="254">
        <v>165000</v>
      </c>
      <c r="N103" s="254">
        <f>(88400)+560</f>
        <v>88960</v>
      </c>
      <c r="O103" s="361">
        <f t="shared" si="59"/>
        <v>150000</v>
      </c>
      <c r="P103" s="363">
        <f t="shared" ref="P103:P114" si="60">E103+J103</f>
        <v>4162024</v>
      </c>
      <c r="R103" s="335" t="b">
        <f>K103='d5'!J120</f>
        <v>1</v>
      </c>
    </row>
    <row r="104" spans="1:18" ht="93" thickTop="1" thickBot="1" x14ac:dyDescent="0.25">
      <c r="A104" s="364" t="s">
        <v>429</v>
      </c>
      <c r="B104" s="364" t="s">
        <v>430</v>
      </c>
      <c r="C104" s="364" t="s">
        <v>230</v>
      </c>
      <c r="D104" s="364" t="s">
        <v>431</v>
      </c>
      <c r="E104" s="253">
        <f t="shared" si="57"/>
        <v>5979882</v>
      </c>
      <c r="F104" s="231">
        <f>(1299340+1103463+3968450)+108629-500000</f>
        <v>5979882</v>
      </c>
      <c r="G104" s="231">
        <f>(817400)</f>
        <v>817400</v>
      </c>
      <c r="H104" s="231">
        <f>30000+1550+21860</f>
        <v>53410</v>
      </c>
      <c r="I104" s="231"/>
      <c r="J104" s="363">
        <f t="shared" si="58"/>
        <v>70107</v>
      </c>
      <c r="K104" s="231">
        <f>(60000)+10107</f>
        <v>70107</v>
      </c>
      <c r="L104" s="254"/>
      <c r="M104" s="254"/>
      <c r="N104" s="254"/>
      <c r="O104" s="361">
        <f t="shared" si="59"/>
        <v>70107</v>
      </c>
      <c r="P104" s="363">
        <f t="shared" si="60"/>
        <v>6049989</v>
      </c>
      <c r="R104" s="335" t="b">
        <f>K104='d5'!J121+'d5'!J122</f>
        <v>1</v>
      </c>
    </row>
    <row r="105" spans="1:18" ht="138.75" thickTop="1" thickBot="1" x14ac:dyDescent="0.25">
      <c r="A105" s="364" t="s">
        <v>54</v>
      </c>
      <c r="B105" s="364" t="s">
        <v>232</v>
      </c>
      <c r="C105" s="364" t="s">
        <v>241</v>
      </c>
      <c r="D105" s="364" t="s">
        <v>55</v>
      </c>
      <c r="E105" s="253">
        <f t="shared" si="57"/>
        <v>10000000</v>
      </c>
      <c r="F105" s="231">
        <f>(14000000)-4000000</f>
        <v>10000000</v>
      </c>
      <c r="G105" s="228"/>
      <c r="H105" s="228"/>
      <c r="I105" s="228"/>
      <c r="J105" s="363">
        <f t="shared" si="58"/>
        <v>0</v>
      </c>
      <c r="K105" s="228"/>
      <c r="L105" s="228"/>
      <c r="M105" s="228"/>
      <c r="N105" s="228"/>
      <c r="O105" s="361">
        <f t="shared" si="59"/>
        <v>0</v>
      </c>
      <c r="P105" s="363">
        <f t="shared" si="60"/>
        <v>10000000</v>
      </c>
      <c r="R105" s="335"/>
    </row>
    <row r="106" spans="1:18" ht="138.75" thickTop="1" thickBot="1" x14ac:dyDescent="0.25">
      <c r="A106" s="364" t="s">
        <v>56</v>
      </c>
      <c r="B106" s="364" t="s">
        <v>233</v>
      </c>
      <c r="C106" s="364" t="s">
        <v>241</v>
      </c>
      <c r="D106" s="364" t="s">
        <v>5</v>
      </c>
      <c r="E106" s="253">
        <f t="shared" si="57"/>
        <v>1779668</v>
      </c>
      <c r="F106" s="231">
        <f>(2015668)-236000</f>
        <v>1779668</v>
      </c>
      <c r="G106" s="228"/>
      <c r="H106" s="228"/>
      <c r="I106" s="228"/>
      <c r="J106" s="363">
        <f t="shared" si="58"/>
        <v>0</v>
      </c>
      <c r="K106" s="228"/>
      <c r="L106" s="228"/>
      <c r="M106" s="228"/>
      <c r="N106" s="228"/>
      <c r="O106" s="361">
        <f t="shared" si="59"/>
        <v>0</v>
      </c>
      <c r="P106" s="363">
        <f t="shared" si="60"/>
        <v>1779668</v>
      </c>
      <c r="R106" s="335"/>
    </row>
    <row r="107" spans="1:18" ht="184.5" thickTop="1" thickBot="1" x14ac:dyDescent="0.25">
      <c r="A107" s="364" t="s">
        <v>57</v>
      </c>
      <c r="B107" s="364" t="s">
        <v>234</v>
      </c>
      <c r="C107" s="364" t="s">
        <v>241</v>
      </c>
      <c r="D107" s="364" t="s">
        <v>426</v>
      </c>
      <c r="E107" s="253">
        <f>F107</f>
        <v>56195</v>
      </c>
      <c r="F107" s="231">
        <v>56195</v>
      </c>
      <c r="G107" s="231"/>
      <c r="H107" s="231"/>
      <c r="I107" s="228"/>
      <c r="J107" s="363">
        <f t="shared" si="58"/>
        <v>0</v>
      </c>
      <c r="K107" s="228"/>
      <c r="L107" s="231"/>
      <c r="M107" s="231"/>
      <c r="N107" s="231"/>
      <c r="O107" s="361">
        <f t="shared" si="59"/>
        <v>0</v>
      </c>
      <c r="P107" s="363">
        <f t="shared" si="60"/>
        <v>56195</v>
      </c>
      <c r="R107" s="335"/>
    </row>
    <row r="108" spans="1:18" ht="184.5" thickTop="1" thickBot="1" x14ac:dyDescent="0.25">
      <c r="A108" s="364" t="s">
        <v>34</v>
      </c>
      <c r="B108" s="364" t="s">
        <v>238</v>
      </c>
      <c r="C108" s="364" t="s">
        <v>241</v>
      </c>
      <c r="D108" s="364" t="s">
        <v>58</v>
      </c>
      <c r="E108" s="253">
        <f t="shared" si="57"/>
        <v>22676622</v>
      </c>
      <c r="F108" s="231">
        <f>(22943822)+55800-243100-19900-10000-50000</f>
        <v>22676622</v>
      </c>
      <c r="G108" s="231">
        <f>(15609500)</f>
        <v>15609500</v>
      </c>
      <c r="H108" s="231">
        <f>(464245+81769+327290+155710+4268)-10000-25000</f>
        <v>998282</v>
      </c>
      <c r="I108" s="231"/>
      <c r="J108" s="363">
        <f t="shared" si="58"/>
        <v>5569869</v>
      </c>
      <c r="K108" s="231">
        <f>(3819415)+74450+455200-550000</f>
        <v>3799065</v>
      </c>
      <c r="L108" s="231">
        <v>1763304</v>
      </c>
      <c r="M108" s="231">
        <v>792332</v>
      </c>
      <c r="N108" s="231">
        <v>248162</v>
      </c>
      <c r="O108" s="361">
        <f>K108+7500</f>
        <v>3806565</v>
      </c>
      <c r="P108" s="363">
        <f t="shared" si="60"/>
        <v>28246491</v>
      </c>
      <c r="R108" s="335" t="b">
        <f>K108='d5'!J126+'d5'!J125+'d5'!J124+'d5'!J123</f>
        <v>0</v>
      </c>
    </row>
    <row r="109" spans="1:18" ht="184.5" thickTop="1" thickBot="1" x14ac:dyDescent="0.25">
      <c r="A109" s="364" t="s">
        <v>35</v>
      </c>
      <c r="B109" s="364" t="s">
        <v>239</v>
      </c>
      <c r="C109" s="364" t="s">
        <v>241</v>
      </c>
      <c r="D109" s="364" t="s">
        <v>59</v>
      </c>
      <c r="E109" s="253">
        <f t="shared" si="57"/>
        <v>6068200</v>
      </c>
      <c r="F109" s="231">
        <f>(6068200)</f>
        <v>6068200</v>
      </c>
      <c r="G109" s="231"/>
      <c r="H109" s="231"/>
      <c r="I109" s="231"/>
      <c r="J109" s="363">
        <f t="shared" si="58"/>
        <v>468600</v>
      </c>
      <c r="K109" s="231">
        <v>468600</v>
      </c>
      <c r="L109" s="231"/>
      <c r="M109" s="231"/>
      <c r="N109" s="231"/>
      <c r="O109" s="361">
        <f t="shared" si="59"/>
        <v>468600</v>
      </c>
      <c r="P109" s="363">
        <f t="shared" si="60"/>
        <v>6536800</v>
      </c>
      <c r="R109" s="335" t="b">
        <f>K109='d5'!J128+'d5'!J127</f>
        <v>1</v>
      </c>
    </row>
    <row r="110" spans="1:18" ht="276" thickTop="1" thickBot="1" x14ac:dyDescent="0.25">
      <c r="A110" s="225" t="s">
        <v>36</v>
      </c>
      <c r="B110" s="225" t="s">
        <v>240</v>
      </c>
      <c r="C110" s="225" t="s">
        <v>241</v>
      </c>
      <c r="D110" s="364" t="s">
        <v>37</v>
      </c>
      <c r="E110" s="253">
        <f t="shared" si="57"/>
        <v>1443547</v>
      </c>
      <c r="F110" s="231">
        <f>(2027547)-584000</f>
        <v>1443547</v>
      </c>
      <c r="G110" s="228"/>
      <c r="H110" s="228"/>
      <c r="I110" s="228"/>
      <c r="J110" s="363">
        <f t="shared" si="58"/>
        <v>0</v>
      </c>
      <c r="K110" s="228"/>
      <c r="L110" s="228"/>
      <c r="M110" s="228"/>
      <c r="N110" s="228"/>
      <c r="O110" s="361">
        <f t="shared" si="59"/>
        <v>0</v>
      </c>
      <c r="P110" s="363">
        <f t="shared" si="60"/>
        <v>1443547</v>
      </c>
      <c r="R110" s="335"/>
    </row>
    <row r="111" spans="1:18" ht="184.5" hidden="1" thickTop="1" thickBot="1" x14ac:dyDescent="0.25">
      <c r="A111" s="423" t="s">
        <v>730</v>
      </c>
      <c r="B111" s="423" t="s">
        <v>728</v>
      </c>
      <c r="C111" s="423" t="s">
        <v>241</v>
      </c>
      <c r="D111" s="406" t="s">
        <v>729</v>
      </c>
      <c r="E111" s="422">
        <f t="shared" si="57"/>
        <v>0</v>
      </c>
      <c r="F111" s="408"/>
      <c r="G111" s="410"/>
      <c r="H111" s="410"/>
      <c r="I111" s="410"/>
      <c r="J111" s="363">
        <f t="shared" si="58"/>
        <v>0</v>
      </c>
      <c r="K111" s="228"/>
      <c r="L111" s="228"/>
      <c r="M111" s="228"/>
      <c r="N111" s="228"/>
      <c r="O111" s="361">
        <f t="shared" si="59"/>
        <v>0</v>
      </c>
      <c r="P111" s="363">
        <f t="shared" si="60"/>
        <v>0</v>
      </c>
      <c r="R111" s="335"/>
    </row>
    <row r="112" spans="1:18" ht="93" thickTop="1" thickBot="1" x14ac:dyDescent="0.25">
      <c r="A112" s="225" t="s">
        <v>38</v>
      </c>
      <c r="B112" s="225" t="s">
        <v>242</v>
      </c>
      <c r="C112" s="225" t="s">
        <v>241</v>
      </c>
      <c r="D112" s="364" t="s">
        <v>39</v>
      </c>
      <c r="E112" s="253">
        <f>F112</f>
        <v>1522890</v>
      </c>
      <c r="F112" s="231">
        <v>1522890</v>
      </c>
      <c r="G112" s="228">
        <v>1049330</v>
      </c>
      <c r="H112" s="228"/>
      <c r="I112" s="228"/>
      <c r="J112" s="363">
        <f t="shared" si="58"/>
        <v>0</v>
      </c>
      <c r="K112" s="228"/>
      <c r="L112" s="228"/>
      <c r="M112" s="228"/>
      <c r="N112" s="228"/>
      <c r="O112" s="361">
        <f t="shared" si="59"/>
        <v>0</v>
      </c>
      <c r="P112" s="363">
        <f t="shared" si="60"/>
        <v>1522890</v>
      </c>
      <c r="R112" s="335"/>
    </row>
    <row r="113" spans="1:18" ht="276" thickTop="1" thickBot="1" x14ac:dyDescent="0.25">
      <c r="A113" s="225" t="s">
        <v>417</v>
      </c>
      <c r="B113" s="225" t="s">
        <v>416</v>
      </c>
      <c r="C113" s="225" t="s">
        <v>415</v>
      </c>
      <c r="D113" s="364" t="s">
        <v>414</v>
      </c>
      <c r="E113" s="253">
        <f>F113</f>
        <v>19211</v>
      </c>
      <c r="F113" s="231">
        <f>(9036)+10175</f>
        <v>19211</v>
      </c>
      <c r="G113" s="228"/>
      <c r="H113" s="228"/>
      <c r="I113" s="228"/>
      <c r="J113" s="363">
        <f t="shared" si="58"/>
        <v>0</v>
      </c>
      <c r="K113" s="228"/>
      <c r="L113" s="228"/>
      <c r="M113" s="228"/>
      <c r="N113" s="228"/>
      <c r="O113" s="361">
        <f t="shared" si="59"/>
        <v>0</v>
      </c>
      <c r="P113" s="363">
        <f t="shared" si="60"/>
        <v>19211</v>
      </c>
      <c r="R113" s="335"/>
    </row>
    <row r="114" spans="1:18" ht="93" thickTop="1" thickBot="1" x14ac:dyDescent="0.25">
      <c r="A114" s="364" t="s">
        <v>463</v>
      </c>
      <c r="B114" s="364" t="s">
        <v>443</v>
      </c>
      <c r="C114" s="364" t="s">
        <v>53</v>
      </c>
      <c r="D114" s="364" t="s">
        <v>444</v>
      </c>
      <c r="E114" s="253">
        <f>F114</f>
        <v>0</v>
      </c>
      <c r="F114" s="231"/>
      <c r="G114" s="228"/>
      <c r="H114" s="228"/>
      <c r="I114" s="228"/>
      <c r="J114" s="363">
        <f t="shared" si="58"/>
        <v>200000</v>
      </c>
      <c r="K114" s="228">
        <v>200000</v>
      </c>
      <c r="L114" s="228"/>
      <c r="M114" s="228"/>
      <c r="N114" s="228"/>
      <c r="O114" s="361">
        <f t="shared" si="59"/>
        <v>200000</v>
      </c>
      <c r="P114" s="363">
        <f t="shared" si="60"/>
        <v>200000</v>
      </c>
      <c r="R114" s="335" t="b">
        <f>K114='d5'!J129</f>
        <v>1</v>
      </c>
    </row>
    <row r="115" spans="1:18" ht="181.5" thickTop="1" thickBot="1" x14ac:dyDescent="0.25">
      <c r="A115" s="414" t="s">
        <v>198</v>
      </c>
      <c r="B115" s="414"/>
      <c r="C115" s="414"/>
      <c r="D115" s="415" t="s">
        <v>28</v>
      </c>
      <c r="E115" s="416">
        <f>E116</f>
        <v>265135095</v>
      </c>
      <c r="F115" s="417">
        <f t="shared" ref="F115:G115" si="61">F116</f>
        <v>265135095</v>
      </c>
      <c r="G115" s="417">
        <f t="shared" si="61"/>
        <v>9437284</v>
      </c>
      <c r="H115" s="417">
        <f>H116</f>
        <v>254669</v>
      </c>
      <c r="I115" s="416">
        <f t="shared" ref="I115" si="62">I116</f>
        <v>0</v>
      </c>
      <c r="J115" s="416">
        <f>J116</f>
        <v>143780147.29000002</v>
      </c>
      <c r="K115" s="417">
        <f>K116</f>
        <v>143554868.59</v>
      </c>
      <c r="L115" s="417">
        <f>L116</f>
        <v>205900</v>
      </c>
      <c r="M115" s="417">
        <f t="shared" ref="M115" si="63">M116</f>
        <v>0</v>
      </c>
      <c r="N115" s="416">
        <f>N116</f>
        <v>0</v>
      </c>
      <c r="O115" s="416">
        <f>O116</f>
        <v>143574247.29000002</v>
      </c>
      <c r="P115" s="417">
        <f>P116</f>
        <v>408915242.29000002</v>
      </c>
    </row>
    <row r="116" spans="1:18" ht="181.5" thickTop="1" thickBot="1" x14ac:dyDescent="0.25">
      <c r="A116" s="418" t="s">
        <v>199</v>
      </c>
      <c r="B116" s="418"/>
      <c r="C116" s="418"/>
      <c r="D116" s="419" t="s">
        <v>48</v>
      </c>
      <c r="E116" s="420">
        <f>SUM(E117:E134)</f>
        <v>265135095</v>
      </c>
      <c r="F116" s="420">
        <f>SUM(F117:F134)</f>
        <v>265135095</v>
      </c>
      <c r="G116" s="420">
        <f>SUM(G117:G134)</f>
        <v>9437284</v>
      </c>
      <c r="H116" s="420">
        <f>SUM(H117:H134)</f>
        <v>254669</v>
      </c>
      <c r="I116" s="420">
        <f>SUM(I117:I134)</f>
        <v>0</v>
      </c>
      <c r="J116" s="420">
        <f t="shared" ref="J116:J131" si="64">L116+O116</f>
        <v>143780147.29000002</v>
      </c>
      <c r="K116" s="420">
        <f>SUM(K117:K134)</f>
        <v>143554868.59</v>
      </c>
      <c r="L116" s="420">
        <f>SUM(L117:L134)</f>
        <v>205900</v>
      </c>
      <c r="M116" s="420">
        <f>SUM(M117:M134)</f>
        <v>0</v>
      </c>
      <c r="N116" s="420">
        <f>SUM(N117:N134)</f>
        <v>0</v>
      </c>
      <c r="O116" s="420">
        <f>SUM(O117:O134)</f>
        <v>143574247.29000002</v>
      </c>
      <c r="P116" s="421">
        <f>E116+J116</f>
        <v>408915242.29000002</v>
      </c>
      <c r="Q116" s="334" t="b">
        <f>P116=P119+P121+P122+P123+P124+P125+P126+P128+P129+P130+P134+P120+P117+P131+P118+P127+P133</f>
        <v>1</v>
      </c>
      <c r="R116" s="335" t="b">
        <f>K116='d5'!J130</f>
        <v>0</v>
      </c>
    </row>
    <row r="117" spans="1:18" ht="230.25" thickTop="1" thickBot="1" x14ac:dyDescent="0.25">
      <c r="A117" s="364" t="s">
        <v>522</v>
      </c>
      <c r="B117" s="364" t="s">
        <v>286</v>
      </c>
      <c r="C117" s="364" t="s">
        <v>284</v>
      </c>
      <c r="D117" s="364" t="s">
        <v>285</v>
      </c>
      <c r="E117" s="253">
        <f>F117</f>
        <v>11130780</v>
      </c>
      <c r="F117" s="231">
        <f>(11300780)-170000</f>
        <v>11130780</v>
      </c>
      <c r="G117" s="231">
        <f>(8433900)-140000</f>
        <v>8293900</v>
      </c>
      <c r="H117" s="231">
        <f>(99400+4200+54700+5300)+12000+3520+241</f>
        <v>179361</v>
      </c>
      <c r="I117" s="231"/>
      <c r="J117" s="363">
        <f t="shared" si="64"/>
        <v>17000</v>
      </c>
      <c r="K117" s="231">
        <v>17000</v>
      </c>
      <c r="L117" s="254"/>
      <c r="M117" s="254"/>
      <c r="N117" s="254"/>
      <c r="O117" s="361">
        <f t="shared" ref="O117:O130" si="65">K117</f>
        <v>17000</v>
      </c>
      <c r="P117" s="363">
        <f t="shared" ref="P117:P123" si="66">+J117+E117</f>
        <v>11147780</v>
      </c>
      <c r="Q117" s="334"/>
      <c r="R117" s="335" t="b">
        <f>K117='d5'!J132</f>
        <v>1</v>
      </c>
    </row>
    <row r="118" spans="1:18" ht="93" thickTop="1" thickBot="1" x14ac:dyDescent="0.25">
      <c r="A118" s="364" t="s">
        <v>552</v>
      </c>
      <c r="B118" s="364" t="s">
        <v>53</v>
      </c>
      <c r="C118" s="364" t="s">
        <v>52</v>
      </c>
      <c r="D118" s="364" t="s">
        <v>298</v>
      </c>
      <c r="E118" s="253">
        <f>F118</f>
        <v>150000</v>
      </c>
      <c r="F118" s="231">
        <v>150000</v>
      </c>
      <c r="G118" s="231"/>
      <c r="H118" s="231"/>
      <c r="I118" s="231"/>
      <c r="J118" s="363">
        <f t="shared" si="64"/>
        <v>0</v>
      </c>
      <c r="K118" s="231"/>
      <c r="L118" s="254"/>
      <c r="M118" s="254"/>
      <c r="N118" s="254"/>
      <c r="O118" s="361">
        <f t="shared" si="65"/>
        <v>0</v>
      </c>
      <c r="P118" s="363">
        <f t="shared" si="66"/>
        <v>150000</v>
      </c>
      <c r="Q118" s="334"/>
      <c r="R118" s="335"/>
    </row>
    <row r="119" spans="1:18" ht="138.75" thickTop="1" thickBot="1" x14ac:dyDescent="0.25">
      <c r="A119" s="364" t="s">
        <v>331</v>
      </c>
      <c r="B119" s="364" t="s">
        <v>332</v>
      </c>
      <c r="C119" s="364" t="s">
        <v>415</v>
      </c>
      <c r="D119" s="364" t="s">
        <v>333</v>
      </c>
      <c r="E119" s="253">
        <f t="shared" ref="E119:E134" si="67">F119</f>
        <v>2076700</v>
      </c>
      <c r="F119" s="231">
        <f>((3300000)-1323300)+100000</f>
        <v>2076700</v>
      </c>
      <c r="G119" s="231"/>
      <c r="H119" s="231"/>
      <c r="I119" s="231"/>
      <c r="J119" s="363">
        <f t="shared" si="64"/>
        <v>5421200</v>
      </c>
      <c r="K119" s="231">
        <f>(4097900)+1323300</f>
        <v>5421200</v>
      </c>
      <c r="L119" s="254"/>
      <c r="M119" s="254"/>
      <c r="N119" s="254"/>
      <c r="O119" s="361">
        <f t="shared" si="65"/>
        <v>5421200</v>
      </c>
      <c r="P119" s="363">
        <f t="shared" si="66"/>
        <v>7497900</v>
      </c>
    </row>
    <row r="120" spans="1:18" ht="138.75" thickTop="1" thickBot="1" x14ac:dyDescent="0.25">
      <c r="A120" s="364" t="s">
        <v>464</v>
      </c>
      <c r="B120" s="364" t="s">
        <v>465</v>
      </c>
      <c r="C120" s="364" t="s">
        <v>334</v>
      </c>
      <c r="D120" s="364" t="s">
        <v>466</v>
      </c>
      <c r="E120" s="253">
        <f t="shared" si="67"/>
        <v>27000000</v>
      </c>
      <c r="F120" s="231">
        <f>(22000000+3000000)+2000000</f>
        <v>27000000</v>
      </c>
      <c r="G120" s="231"/>
      <c r="H120" s="231"/>
      <c r="I120" s="231"/>
      <c r="J120" s="363">
        <f t="shared" si="64"/>
        <v>0</v>
      </c>
      <c r="K120" s="231"/>
      <c r="L120" s="254"/>
      <c r="M120" s="254"/>
      <c r="N120" s="254"/>
      <c r="O120" s="361">
        <f t="shared" si="65"/>
        <v>0</v>
      </c>
      <c r="P120" s="363">
        <f t="shared" si="66"/>
        <v>27000000</v>
      </c>
    </row>
    <row r="121" spans="1:18" ht="138.75" thickTop="1" thickBot="1" x14ac:dyDescent="0.25">
      <c r="A121" s="364" t="s">
        <v>337</v>
      </c>
      <c r="B121" s="364" t="s">
        <v>338</v>
      </c>
      <c r="C121" s="364" t="s">
        <v>334</v>
      </c>
      <c r="D121" s="364" t="s">
        <v>339</v>
      </c>
      <c r="E121" s="253">
        <f t="shared" si="67"/>
        <v>9595480</v>
      </c>
      <c r="F121" s="231">
        <f>(10645480-2000000)+500000+450000</f>
        <v>9595480</v>
      </c>
      <c r="G121" s="231"/>
      <c r="H121" s="231"/>
      <c r="I121" s="231"/>
      <c r="J121" s="363">
        <f t="shared" si="64"/>
        <v>0</v>
      </c>
      <c r="K121" s="231"/>
      <c r="L121" s="254"/>
      <c r="M121" s="254"/>
      <c r="N121" s="254"/>
      <c r="O121" s="361">
        <f t="shared" si="65"/>
        <v>0</v>
      </c>
      <c r="P121" s="363">
        <f t="shared" si="66"/>
        <v>9595480</v>
      </c>
    </row>
    <row r="122" spans="1:18" ht="138.75" thickTop="1" thickBot="1" x14ac:dyDescent="0.25">
      <c r="A122" s="364" t="s">
        <v>356</v>
      </c>
      <c r="B122" s="364" t="s">
        <v>357</v>
      </c>
      <c r="C122" s="364" t="s">
        <v>334</v>
      </c>
      <c r="D122" s="364" t="s">
        <v>358</v>
      </c>
      <c r="E122" s="253">
        <f t="shared" si="67"/>
        <v>0</v>
      </c>
      <c r="F122" s="231"/>
      <c r="G122" s="231"/>
      <c r="H122" s="231"/>
      <c r="I122" s="231"/>
      <c r="J122" s="363">
        <f t="shared" si="64"/>
        <v>9235016</v>
      </c>
      <c r="K122" s="231">
        <f>(5000000)+4235016</f>
        <v>9235016</v>
      </c>
      <c r="L122" s="254"/>
      <c r="M122" s="254"/>
      <c r="N122" s="254"/>
      <c r="O122" s="361">
        <f t="shared" si="65"/>
        <v>9235016</v>
      </c>
      <c r="P122" s="363">
        <f t="shared" si="66"/>
        <v>9235016</v>
      </c>
    </row>
    <row r="123" spans="1:18" ht="138.75" thickTop="1" thickBot="1" x14ac:dyDescent="0.25">
      <c r="A123" s="364" t="s">
        <v>335</v>
      </c>
      <c r="B123" s="364" t="s">
        <v>336</v>
      </c>
      <c r="C123" s="364" t="s">
        <v>334</v>
      </c>
      <c r="D123" s="364" t="s">
        <v>633</v>
      </c>
      <c r="E123" s="253">
        <f t="shared" si="67"/>
        <v>500000</v>
      </c>
      <c r="F123" s="231">
        <v>500000</v>
      </c>
      <c r="G123" s="231"/>
      <c r="H123" s="231"/>
      <c r="I123" s="231"/>
      <c r="J123" s="363">
        <f t="shared" si="64"/>
        <v>18172317</v>
      </c>
      <c r="K123" s="231">
        <f>((17000000)+972317)+200000</f>
        <v>18172317</v>
      </c>
      <c r="L123" s="254"/>
      <c r="M123" s="254"/>
      <c r="N123" s="254"/>
      <c r="O123" s="361">
        <f t="shared" si="65"/>
        <v>18172317</v>
      </c>
      <c r="P123" s="363">
        <f t="shared" si="66"/>
        <v>18672317</v>
      </c>
    </row>
    <row r="124" spans="1:18" ht="230.25" thickTop="1" thickBot="1" x14ac:dyDescent="0.25">
      <c r="A124" s="364" t="s">
        <v>351</v>
      </c>
      <c r="B124" s="364" t="s">
        <v>352</v>
      </c>
      <c r="C124" s="364" t="s">
        <v>334</v>
      </c>
      <c r="D124" s="364" t="s">
        <v>353</v>
      </c>
      <c r="E124" s="253">
        <f t="shared" si="67"/>
        <v>6600000</v>
      </c>
      <c r="F124" s="231">
        <v>6600000</v>
      </c>
      <c r="G124" s="231"/>
      <c r="H124" s="231"/>
      <c r="I124" s="231"/>
      <c r="J124" s="363">
        <f t="shared" si="64"/>
        <v>0</v>
      </c>
      <c r="K124" s="228"/>
      <c r="L124" s="231"/>
      <c r="M124" s="231"/>
      <c r="N124" s="231"/>
      <c r="O124" s="361">
        <f t="shared" si="65"/>
        <v>0</v>
      </c>
      <c r="P124" s="363">
        <f t="shared" ref="P124:P127" si="68">E124+J124</f>
        <v>6600000</v>
      </c>
    </row>
    <row r="125" spans="1:18" ht="93" thickTop="1" thickBot="1" x14ac:dyDescent="0.25">
      <c r="A125" s="364" t="s">
        <v>340</v>
      </c>
      <c r="B125" s="364" t="s">
        <v>341</v>
      </c>
      <c r="C125" s="364" t="s">
        <v>334</v>
      </c>
      <c r="D125" s="364" t="s">
        <v>342</v>
      </c>
      <c r="E125" s="253">
        <f t="shared" si="67"/>
        <v>156581181</v>
      </c>
      <c r="F125" s="231">
        <f>(156465346)+115835</f>
        <v>156581181</v>
      </c>
      <c r="G125" s="231"/>
      <c r="H125" s="231">
        <v>55000</v>
      </c>
      <c r="I125" s="231"/>
      <c r="J125" s="363">
        <f t="shared" si="64"/>
        <v>12233227</v>
      </c>
      <c r="K125" s="228">
        <f>(13161600)-928373</f>
        <v>12233227</v>
      </c>
      <c r="L125" s="231"/>
      <c r="M125" s="231"/>
      <c r="N125" s="231"/>
      <c r="O125" s="361">
        <f t="shared" si="65"/>
        <v>12233227</v>
      </c>
      <c r="P125" s="363">
        <f t="shared" si="68"/>
        <v>168814408</v>
      </c>
    </row>
    <row r="126" spans="1:18" ht="99.75" thickTop="1" thickBot="1" x14ac:dyDescent="0.25">
      <c r="A126" s="364" t="s">
        <v>360</v>
      </c>
      <c r="B126" s="364" t="s">
        <v>361</v>
      </c>
      <c r="C126" s="364" t="s">
        <v>359</v>
      </c>
      <c r="D126" s="364" t="s">
        <v>649</v>
      </c>
      <c r="E126" s="253">
        <f t="shared" si="67"/>
        <v>0</v>
      </c>
      <c r="F126" s="231"/>
      <c r="G126" s="231"/>
      <c r="H126" s="231"/>
      <c r="I126" s="231"/>
      <c r="J126" s="363">
        <f>L126+O126</f>
        <v>9338415</v>
      </c>
      <c r="K126" s="228">
        <f>(11211415)-1873000</f>
        <v>9338415</v>
      </c>
      <c r="L126" s="231"/>
      <c r="M126" s="231"/>
      <c r="N126" s="231"/>
      <c r="O126" s="361">
        <f>K126</f>
        <v>9338415</v>
      </c>
      <c r="P126" s="363">
        <f t="shared" si="68"/>
        <v>9338415</v>
      </c>
    </row>
    <row r="127" spans="1:18" ht="138.75" thickTop="1" thickBot="1" x14ac:dyDescent="0.25">
      <c r="A127" s="364" t="s">
        <v>558</v>
      </c>
      <c r="B127" s="364" t="s">
        <v>428</v>
      </c>
      <c r="C127" s="364" t="s">
        <v>210</v>
      </c>
      <c r="D127" s="364" t="s">
        <v>313</v>
      </c>
      <c r="E127" s="253">
        <f t="shared" si="67"/>
        <v>0</v>
      </c>
      <c r="F127" s="231"/>
      <c r="G127" s="231"/>
      <c r="H127" s="231"/>
      <c r="I127" s="231"/>
      <c r="J127" s="363">
        <f>L127+O127</f>
        <v>604023.59000000008</v>
      </c>
      <c r="K127" s="228">
        <f>(2000000)-1395976.41</f>
        <v>604023.59000000008</v>
      </c>
      <c r="L127" s="231"/>
      <c r="M127" s="231"/>
      <c r="N127" s="231"/>
      <c r="O127" s="361">
        <f>K127</f>
        <v>604023.59000000008</v>
      </c>
      <c r="P127" s="363">
        <f t="shared" si="68"/>
        <v>604023.59000000008</v>
      </c>
      <c r="R127" s="327"/>
    </row>
    <row r="128" spans="1:18" ht="230.25" thickTop="1" thickBot="1" x14ac:dyDescent="0.25">
      <c r="A128" s="364" t="s">
        <v>346</v>
      </c>
      <c r="B128" s="364" t="s">
        <v>347</v>
      </c>
      <c r="C128" s="364" t="s">
        <v>349</v>
      </c>
      <c r="D128" s="364" t="s">
        <v>348</v>
      </c>
      <c r="E128" s="253">
        <f t="shared" si="67"/>
        <v>49107900</v>
      </c>
      <c r="F128" s="231">
        <f>(70556900)-21449000</f>
        <v>49107900</v>
      </c>
      <c r="G128" s="231"/>
      <c r="H128" s="231"/>
      <c r="I128" s="231"/>
      <c r="J128" s="363">
        <f t="shared" si="64"/>
        <v>49602612.700000003</v>
      </c>
      <c r="K128" s="231">
        <f>(44083234)+5519378.7-19378.7</f>
        <v>49583234</v>
      </c>
      <c r="L128" s="254"/>
      <c r="M128" s="254"/>
      <c r="N128" s="254"/>
      <c r="O128" s="361">
        <f>K128+19378.7</f>
        <v>49602612.700000003</v>
      </c>
      <c r="P128" s="363">
        <f>+J128+E128</f>
        <v>98710512.700000003</v>
      </c>
    </row>
    <row r="129" spans="1:18" ht="48" thickTop="1" thickBot="1" x14ac:dyDescent="0.25">
      <c r="A129" s="364" t="s">
        <v>350</v>
      </c>
      <c r="B129" s="364" t="s">
        <v>262</v>
      </c>
      <c r="C129" s="364" t="s">
        <v>263</v>
      </c>
      <c r="D129" s="364" t="s">
        <v>51</v>
      </c>
      <c r="E129" s="253">
        <f t="shared" si="67"/>
        <v>850000</v>
      </c>
      <c r="F129" s="231">
        <f>(550000)+300000</f>
        <v>850000</v>
      </c>
      <c r="G129" s="231"/>
      <c r="H129" s="231"/>
      <c r="I129" s="231"/>
      <c r="J129" s="363">
        <f t="shared" si="64"/>
        <v>25688000</v>
      </c>
      <c r="K129" s="228">
        <v>25688000</v>
      </c>
      <c r="L129" s="231"/>
      <c r="M129" s="231"/>
      <c r="N129" s="231"/>
      <c r="O129" s="361">
        <f t="shared" si="65"/>
        <v>25688000</v>
      </c>
      <c r="P129" s="363">
        <f>E129+J129</f>
        <v>26538000</v>
      </c>
    </row>
    <row r="130" spans="1:18" ht="93" thickTop="1" thickBot="1" x14ac:dyDescent="0.7">
      <c r="A130" s="364" t="s">
        <v>362</v>
      </c>
      <c r="B130" s="364" t="s">
        <v>243</v>
      </c>
      <c r="C130" s="364" t="s">
        <v>210</v>
      </c>
      <c r="D130" s="364" t="s">
        <v>42</v>
      </c>
      <c r="E130" s="253">
        <f t="shared" si="67"/>
        <v>0</v>
      </c>
      <c r="F130" s="231"/>
      <c r="G130" s="231"/>
      <c r="H130" s="231"/>
      <c r="I130" s="231"/>
      <c r="J130" s="363">
        <f t="shared" si="64"/>
        <v>13214436</v>
      </c>
      <c r="K130" s="228">
        <f>((10349596-48000+300000)+450000)+2162840</f>
        <v>13214436</v>
      </c>
      <c r="L130" s="231"/>
      <c r="M130" s="231"/>
      <c r="N130" s="231"/>
      <c r="O130" s="361">
        <f t="shared" si="65"/>
        <v>13214436</v>
      </c>
      <c r="P130" s="363">
        <f>E130+J130</f>
        <v>13214436</v>
      </c>
      <c r="Q130" s="112"/>
    </row>
    <row r="131" spans="1:18" ht="358.5" customHeight="1" thickTop="1" thickBot="1" x14ac:dyDescent="0.7">
      <c r="A131" s="554" t="s">
        <v>528</v>
      </c>
      <c r="B131" s="554" t="s">
        <v>412</v>
      </c>
      <c r="C131" s="554" t="s">
        <v>210</v>
      </c>
      <c r="D131" s="232" t="s">
        <v>585</v>
      </c>
      <c r="E131" s="556">
        <f t="shared" si="67"/>
        <v>0</v>
      </c>
      <c r="F131" s="559"/>
      <c r="G131" s="559"/>
      <c r="H131" s="559"/>
      <c r="I131" s="559"/>
      <c r="J131" s="556">
        <f t="shared" si="64"/>
        <v>205900</v>
      </c>
      <c r="K131" s="559"/>
      <c r="L131" s="559">
        <f>(500000)-294100</f>
        <v>205900</v>
      </c>
      <c r="M131" s="559"/>
      <c r="N131" s="559"/>
      <c r="O131" s="561">
        <f>K131+0</f>
        <v>0</v>
      </c>
      <c r="P131" s="563">
        <f>E131+J131</f>
        <v>205900</v>
      </c>
      <c r="Q131" s="339">
        <f>P131</f>
        <v>205900</v>
      </c>
    </row>
    <row r="132" spans="1:18" ht="184.5" thickTop="1" thickBot="1" x14ac:dyDescent="0.7">
      <c r="A132" s="554"/>
      <c r="B132" s="554"/>
      <c r="C132" s="554"/>
      <c r="D132" s="233" t="s">
        <v>586</v>
      </c>
      <c r="E132" s="556"/>
      <c r="F132" s="559"/>
      <c r="G132" s="559"/>
      <c r="H132" s="559"/>
      <c r="I132" s="559"/>
      <c r="J132" s="556"/>
      <c r="K132" s="559"/>
      <c r="L132" s="559"/>
      <c r="M132" s="559"/>
      <c r="N132" s="559"/>
      <c r="O132" s="561"/>
      <c r="P132" s="563"/>
      <c r="Q132" s="112"/>
    </row>
    <row r="133" spans="1:18" ht="138.75" thickTop="1" thickBot="1" x14ac:dyDescent="0.7">
      <c r="A133" s="364" t="s">
        <v>752</v>
      </c>
      <c r="B133" s="364" t="s">
        <v>750</v>
      </c>
      <c r="C133" s="364" t="s">
        <v>302</v>
      </c>
      <c r="D133" s="243" t="s">
        <v>751</v>
      </c>
      <c r="E133" s="253">
        <f t="shared" ref="E133" si="69">F133</f>
        <v>100000</v>
      </c>
      <c r="F133" s="231">
        <v>100000</v>
      </c>
      <c r="G133" s="231"/>
      <c r="H133" s="231"/>
      <c r="I133" s="231"/>
      <c r="J133" s="363">
        <f>L133+O133</f>
        <v>0</v>
      </c>
      <c r="K133" s="228"/>
      <c r="L133" s="231"/>
      <c r="M133" s="231"/>
      <c r="N133" s="231"/>
      <c r="O133" s="361">
        <f>K133</f>
        <v>0</v>
      </c>
      <c r="P133" s="363">
        <f>E133+J133</f>
        <v>100000</v>
      </c>
      <c r="Q133" s="112"/>
    </row>
    <row r="134" spans="1:18" ht="93" thickTop="1" thickBot="1" x14ac:dyDescent="0.25">
      <c r="A134" s="364" t="s">
        <v>300</v>
      </c>
      <c r="B134" s="364" t="s">
        <v>301</v>
      </c>
      <c r="C134" s="364" t="s">
        <v>302</v>
      </c>
      <c r="D134" s="364" t="s">
        <v>299</v>
      </c>
      <c r="E134" s="253">
        <f t="shared" si="67"/>
        <v>1443054</v>
      </c>
      <c r="F134" s="231">
        <v>1443054</v>
      </c>
      <c r="G134" s="231">
        <v>1143384</v>
      </c>
      <c r="H134" s="231">
        <f>(489+13607+1212)+5000</f>
        <v>20308</v>
      </c>
      <c r="I134" s="231"/>
      <c r="J134" s="363">
        <f>L134+O134</f>
        <v>48000</v>
      </c>
      <c r="K134" s="228">
        <v>48000</v>
      </c>
      <c r="L134" s="231"/>
      <c r="M134" s="231"/>
      <c r="N134" s="231"/>
      <c r="O134" s="361">
        <f>K134</f>
        <v>48000</v>
      </c>
      <c r="P134" s="363">
        <f>E134+J134</f>
        <v>1491054</v>
      </c>
      <c r="R134" s="335" t="b">
        <f>K134='d5'!J199</f>
        <v>0</v>
      </c>
    </row>
    <row r="135" spans="1:18" ht="271.5" thickTop="1" thickBot="1" x14ac:dyDescent="0.25">
      <c r="A135" s="414" t="s">
        <v>30</v>
      </c>
      <c r="B135" s="414"/>
      <c r="C135" s="414"/>
      <c r="D135" s="415" t="s">
        <v>459</v>
      </c>
      <c r="E135" s="416">
        <f>E136</f>
        <v>2751025</v>
      </c>
      <c r="F135" s="417">
        <f t="shared" ref="F135:G135" si="70">F136</f>
        <v>2751025</v>
      </c>
      <c r="G135" s="417">
        <f t="shared" si="70"/>
        <v>1955000</v>
      </c>
      <c r="H135" s="417">
        <f>H136</f>
        <v>64975</v>
      </c>
      <c r="I135" s="416">
        <f t="shared" ref="I135" si="71">I136</f>
        <v>0</v>
      </c>
      <c r="J135" s="416">
        <f>J136</f>
        <v>90440172</v>
      </c>
      <c r="K135" s="417">
        <f>K136</f>
        <v>90440172</v>
      </c>
      <c r="L135" s="417">
        <f>L136</f>
        <v>0</v>
      </c>
      <c r="M135" s="417">
        <f t="shared" ref="M135" si="72">M136</f>
        <v>0</v>
      </c>
      <c r="N135" s="416">
        <f>N136</f>
        <v>0</v>
      </c>
      <c r="O135" s="416">
        <f>O136</f>
        <v>90440172</v>
      </c>
      <c r="P135" s="417">
        <f t="shared" ref="P135" si="73">P136</f>
        <v>93191197</v>
      </c>
    </row>
    <row r="136" spans="1:18" ht="271.5" thickTop="1" thickBot="1" x14ac:dyDescent="0.25">
      <c r="A136" s="418" t="s">
        <v>31</v>
      </c>
      <c r="B136" s="418"/>
      <c r="C136" s="418"/>
      <c r="D136" s="419" t="s">
        <v>458</v>
      </c>
      <c r="E136" s="420">
        <f>SUM(E137:E144)</f>
        <v>2751025</v>
      </c>
      <c r="F136" s="420">
        <f t="shared" ref="F136:O136" si="74">SUM(F137:F144)</f>
        <v>2751025</v>
      </c>
      <c r="G136" s="420">
        <f t="shared" si="74"/>
        <v>1955000</v>
      </c>
      <c r="H136" s="420">
        <f t="shared" si="74"/>
        <v>64975</v>
      </c>
      <c r="I136" s="420">
        <f t="shared" si="74"/>
        <v>0</v>
      </c>
      <c r="J136" s="420">
        <f t="shared" ref="J136:J144" si="75">L136+O136</f>
        <v>90440172</v>
      </c>
      <c r="K136" s="420">
        <f t="shared" si="74"/>
        <v>90440172</v>
      </c>
      <c r="L136" s="420">
        <f t="shared" si="74"/>
        <v>0</v>
      </c>
      <c r="M136" s="420">
        <f t="shared" si="74"/>
        <v>0</v>
      </c>
      <c r="N136" s="420">
        <f t="shared" si="74"/>
        <v>0</v>
      </c>
      <c r="O136" s="420">
        <f t="shared" si="74"/>
        <v>90440172</v>
      </c>
      <c r="P136" s="421">
        <f t="shared" ref="P136:P144" si="76">E136+J136</f>
        <v>93191197</v>
      </c>
      <c r="Q136" s="334" t="b">
        <f>P136=P140+P142+P143+P137+P138+P144+P139+P141</f>
        <v>1</v>
      </c>
      <c r="R136" s="335" t="b">
        <f>K136='d5'!J200</f>
        <v>0</v>
      </c>
    </row>
    <row r="137" spans="1:18" ht="230.25" thickTop="1" thickBot="1" x14ac:dyDescent="0.25">
      <c r="A137" s="364" t="s">
        <v>518</v>
      </c>
      <c r="B137" s="364" t="s">
        <v>286</v>
      </c>
      <c r="C137" s="364" t="s">
        <v>284</v>
      </c>
      <c r="D137" s="364" t="s">
        <v>285</v>
      </c>
      <c r="E137" s="363">
        <f>F137</f>
        <v>2593225</v>
      </c>
      <c r="F137" s="228">
        <f>(2709225)-116000</f>
        <v>2593225</v>
      </c>
      <c r="G137" s="228">
        <f>(2059000)-104000</f>
        <v>1955000</v>
      </c>
      <c r="H137" s="228">
        <f>1430+22400+41145</f>
        <v>64975</v>
      </c>
      <c r="I137" s="228"/>
      <c r="J137" s="363">
        <f t="shared" si="75"/>
        <v>0</v>
      </c>
      <c r="K137" s="228"/>
      <c r="L137" s="228"/>
      <c r="M137" s="228"/>
      <c r="N137" s="228"/>
      <c r="O137" s="361">
        <f>K137</f>
        <v>0</v>
      </c>
      <c r="P137" s="363">
        <f t="shared" si="76"/>
        <v>2593225</v>
      </c>
      <c r="Q137" s="334"/>
      <c r="R137" s="335"/>
    </row>
    <row r="138" spans="1:18" ht="93" thickTop="1" thickBot="1" x14ac:dyDescent="0.25">
      <c r="A138" s="364" t="s">
        <v>550</v>
      </c>
      <c r="B138" s="364" t="s">
        <v>53</v>
      </c>
      <c r="C138" s="364" t="s">
        <v>52</v>
      </c>
      <c r="D138" s="364" t="s">
        <v>298</v>
      </c>
      <c r="E138" s="363">
        <f>F138</f>
        <v>157800</v>
      </c>
      <c r="F138" s="228">
        <v>157800</v>
      </c>
      <c r="G138" s="228"/>
      <c r="H138" s="228"/>
      <c r="I138" s="228"/>
      <c r="J138" s="363">
        <f t="shared" si="75"/>
        <v>0</v>
      </c>
      <c r="K138" s="228"/>
      <c r="L138" s="228"/>
      <c r="M138" s="228"/>
      <c r="N138" s="228"/>
      <c r="O138" s="361">
        <f t="shared" ref="O138:O139" si="77">K138</f>
        <v>0</v>
      </c>
      <c r="P138" s="363">
        <f t="shared" si="76"/>
        <v>157800</v>
      </c>
      <c r="Q138" s="334"/>
      <c r="R138" s="335"/>
    </row>
    <row r="139" spans="1:18" ht="321.75" thickTop="1" thickBot="1" x14ac:dyDescent="0.25">
      <c r="A139" s="364" t="s">
        <v>553</v>
      </c>
      <c r="B139" s="364" t="s">
        <v>555</v>
      </c>
      <c r="C139" s="364" t="s">
        <v>241</v>
      </c>
      <c r="D139" s="364" t="s">
        <v>554</v>
      </c>
      <c r="E139" s="363">
        <f t="shared" ref="E139:E142" si="78">F139</f>
        <v>0</v>
      </c>
      <c r="F139" s="228"/>
      <c r="G139" s="228"/>
      <c r="H139" s="228"/>
      <c r="I139" s="228"/>
      <c r="J139" s="363">
        <f t="shared" si="75"/>
        <v>18200000</v>
      </c>
      <c r="K139" s="228">
        <f>(10000000+5000000)+3200000</f>
        <v>18200000</v>
      </c>
      <c r="L139" s="228"/>
      <c r="M139" s="228"/>
      <c r="N139" s="228"/>
      <c r="O139" s="361">
        <f t="shared" si="77"/>
        <v>18200000</v>
      </c>
      <c r="P139" s="363">
        <f t="shared" si="76"/>
        <v>18200000</v>
      </c>
      <c r="Q139" s="334"/>
      <c r="R139" s="335"/>
    </row>
    <row r="140" spans="1:18" ht="99.75" thickTop="1" thickBot="1" x14ac:dyDescent="0.25">
      <c r="A140" s="364" t="s">
        <v>371</v>
      </c>
      <c r="B140" s="364" t="s">
        <v>372</v>
      </c>
      <c r="C140" s="364" t="s">
        <v>359</v>
      </c>
      <c r="D140" s="364" t="s">
        <v>647</v>
      </c>
      <c r="E140" s="363">
        <f t="shared" si="78"/>
        <v>0</v>
      </c>
      <c r="F140" s="228"/>
      <c r="G140" s="228"/>
      <c r="H140" s="228"/>
      <c r="I140" s="228"/>
      <c r="J140" s="363">
        <f t="shared" si="75"/>
        <v>19800000</v>
      </c>
      <c r="K140" s="228">
        <f>((((12200000)+3000000)+2200000)+2400000)</f>
        <v>19800000</v>
      </c>
      <c r="L140" s="228"/>
      <c r="M140" s="228"/>
      <c r="N140" s="228"/>
      <c r="O140" s="361">
        <f>K140</f>
        <v>19800000</v>
      </c>
      <c r="P140" s="363">
        <f t="shared" si="76"/>
        <v>19800000</v>
      </c>
      <c r="Q140" s="327"/>
    </row>
    <row r="141" spans="1:18" ht="99.75" thickTop="1" thickBot="1" x14ac:dyDescent="0.25">
      <c r="A141" s="364" t="s">
        <v>748</v>
      </c>
      <c r="B141" s="364" t="s">
        <v>749</v>
      </c>
      <c r="C141" s="364" t="s">
        <v>359</v>
      </c>
      <c r="D141" s="364" t="s">
        <v>747</v>
      </c>
      <c r="E141" s="363">
        <f t="shared" si="78"/>
        <v>0</v>
      </c>
      <c r="F141" s="228"/>
      <c r="G141" s="228"/>
      <c r="H141" s="228"/>
      <c r="I141" s="228"/>
      <c r="J141" s="363">
        <f t="shared" si="75"/>
        <v>152378</v>
      </c>
      <c r="K141" s="228">
        <f>52378+100000</f>
        <v>152378</v>
      </c>
      <c r="L141" s="228"/>
      <c r="M141" s="228"/>
      <c r="N141" s="228"/>
      <c r="O141" s="361">
        <f>K141</f>
        <v>152378</v>
      </c>
      <c r="P141" s="363">
        <f t="shared" si="76"/>
        <v>152378</v>
      </c>
      <c r="Q141" s="327"/>
    </row>
    <row r="142" spans="1:18" ht="145.5" thickTop="1" thickBot="1" x14ac:dyDescent="0.25">
      <c r="A142" s="364" t="s">
        <v>373</v>
      </c>
      <c r="B142" s="364" t="s">
        <v>374</v>
      </c>
      <c r="C142" s="364" t="s">
        <v>359</v>
      </c>
      <c r="D142" s="364" t="s">
        <v>646</v>
      </c>
      <c r="E142" s="363">
        <f t="shared" si="78"/>
        <v>0</v>
      </c>
      <c r="F142" s="228"/>
      <c r="G142" s="228"/>
      <c r="H142" s="228"/>
      <c r="I142" s="228"/>
      <c r="J142" s="363">
        <f t="shared" si="75"/>
        <v>600000</v>
      </c>
      <c r="K142" s="228">
        <f>(1000000)-400000</f>
        <v>600000</v>
      </c>
      <c r="L142" s="228"/>
      <c r="M142" s="228"/>
      <c r="N142" s="228"/>
      <c r="O142" s="361">
        <f>K142</f>
        <v>600000</v>
      </c>
      <c r="P142" s="363">
        <f t="shared" si="76"/>
        <v>600000</v>
      </c>
      <c r="Q142" s="327"/>
    </row>
    <row r="143" spans="1:18" ht="99.75" thickTop="1" thickBot="1" x14ac:dyDescent="0.3">
      <c r="A143" s="364" t="s">
        <v>376</v>
      </c>
      <c r="B143" s="364" t="s">
        <v>377</v>
      </c>
      <c r="C143" s="364" t="s">
        <v>359</v>
      </c>
      <c r="D143" s="364" t="s">
        <v>645</v>
      </c>
      <c r="E143" s="363">
        <f>F143</f>
        <v>0</v>
      </c>
      <c r="F143" s="228"/>
      <c r="G143" s="228"/>
      <c r="H143" s="228"/>
      <c r="I143" s="228"/>
      <c r="J143" s="363">
        <f t="shared" si="75"/>
        <v>22417622</v>
      </c>
      <c r="K143" s="228">
        <f>(14800000)+1947622+5670000</f>
        <v>22417622</v>
      </c>
      <c r="L143" s="228"/>
      <c r="M143" s="228"/>
      <c r="N143" s="228"/>
      <c r="O143" s="361">
        <f>K143</f>
        <v>22417622</v>
      </c>
      <c r="P143" s="363">
        <f t="shared" si="76"/>
        <v>22417622</v>
      </c>
      <c r="Q143" s="160"/>
    </row>
    <row r="144" spans="1:18" ht="138.75" thickTop="1" thickBot="1" x14ac:dyDescent="0.25">
      <c r="A144" s="364" t="s">
        <v>572</v>
      </c>
      <c r="B144" s="364" t="s">
        <v>428</v>
      </c>
      <c r="C144" s="364" t="s">
        <v>210</v>
      </c>
      <c r="D144" s="364" t="s">
        <v>313</v>
      </c>
      <c r="E144" s="363">
        <f>F144</f>
        <v>0</v>
      </c>
      <c r="F144" s="228"/>
      <c r="G144" s="228"/>
      <c r="H144" s="228"/>
      <c r="I144" s="228"/>
      <c r="J144" s="363">
        <f t="shared" si="75"/>
        <v>29270172</v>
      </c>
      <c r="K144" s="228">
        <f>(((23000000)-3000000)-29828-100000)+9400000</f>
        <v>29270172</v>
      </c>
      <c r="L144" s="228"/>
      <c r="M144" s="228"/>
      <c r="N144" s="228"/>
      <c r="O144" s="361">
        <f>K144</f>
        <v>29270172</v>
      </c>
      <c r="P144" s="363">
        <f t="shared" si="76"/>
        <v>29270172</v>
      </c>
    </row>
    <row r="145" spans="1:18" ht="271.5" thickTop="1" thickBot="1" x14ac:dyDescent="0.25">
      <c r="A145" s="414" t="s">
        <v>200</v>
      </c>
      <c r="B145" s="414"/>
      <c r="C145" s="414"/>
      <c r="D145" s="415" t="s">
        <v>928</v>
      </c>
      <c r="E145" s="416">
        <f>E146</f>
        <v>4299600</v>
      </c>
      <c r="F145" s="417">
        <f t="shared" ref="F145:G145" si="79">F146</f>
        <v>4299600</v>
      </c>
      <c r="G145" s="417">
        <f t="shared" si="79"/>
        <v>3108000</v>
      </c>
      <c r="H145" s="417">
        <f>H146</f>
        <v>107000</v>
      </c>
      <c r="I145" s="416">
        <f t="shared" ref="I145" si="80">I146</f>
        <v>0</v>
      </c>
      <c r="J145" s="416">
        <f>J146</f>
        <v>441220</v>
      </c>
      <c r="K145" s="417">
        <f>K146</f>
        <v>441220</v>
      </c>
      <c r="L145" s="417">
        <f>L146</f>
        <v>0</v>
      </c>
      <c r="M145" s="417">
        <f t="shared" ref="M145" si="81">M146</f>
        <v>0</v>
      </c>
      <c r="N145" s="416">
        <f>N146</f>
        <v>0</v>
      </c>
      <c r="O145" s="416">
        <f>O146</f>
        <v>441220</v>
      </c>
      <c r="P145" s="417">
        <f t="shared" ref="P145" si="82">P146</f>
        <v>4740820</v>
      </c>
    </row>
    <row r="146" spans="1:18" ht="226.5" thickTop="1" thickBot="1" x14ac:dyDescent="0.25">
      <c r="A146" s="418" t="s">
        <v>201</v>
      </c>
      <c r="B146" s="418"/>
      <c r="C146" s="418"/>
      <c r="D146" s="419" t="s">
        <v>929</v>
      </c>
      <c r="E146" s="420">
        <f>SUM(E147:E148)</f>
        <v>4299600</v>
      </c>
      <c r="F146" s="420">
        <f>SUM(F147:F148)</f>
        <v>4299600</v>
      </c>
      <c r="G146" s="420">
        <f>SUM(G147:G148)</f>
        <v>3108000</v>
      </c>
      <c r="H146" s="420">
        <f>SUM(H147:H148)</f>
        <v>107000</v>
      </c>
      <c r="I146" s="420">
        <f>SUM(I147:I148)</f>
        <v>0</v>
      </c>
      <c r="J146" s="420">
        <f>L146+O146</f>
        <v>441220</v>
      </c>
      <c r="K146" s="420">
        <f>SUM(K147:K148)</f>
        <v>441220</v>
      </c>
      <c r="L146" s="420">
        <f>SUM(L147:L148)</f>
        <v>0</v>
      </c>
      <c r="M146" s="420">
        <f>SUM(M147:M148)</f>
        <v>0</v>
      </c>
      <c r="N146" s="420">
        <f>SUM(N147:N148)</f>
        <v>0</v>
      </c>
      <c r="O146" s="420">
        <f>SUM(O147:O148)</f>
        <v>441220</v>
      </c>
      <c r="P146" s="421">
        <f>E146+J146</f>
        <v>4740820</v>
      </c>
      <c r="Q146" s="334" t="b">
        <f>P146=P147+P148</f>
        <v>1</v>
      </c>
      <c r="R146" s="335" t="b">
        <f>K146='d5'!J227</f>
        <v>1</v>
      </c>
    </row>
    <row r="147" spans="1:18" ht="230.25" thickTop="1" thickBot="1" x14ac:dyDescent="0.25">
      <c r="A147" s="364" t="s">
        <v>520</v>
      </c>
      <c r="B147" s="364" t="s">
        <v>286</v>
      </c>
      <c r="C147" s="364" t="s">
        <v>284</v>
      </c>
      <c r="D147" s="364" t="s">
        <v>285</v>
      </c>
      <c r="E147" s="363">
        <f>F147</f>
        <v>4299600</v>
      </c>
      <c r="F147" s="228">
        <f>(4515600)-216000</f>
        <v>4299600</v>
      </c>
      <c r="G147" s="228">
        <f>(3285000)-177000</f>
        <v>3108000</v>
      </c>
      <c r="H147" s="228">
        <f>78300+1300+27400</f>
        <v>107000</v>
      </c>
      <c r="I147" s="228"/>
      <c r="J147" s="363">
        <f>L147+O147</f>
        <v>0</v>
      </c>
      <c r="K147" s="228"/>
      <c r="L147" s="228"/>
      <c r="M147" s="228"/>
      <c r="N147" s="228"/>
      <c r="O147" s="361">
        <f>K147</f>
        <v>0</v>
      </c>
      <c r="P147" s="363">
        <f>E147+J147</f>
        <v>4299600</v>
      </c>
      <c r="Q147" s="334"/>
      <c r="R147" s="335"/>
    </row>
    <row r="148" spans="1:18" ht="138.75" thickTop="1" thickBot="1" x14ac:dyDescent="0.25">
      <c r="A148" s="364" t="s">
        <v>754</v>
      </c>
      <c r="B148" s="364" t="s">
        <v>755</v>
      </c>
      <c r="C148" s="364" t="s">
        <v>359</v>
      </c>
      <c r="D148" s="364" t="s">
        <v>756</v>
      </c>
      <c r="E148" s="363">
        <f>F148</f>
        <v>0</v>
      </c>
      <c r="F148" s="228"/>
      <c r="G148" s="228"/>
      <c r="H148" s="228"/>
      <c r="I148" s="228"/>
      <c r="J148" s="363">
        <f>L148+O148</f>
        <v>441220</v>
      </c>
      <c r="K148" s="228">
        <v>441220</v>
      </c>
      <c r="L148" s="228"/>
      <c r="M148" s="228"/>
      <c r="N148" s="228"/>
      <c r="O148" s="361">
        <f>K148</f>
        <v>441220</v>
      </c>
      <c r="P148" s="363">
        <f>E148+J148</f>
        <v>441220</v>
      </c>
      <c r="Q148" s="334"/>
      <c r="R148" s="335"/>
    </row>
    <row r="149" spans="1:18" ht="136.5" thickTop="1" thickBot="1" x14ac:dyDescent="0.25">
      <c r="A149" s="414" t="s">
        <v>591</v>
      </c>
      <c r="B149" s="414"/>
      <c r="C149" s="414"/>
      <c r="D149" s="415" t="s">
        <v>593</v>
      </c>
      <c r="E149" s="416">
        <f>E150</f>
        <v>59717342</v>
      </c>
      <c r="F149" s="417">
        <f t="shared" ref="F149:G149" si="83">F150</f>
        <v>59717342</v>
      </c>
      <c r="G149" s="417">
        <f t="shared" si="83"/>
        <v>1712600</v>
      </c>
      <c r="H149" s="417">
        <f>H150</f>
        <v>112500</v>
      </c>
      <c r="I149" s="416">
        <f t="shared" ref="I149" si="84">I150</f>
        <v>0</v>
      </c>
      <c r="J149" s="416">
        <f>J150</f>
        <v>49000</v>
      </c>
      <c r="K149" s="417">
        <f>K150</f>
        <v>49000</v>
      </c>
      <c r="L149" s="417">
        <f>L150</f>
        <v>0</v>
      </c>
      <c r="M149" s="417">
        <f t="shared" ref="M149" si="85">M150</f>
        <v>0</v>
      </c>
      <c r="N149" s="416">
        <f>N150</f>
        <v>0</v>
      </c>
      <c r="O149" s="416">
        <f>O150</f>
        <v>49000</v>
      </c>
      <c r="P149" s="417">
        <f t="shared" ref="P149" si="86">P150</f>
        <v>59766342</v>
      </c>
    </row>
    <row r="150" spans="1:18" ht="181.5" thickTop="1" thickBot="1" x14ac:dyDescent="0.25">
      <c r="A150" s="418" t="s">
        <v>592</v>
      </c>
      <c r="B150" s="418"/>
      <c r="C150" s="418"/>
      <c r="D150" s="419" t="s">
        <v>594</v>
      </c>
      <c r="E150" s="420">
        <f>SUM(E151:E153)</f>
        <v>59717342</v>
      </c>
      <c r="F150" s="420">
        <f t="shared" ref="F150:O150" si="87">SUM(F151:F153)</f>
        <v>59717342</v>
      </c>
      <c r="G150" s="420">
        <f t="shared" si="87"/>
        <v>1712600</v>
      </c>
      <c r="H150" s="420">
        <f t="shared" si="87"/>
        <v>112500</v>
      </c>
      <c r="I150" s="420">
        <f t="shared" si="87"/>
        <v>0</v>
      </c>
      <c r="J150" s="420">
        <f>L150+O150</f>
        <v>49000</v>
      </c>
      <c r="K150" s="420">
        <f t="shared" si="87"/>
        <v>49000</v>
      </c>
      <c r="L150" s="420">
        <f t="shared" si="87"/>
        <v>0</v>
      </c>
      <c r="M150" s="420">
        <f t="shared" si="87"/>
        <v>0</v>
      </c>
      <c r="N150" s="420">
        <f t="shared" si="87"/>
        <v>0</v>
      </c>
      <c r="O150" s="420">
        <f t="shared" si="87"/>
        <v>49000</v>
      </c>
      <c r="P150" s="421">
        <f>E150+J150</f>
        <v>59766342</v>
      </c>
      <c r="Q150" s="334" t="b">
        <f>P150=P151+P152+P153</f>
        <v>1</v>
      </c>
      <c r="R150" s="335" t="b">
        <f>K150='d5'!J230</f>
        <v>1</v>
      </c>
    </row>
    <row r="151" spans="1:18" ht="230.25" thickTop="1" thickBot="1" x14ac:dyDescent="0.25">
      <c r="A151" s="364" t="s">
        <v>595</v>
      </c>
      <c r="B151" s="364" t="s">
        <v>286</v>
      </c>
      <c r="C151" s="364" t="s">
        <v>284</v>
      </c>
      <c r="D151" s="364" t="s">
        <v>285</v>
      </c>
      <c r="E151" s="363">
        <f>F151</f>
        <v>2781900</v>
      </c>
      <c r="F151" s="228">
        <f>(2688500)+93400</f>
        <v>2781900</v>
      </c>
      <c r="G151" s="228">
        <f>(1800000)-87400</f>
        <v>1712600</v>
      </c>
      <c r="H151" s="228">
        <f>50000+2500+56700+3300</f>
        <v>112500</v>
      </c>
      <c r="I151" s="228"/>
      <c r="J151" s="363">
        <f>L151+O151</f>
        <v>49000</v>
      </c>
      <c r="K151" s="228">
        <v>49000</v>
      </c>
      <c r="L151" s="228"/>
      <c r="M151" s="228"/>
      <c r="N151" s="228"/>
      <c r="O151" s="361">
        <f>K151</f>
        <v>49000</v>
      </c>
      <c r="P151" s="363">
        <f>E151+J151</f>
        <v>2830900</v>
      </c>
      <c r="Q151" s="334"/>
      <c r="R151" s="335" t="b">
        <f>K151='d5'!J232</f>
        <v>1</v>
      </c>
    </row>
    <row r="152" spans="1:18" ht="93" hidden="1" thickTop="1" thickBot="1" x14ac:dyDescent="0.25">
      <c r="A152" s="364" t="s">
        <v>634</v>
      </c>
      <c r="B152" s="364" t="s">
        <v>510</v>
      </c>
      <c r="C152" s="364" t="s">
        <v>511</v>
      </c>
      <c r="D152" s="364" t="s">
        <v>512</v>
      </c>
      <c r="E152" s="363">
        <f>F152</f>
        <v>0</v>
      </c>
      <c r="F152" s="228">
        <f>(34016813)-19850000-9713396-4453417</f>
        <v>0</v>
      </c>
      <c r="G152" s="228"/>
      <c r="H152" s="228"/>
      <c r="I152" s="228"/>
      <c r="J152" s="363">
        <f>L152+O152</f>
        <v>0</v>
      </c>
      <c r="K152" s="228"/>
      <c r="L152" s="228"/>
      <c r="M152" s="228"/>
      <c r="N152" s="228"/>
      <c r="O152" s="361">
        <f>K152</f>
        <v>0</v>
      </c>
      <c r="P152" s="363">
        <f>E152+J152</f>
        <v>0</v>
      </c>
      <c r="Q152" s="334"/>
      <c r="R152" s="335"/>
    </row>
    <row r="153" spans="1:18" ht="93" thickTop="1" thickBot="1" x14ac:dyDescent="0.25">
      <c r="A153" s="364" t="s">
        <v>635</v>
      </c>
      <c r="B153" s="364" t="s">
        <v>343</v>
      </c>
      <c r="C153" s="364" t="s">
        <v>345</v>
      </c>
      <c r="D153" s="364" t="s">
        <v>344</v>
      </c>
      <c r="E153" s="363">
        <f>F153</f>
        <v>56935442</v>
      </c>
      <c r="F153" s="228">
        <f>((30868629+9713396+4453417)+6500000)+5400000</f>
        <v>56935442</v>
      </c>
      <c r="G153" s="228"/>
      <c r="H153" s="228"/>
      <c r="I153" s="228"/>
      <c r="J153" s="363">
        <f>L153+O153</f>
        <v>0</v>
      </c>
      <c r="K153" s="228"/>
      <c r="L153" s="228"/>
      <c r="M153" s="228"/>
      <c r="N153" s="228"/>
      <c r="O153" s="361">
        <f>K153</f>
        <v>0</v>
      </c>
      <c r="P153" s="363">
        <f>E153+J153</f>
        <v>56935442</v>
      </c>
      <c r="Q153" s="334"/>
      <c r="R153" s="335"/>
    </row>
    <row r="154" spans="1:18" ht="136.5" thickTop="1" thickBot="1" x14ac:dyDescent="0.25">
      <c r="A154" s="414" t="s">
        <v>206</v>
      </c>
      <c r="B154" s="414"/>
      <c r="C154" s="414"/>
      <c r="D154" s="415" t="s">
        <v>432</v>
      </c>
      <c r="E154" s="416">
        <f>E155</f>
        <v>7954765</v>
      </c>
      <c r="F154" s="417">
        <f t="shared" ref="F154:G154" si="88">F155</f>
        <v>7954765</v>
      </c>
      <c r="G154" s="417">
        <f t="shared" si="88"/>
        <v>0</v>
      </c>
      <c r="H154" s="417">
        <f>H155</f>
        <v>0</v>
      </c>
      <c r="I154" s="416">
        <f t="shared" ref="I154" si="89">I155</f>
        <v>0</v>
      </c>
      <c r="J154" s="416">
        <f>J155</f>
        <v>620000</v>
      </c>
      <c r="K154" s="417">
        <f>K155</f>
        <v>620000</v>
      </c>
      <c r="L154" s="417">
        <f>L155</f>
        <v>0</v>
      </c>
      <c r="M154" s="417">
        <f t="shared" ref="M154" si="90">M155</f>
        <v>0</v>
      </c>
      <c r="N154" s="416">
        <f>N155</f>
        <v>0</v>
      </c>
      <c r="O154" s="416">
        <f>O155</f>
        <v>620000</v>
      </c>
      <c r="P154" s="417">
        <f t="shared" ref="P154" si="91">P155</f>
        <v>8574765</v>
      </c>
    </row>
    <row r="155" spans="1:18" ht="136.5" thickTop="1" thickBot="1" x14ac:dyDescent="0.25">
      <c r="A155" s="418" t="s">
        <v>207</v>
      </c>
      <c r="B155" s="418"/>
      <c r="C155" s="418"/>
      <c r="D155" s="419" t="s">
        <v>433</v>
      </c>
      <c r="E155" s="420">
        <f>SUM(E156:E159)</f>
        <v>7954765</v>
      </c>
      <c r="F155" s="420">
        <f>SUM(F156:F159)</f>
        <v>7954765</v>
      </c>
      <c r="G155" s="420">
        <f>SUM(G156:G159)</f>
        <v>0</v>
      </c>
      <c r="H155" s="420">
        <f>SUM(H156:H159)</f>
        <v>0</v>
      </c>
      <c r="I155" s="420">
        <f>SUM(I156:I159)</f>
        <v>0</v>
      </c>
      <c r="J155" s="420">
        <f t="shared" ref="J155:J159" si="92">L155+O155</f>
        <v>620000</v>
      </c>
      <c r="K155" s="420">
        <f>SUM(K156:K159)</f>
        <v>620000</v>
      </c>
      <c r="L155" s="420">
        <f>SUM(L156:L159)</f>
        <v>0</v>
      </c>
      <c r="M155" s="420">
        <f>SUM(M156:M159)</f>
        <v>0</v>
      </c>
      <c r="N155" s="420">
        <f>SUM(N156:N159)</f>
        <v>0</v>
      </c>
      <c r="O155" s="420">
        <f>SUM(O156:O159)</f>
        <v>620000</v>
      </c>
      <c r="P155" s="421">
        <f t="shared" ref="P155:P159" si="93">E155+J155</f>
        <v>8574765</v>
      </c>
      <c r="Q155" s="334" t="b">
        <f>P155=P156+P157+P158+P159</f>
        <v>1</v>
      </c>
      <c r="R155" s="335" t="b">
        <f>K155='d5'!J234</f>
        <v>0</v>
      </c>
    </row>
    <row r="156" spans="1:18" ht="138.75" hidden="1" thickTop="1" thickBot="1" x14ac:dyDescent="0.25">
      <c r="A156" s="406" t="s">
        <v>427</v>
      </c>
      <c r="B156" s="406" t="s">
        <v>428</v>
      </c>
      <c r="C156" s="406" t="s">
        <v>210</v>
      </c>
      <c r="D156" s="406" t="s">
        <v>313</v>
      </c>
      <c r="E156" s="407">
        <f>F156</f>
        <v>0</v>
      </c>
      <c r="F156" s="410"/>
      <c r="G156" s="410"/>
      <c r="H156" s="410"/>
      <c r="I156" s="410"/>
      <c r="J156" s="407">
        <f t="shared" si="92"/>
        <v>0</v>
      </c>
      <c r="K156" s="410">
        <f>(3000000)-3000000</f>
        <v>0</v>
      </c>
      <c r="L156" s="410"/>
      <c r="M156" s="410"/>
      <c r="N156" s="410"/>
      <c r="O156" s="409">
        <f>K156</f>
        <v>0</v>
      </c>
      <c r="P156" s="407">
        <f t="shared" si="93"/>
        <v>0</v>
      </c>
      <c r="R156" s="335" t="b">
        <f>K156='d5'!J235</f>
        <v>1</v>
      </c>
    </row>
    <row r="157" spans="1:18" ht="93" thickTop="1" thickBot="1" x14ac:dyDescent="0.25">
      <c r="A157" s="364" t="s">
        <v>311</v>
      </c>
      <c r="B157" s="364" t="s">
        <v>312</v>
      </c>
      <c r="C157" s="364" t="s">
        <v>310</v>
      </c>
      <c r="D157" s="364" t="s">
        <v>309</v>
      </c>
      <c r="E157" s="363">
        <f t="shared" ref="E157:E159" si="94">F157</f>
        <v>4819000</v>
      </c>
      <c r="F157" s="228">
        <f>(4319000)+500000</f>
        <v>4819000</v>
      </c>
      <c r="G157" s="228"/>
      <c r="H157" s="228"/>
      <c r="I157" s="228"/>
      <c r="J157" s="363">
        <f t="shared" si="92"/>
        <v>0</v>
      </c>
      <c r="K157" s="228"/>
      <c r="L157" s="228"/>
      <c r="M157" s="228"/>
      <c r="N157" s="228"/>
      <c r="O157" s="361">
        <f>K157</f>
        <v>0</v>
      </c>
      <c r="P157" s="363">
        <f t="shared" si="93"/>
        <v>4819000</v>
      </c>
      <c r="R157" s="335"/>
    </row>
    <row r="158" spans="1:18" ht="138.75" thickTop="1" thickBot="1" x14ac:dyDescent="0.25">
      <c r="A158" s="364" t="s">
        <v>303</v>
      </c>
      <c r="B158" s="364" t="s">
        <v>305</v>
      </c>
      <c r="C158" s="364" t="s">
        <v>263</v>
      </c>
      <c r="D158" s="364" t="s">
        <v>304</v>
      </c>
      <c r="E158" s="363">
        <f t="shared" si="94"/>
        <v>320000</v>
      </c>
      <c r="F158" s="228">
        <f>(420000)-100000</f>
        <v>320000</v>
      </c>
      <c r="G158" s="228"/>
      <c r="H158" s="228"/>
      <c r="I158" s="228"/>
      <c r="J158" s="363">
        <f t="shared" si="92"/>
        <v>0</v>
      </c>
      <c r="K158" s="228"/>
      <c r="L158" s="228"/>
      <c r="M158" s="228"/>
      <c r="N158" s="228"/>
      <c r="O158" s="361">
        <f>K158</f>
        <v>0</v>
      </c>
      <c r="P158" s="363">
        <f t="shared" si="93"/>
        <v>320000</v>
      </c>
      <c r="R158" s="335"/>
    </row>
    <row r="159" spans="1:18" ht="93" thickTop="1" thickBot="1" x14ac:dyDescent="0.25">
      <c r="A159" s="364" t="s">
        <v>307</v>
      </c>
      <c r="B159" s="364" t="s">
        <v>308</v>
      </c>
      <c r="C159" s="364" t="s">
        <v>210</v>
      </c>
      <c r="D159" s="364" t="s">
        <v>306</v>
      </c>
      <c r="E159" s="363">
        <f t="shared" si="94"/>
        <v>2815765</v>
      </c>
      <c r="F159" s="228">
        <f>(((3285765)-50000-220000)-200000)</f>
        <v>2815765</v>
      </c>
      <c r="G159" s="228"/>
      <c r="H159" s="228"/>
      <c r="I159" s="228"/>
      <c r="J159" s="363">
        <f t="shared" si="92"/>
        <v>620000</v>
      </c>
      <c r="K159" s="228">
        <f>(((200000)+220000)+200000)</f>
        <v>620000</v>
      </c>
      <c r="L159" s="228"/>
      <c r="M159" s="228"/>
      <c r="N159" s="228"/>
      <c r="O159" s="361">
        <f>K159</f>
        <v>620000</v>
      </c>
      <c r="P159" s="363">
        <f t="shared" si="93"/>
        <v>3435765</v>
      </c>
      <c r="R159" s="335" t="b">
        <f>K159='d5'!J236</f>
        <v>0</v>
      </c>
    </row>
    <row r="160" spans="1:18" ht="136.5" thickTop="1" thickBot="1" x14ac:dyDescent="0.25">
      <c r="A160" s="414" t="s">
        <v>204</v>
      </c>
      <c r="B160" s="414"/>
      <c r="C160" s="414"/>
      <c r="D160" s="415" t="s">
        <v>32</v>
      </c>
      <c r="E160" s="416">
        <f>E161</f>
        <v>4762390</v>
      </c>
      <c r="F160" s="417">
        <f t="shared" ref="F160:G160" si="95">F161</f>
        <v>4762390</v>
      </c>
      <c r="G160" s="417">
        <f t="shared" si="95"/>
        <v>3624300</v>
      </c>
      <c r="H160" s="417">
        <f>H161</f>
        <v>99381</v>
      </c>
      <c r="I160" s="416">
        <f t="shared" ref="I160" si="96">I161</f>
        <v>0</v>
      </c>
      <c r="J160" s="416">
        <f>J161</f>
        <v>965963.28</v>
      </c>
      <c r="K160" s="417">
        <f>K161</f>
        <v>0</v>
      </c>
      <c r="L160" s="417">
        <f>L161</f>
        <v>477857.28000000003</v>
      </c>
      <c r="M160" s="417">
        <f t="shared" ref="M160" si="97">M161</f>
        <v>0</v>
      </c>
      <c r="N160" s="416">
        <f>N161</f>
        <v>0</v>
      </c>
      <c r="O160" s="416">
        <f>O161</f>
        <v>488106</v>
      </c>
      <c r="P160" s="417">
        <f t="shared" ref="P160" si="98">P161</f>
        <v>5728353.2800000003</v>
      </c>
    </row>
    <row r="161" spans="1:18" ht="181.5" thickTop="1" thickBot="1" x14ac:dyDescent="0.25">
      <c r="A161" s="418" t="s">
        <v>205</v>
      </c>
      <c r="B161" s="418"/>
      <c r="C161" s="418"/>
      <c r="D161" s="419" t="s">
        <v>49</v>
      </c>
      <c r="E161" s="420">
        <f>SUM(E162:E167)</f>
        <v>4762390</v>
      </c>
      <c r="F161" s="420">
        <f>SUM(F162:F167)</f>
        <v>4762390</v>
      </c>
      <c r="G161" s="420">
        <f>SUM(G162:G167)</f>
        <v>3624300</v>
      </c>
      <c r="H161" s="420">
        <f>SUM(H162:H167)</f>
        <v>99381</v>
      </c>
      <c r="I161" s="420">
        <f>SUM(I162:I167)</f>
        <v>0</v>
      </c>
      <c r="J161" s="420">
        <f t="shared" ref="J161:J167" si="99">L161+O161</f>
        <v>965963.28</v>
      </c>
      <c r="K161" s="420">
        <f>SUM(K162:K167)</f>
        <v>0</v>
      </c>
      <c r="L161" s="420">
        <f>SUM(L162:L167)</f>
        <v>477857.28000000003</v>
      </c>
      <c r="M161" s="420">
        <f>SUM(M162:M167)</f>
        <v>0</v>
      </c>
      <c r="N161" s="420">
        <f>SUM(N162:N167)</f>
        <v>0</v>
      </c>
      <c r="O161" s="420">
        <f>SUM(O162:O167)</f>
        <v>488106</v>
      </c>
      <c r="P161" s="421">
        <f t="shared" ref="P161:P167" si="100">E161+J161</f>
        <v>5728353.2800000003</v>
      </c>
      <c r="Q161" s="334" t="b">
        <f>P161=P164+P167+P162+P165+P166+P163</f>
        <v>1</v>
      </c>
      <c r="R161" s="335"/>
    </row>
    <row r="162" spans="1:18" s="222" customFormat="1" ht="230.25" thickTop="1" thickBot="1" x14ac:dyDescent="0.25">
      <c r="A162" s="364" t="s">
        <v>523</v>
      </c>
      <c r="B162" s="364" t="s">
        <v>286</v>
      </c>
      <c r="C162" s="364" t="s">
        <v>284</v>
      </c>
      <c r="D162" s="364" t="s">
        <v>285</v>
      </c>
      <c r="E162" s="363">
        <f>F162</f>
        <v>4762390</v>
      </c>
      <c r="F162" s="228">
        <f>(4823390)-61000</f>
        <v>4762390</v>
      </c>
      <c r="G162" s="228">
        <f>(3674300)-50000</f>
        <v>3624300</v>
      </c>
      <c r="H162" s="228">
        <f>(75551+1316+17590+2424)+2500</f>
        <v>99381</v>
      </c>
      <c r="I162" s="228"/>
      <c r="J162" s="363">
        <f t="shared" si="99"/>
        <v>0</v>
      </c>
      <c r="K162" s="228"/>
      <c r="L162" s="228"/>
      <c r="M162" s="228"/>
      <c r="N162" s="228"/>
      <c r="O162" s="361">
        <f>K162</f>
        <v>0</v>
      </c>
      <c r="P162" s="363">
        <f t="shared" si="100"/>
        <v>4762390</v>
      </c>
      <c r="Q162" s="220"/>
      <c r="R162" s="221"/>
    </row>
    <row r="163" spans="1:18" s="222" customFormat="1" ht="93" hidden="1" thickTop="1" thickBot="1" x14ac:dyDescent="0.25">
      <c r="A163" s="364" t="s">
        <v>938</v>
      </c>
      <c r="B163" s="364" t="s">
        <v>308</v>
      </c>
      <c r="C163" s="364" t="s">
        <v>210</v>
      </c>
      <c r="D163" s="364" t="s">
        <v>306</v>
      </c>
      <c r="E163" s="363">
        <f>F163</f>
        <v>0</v>
      </c>
      <c r="F163" s="228">
        <f>38800-38800</f>
        <v>0</v>
      </c>
      <c r="G163" s="228"/>
      <c r="H163" s="228"/>
      <c r="I163" s="228"/>
      <c r="J163" s="363">
        <f t="shared" si="99"/>
        <v>0</v>
      </c>
      <c r="K163" s="228"/>
      <c r="L163" s="228"/>
      <c r="M163" s="228"/>
      <c r="N163" s="228"/>
      <c r="O163" s="361">
        <f>K163</f>
        <v>0</v>
      </c>
      <c r="P163" s="363">
        <f t="shared" si="100"/>
        <v>0</v>
      </c>
      <c r="Q163" s="220"/>
      <c r="R163" s="221"/>
    </row>
    <row r="164" spans="1:18" s="222" customFormat="1" ht="138.75" thickTop="1" thickBot="1" x14ac:dyDescent="0.25">
      <c r="A164" s="364" t="s">
        <v>366</v>
      </c>
      <c r="B164" s="364" t="s">
        <v>367</v>
      </c>
      <c r="C164" s="364" t="s">
        <v>62</v>
      </c>
      <c r="D164" s="364" t="s">
        <v>63</v>
      </c>
      <c r="E164" s="363">
        <f t="shared" ref="E164:E166" si="101">F164</f>
        <v>0</v>
      </c>
      <c r="F164" s="228"/>
      <c r="G164" s="228"/>
      <c r="H164" s="228"/>
      <c r="I164" s="228"/>
      <c r="J164" s="363">
        <f t="shared" si="99"/>
        <v>738106</v>
      </c>
      <c r="K164" s="228"/>
      <c r="L164" s="228">
        <f>(30000)+290000</f>
        <v>320000</v>
      </c>
      <c r="M164" s="228"/>
      <c r="N164" s="228"/>
      <c r="O164" s="361">
        <f>(K164+370000)+48106</f>
        <v>418106</v>
      </c>
      <c r="P164" s="363">
        <f t="shared" si="100"/>
        <v>738106</v>
      </c>
    </row>
    <row r="165" spans="1:18" s="222" customFormat="1" ht="48" thickTop="1" thickBot="1" x14ac:dyDescent="0.25">
      <c r="A165" s="364" t="s">
        <v>650</v>
      </c>
      <c r="B165" s="364" t="s">
        <v>651</v>
      </c>
      <c r="C165" s="364" t="s">
        <v>644</v>
      </c>
      <c r="D165" s="364" t="s">
        <v>652</v>
      </c>
      <c r="E165" s="363">
        <f t="shared" si="101"/>
        <v>0</v>
      </c>
      <c r="F165" s="228"/>
      <c r="G165" s="228"/>
      <c r="H165" s="228"/>
      <c r="I165" s="228"/>
      <c r="J165" s="363">
        <f t="shared" si="99"/>
        <v>70000</v>
      </c>
      <c r="K165" s="228"/>
      <c r="L165" s="228"/>
      <c r="M165" s="228"/>
      <c r="N165" s="228"/>
      <c r="O165" s="361">
        <f>K165+70000</f>
        <v>70000</v>
      </c>
      <c r="P165" s="363">
        <f t="shared" si="100"/>
        <v>70000</v>
      </c>
    </row>
    <row r="166" spans="1:18" s="222" customFormat="1" ht="93" thickTop="1" thickBot="1" x14ac:dyDescent="0.25">
      <c r="A166" s="364" t="s">
        <v>759</v>
      </c>
      <c r="B166" s="364" t="s">
        <v>757</v>
      </c>
      <c r="C166" s="364" t="s">
        <v>760</v>
      </c>
      <c r="D166" s="364" t="s">
        <v>758</v>
      </c>
      <c r="E166" s="363">
        <f t="shared" si="101"/>
        <v>0</v>
      </c>
      <c r="F166" s="228"/>
      <c r="G166" s="228"/>
      <c r="H166" s="228"/>
      <c r="I166" s="228"/>
      <c r="J166" s="363">
        <f t="shared" si="99"/>
        <v>63670</v>
      </c>
      <c r="K166" s="228"/>
      <c r="L166" s="228">
        <v>63670</v>
      </c>
      <c r="M166" s="228"/>
      <c r="N166" s="228"/>
      <c r="O166" s="361">
        <f>K166</f>
        <v>0</v>
      </c>
      <c r="P166" s="363">
        <f t="shared" si="100"/>
        <v>63670</v>
      </c>
    </row>
    <row r="167" spans="1:18" s="222" customFormat="1" ht="93" thickTop="1" thickBot="1" x14ac:dyDescent="0.25">
      <c r="A167" s="364" t="s">
        <v>368</v>
      </c>
      <c r="B167" s="364" t="s">
        <v>369</v>
      </c>
      <c r="C167" s="364" t="s">
        <v>64</v>
      </c>
      <c r="D167" s="364" t="s">
        <v>653</v>
      </c>
      <c r="E167" s="363">
        <v>0</v>
      </c>
      <c r="F167" s="228"/>
      <c r="G167" s="228"/>
      <c r="H167" s="228"/>
      <c r="I167" s="228"/>
      <c r="J167" s="363">
        <f t="shared" si="99"/>
        <v>94187.28</v>
      </c>
      <c r="K167" s="363"/>
      <c r="L167" s="228">
        <f>(30000)+64187.28</f>
        <v>94187.28</v>
      </c>
      <c r="M167" s="228"/>
      <c r="N167" s="228"/>
      <c r="O167" s="361">
        <f>K167</f>
        <v>0</v>
      </c>
      <c r="P167" s="363">
        <f t="shared" si="100"/>
        <v>94187.28</v>
      </c>
    </row>
    <row r="168" spans="1:18" ht="271.5" thickTop="1" thickBot="1" x14ac:dyDescent="0.25">
      <c r="A168" s="414" t="s">
        <v>202</v>
      </c>
      <c r="B168" s="414"/>
      <c r="C168" s="414"/>
      <c r="D168" s="415" t="s">
        <v>930</v>
      </c>
      <c r="E168" s="416">
        <f>E169</f>
        <v>3973521</v>
      </c>
      <c r="F168" s="417">
        <f t="shared" ref="F168:G168" si="102">F169</f>
        <v>3973521</v>
      </c>
      <c r="G168" s="417">
        <f t="shared" si="102"/>
        <v>2961000</v>
      </c>
      <c r="H168" s="417">
        <f>H169</f>
        <v>60000</v>
      </c>
      <c r="I168" s="416">
        <f t="shared" ref="I168" si="103">I169</f>
        <v>0</v>
      </c>
      <c r="J168" s="416">
        <f>J169</f>
        <v>300000</v>
      </c>
      <c r="K168" s="417">
        <f>K169</f>
        <v>300000</v>
      </c>
      <c r="L168" s="417">
        <f>L169</f>
        <v>0</v>
      </c>
      <c r="M168" s="417">
        <f t="shared" ref="M168" si="104">M169</f>
        <v>0</v>
      </c>
      <c r="N168" s="416">
        <f>N169</f>
        <v>0</v>
      </c>
      <c r="O168" s="416">
        <f>O169</f>
        <v>300000</v>
      </c>
      <c r="P168" s="417">
        <f t="shared" ref="P168" si="105">P169</f>
        <v>4273521</v>
      </c>
    </row>
    <row r="169" spans="1:18" ht="271.5" thickTop="1" thickBot="1" x14ac:dyDescent="0.25">
      <c r="A169" s="418" t="s">
        <v>203</v>
      </c>
      <c r="B169" s="418"/>
      <c r="C169" s="418"/>
      <c r="D169" s="419" t="s">
        <v>931</v>
      </c>
      <c r="E169" s="420">
        <f>SUM(E170:E172)</f>
        <v>3973521</v>
      </c>
      <c r="F169" s="420">
        <f t="shared" ref="F169:N169" si="106">SUM(F170:F172)</f>
        <v>3973521</v>
      </c>
      <c r="G169" s="420">
        <f t="shared" si="106"/>
        <v>2961000</v>
      </c>
      <c r="H169" s="420">
        <f t="shared" si="106"/>
        <v>60000</v>
      </c>
      <c r="I169" s="420">
        <f t="shared" si="106"/>
        <v>0</v>
      </c>
      <c r="J169" s="420">
        <f>L169+O169</f>
        <v>300000</v>
      </c>
      <c r="K169" s="420">
        <f t="shared" si="106"/>
        <v>300000</v>
      </c>
      <c r="L169" s="420">
        <f t="shared" si="106"/>
        <v>0</v>
      </c>
      <c r="M169" s="420">
        <f t="shared" si="106"/>
        <v>0</v>
      </c>
      <c r="N169" s="420">
        <f t="shared" si="106"/>
        <v>0</v>
      </c>
      <c r="O169" s="420">
        <f>SUM(O170:O172)</f>
        <v>300000</v>
      </c>
      <c r="P169" s="421">
        <f>E169+J169</f>
        <v>4273521</v>
      </c>
      <c r="Q169" s="334" t="b">
        <f>P169=P171+P172+P170</f>
        <v>1</v>
      </c>
      <c r="R169" s="334" t="b">
        <f>K169='d5'!J238</f>
        <v>1</v>
      </c>
    </row>
    <row r="170" spans="1:18" ht="230.25" thickTop="1" thickBot="1" x14ac:dyDescent="0.25">
      <c r="A170" s="364" t="s">
        <v>519</v>
      </c>
      <c r="B170" s="364" t="s">
        <v>286</v>
      </c>
      <c r="C170" s="364" t="s">
        <v>284</v>
      </c>
      <c r="D170" s="364" t="s">
        <v>285</v>
      </c>
      <c r="E170" s="363">
        <f>F170</f>
        <v>3973521</v>
      </c>
      <c r="F170" s="228">
        <f>(4174521)-201000</f>
        <v>3973521</v>
      </c>
      <c r="G170" s="228">
        <f>3150000-189000</f>
        <v>2961000</v>
      </c>
      <c r="H170" s="228">
        <f>43000+1200+15800</f>
        <v>60000</v>
      </c>
      <c r="I170" s="228"/>
      <c r="J170" s="363">
        <f>L170+O170</f>
        <v>0</v>
      </c>
      <c r="K170" s="228"/>
      <c r="L170" s="228"/>
      <c r="M170" s="228"/>
      <c r="N170" s="228"/>
      <c r="O170" s="361">
        <f>K170</f>
        <v>0</v>
      </c>
      <c r="P170" s="363">
        <f>E170+J170</f>
        <v>3973521</v>
      </c>
      <c r="Q170" s="334"/>
      <c r="R170" s="334"/>
    </row>
    <row r="171" spans="1:18" ht="93" thickTop="1" thickBot="1" x14ac:dyDescent="0.25">
      <c r="A171" s="364" t="s">
        <v>363</v>
      </c>
      <c r="B171" s="364" t="s">
        <v>364</v>
      </c>
      <c r="C171" s="364" t="s">
        <v>365</v>
      </c>
      <c r="D171" s="364" t="s">
        <v>621</v>
      </c>
      <c r="E171" s="363">
        <f>F171</f>
        <v>0</v>
      </c>
      <c r="F171" s="228"/>
      <c r="G171" s="228"/>
      <c r="H171" s="228"/>
      <c r="I171" s="228"/>
      <c r="J171" s="363">
        <f>L171+O171</f>
        <v>250000</v>
      </c>
      <c r="K171" s="228">
        <v>250000</v>
      </c>
      <c r="L171" s="228"/>
      <c r="M171" s="228"/>
      <c r="N171" s="228"/>
      <c r="O171" s="361">
        <f>K171</f>
        <v>250000</v>
      </c>
      <c r="P171" s="363">
        <f>E171+J171</f>
        <v>250000</v>
      </c>
    </row>
    <row r="172" spans="1:18" ht="138.75" thickTop="1" thickBot="1" x14ac:dyDescent="0.25">
      <c r="A172" s="364" t="s">
        <v>448</v>
      </c>
      <c r="B172" s="364" t="s">
        <v>449</v>
      </c>
      <c r="C172" s="364" t="s">
        <v>210</v>
      </c>
      <c r="D172" s="364" t="s">
        <v>450</v>
      </c>
      <c r="E172" s="363">
        <f>F172</f>
        <v>0</v>
      </c>
      <c r="F172" s="228"/>
      <c r="G172" s="228"/>
      <c r="H172" s="228"/>
      <c r="I172" s="228"/>
      <c r="J172" s="363">
        <f>L172+O172</f>
        <v>50000</v>
      </c>
      <c r="K172" s="228">
        <v>50000</v>
      </c>
      <c r="L172" s="228"/>
      <c r="M172" s="228"/>
      <c r="N172" s="228"/>
      <c r="O172" s="361">
        <f>K172</f>
        <v>50000</v>
      </c>
      <c r="P172" s="363">
        <f>E172+J172</f>
        <v>50000</v>
      </c>
    </row>
    <row r="173" spans="1:18" ht="136.5" thickTop="1" thickBot="1" x14ac:dyDescent="0.25">
      <c r="A173" s="414" t="s">
        <v>208</v>
      </c>
      <c r="B173" s="414"/>
      <c r="C173" s="414"/>
      <c r="D173" s="415" t="s">
        <v>33</v>
      </c>
      <c r="E173" s="416">
        <f>E174</f>
        <v>79973974</v>
      </c>
      <c r="F173" s="417">
        <f t="shared" ref="F173:G173" si="107">F174</f>
        <v>79973974</v>
      </c>
      <c r="G173" s="417">
        <f t="shared" si="107"/>
        <v>5688800</v>
      </c>
      <c r="H173" s="417">
        <f>H174</f>
        <v>127300</v>
      </c>
      <c r="I173" s="416">
        <f t="shared" ref="I173" si="108">I174</f>
        <v>0</v>
      </c>
      <c r="J173" s="416">
        <f>J174</f>
        <v>0</v>
      </c>
      <c r="K173" s="417">
        <f>K174</f>
        <v>0</v>
      </c>
      <c r="L173" s="417">
        <f>L174</f>
        <v>0</v>
      </c>
      <c r="M173" s="417">
        <f t="shared" ref="M173" si="109">M174</f>
        <v>0</v>
      </c>
      <c r="N173" s="416">
        <f>N174</f>
        <v>0</v>
      </c>
      <c r="O173" s="416">
        <f>O174</f>
        <v>0</v>
      </c>
      <c r="P173" s="417">
        <f t="shared" ref="P173" si="110">P174</f>
        <v>79973974</v>
      </c>
    </row>
    <row r="174" spans="1:18" ht="136.5" thickTop="1" thickBot="1" x14ac:dyDescent="0.25">
      <c r="A174" s="418" t="s">
        <v>209</v>
      </c>
      <c r="B174" s="418"/>
      <c r="C174" s="418"/>
      <c r="D174" s="419" t="s">
        <v>50</v>
      </c>
      <c r="E174" s="420">
        <f>SUM(E175:E178)</f>
        <v>79973974</v>
      </c>
      <c r="F174" s="420">
        <f t="shared" ref="F174:N174" si="111">SUM(F175:F178)</f>
        <v>79973974</v>
      </c>
      <c r="G174" s="420">
        <f t="shared" si="111"/>
        <v>5688800</v>
      </c>
      <c r="H174" s="420">
        <f t="shared" si="111"/>
        <v>127300</v>
      </c>
      <c r="I174" s="420">
        <f t="shared" si="111"/>
        <v>0</v>
      </c>
      <c r="J174" s="420">
        <f>L174+O174</f>
        <v>0</v>
      </c>
      <c r="K174" s="420">
        <f>SUM(K175:K178)</f>
        <v>0</v>
      </c>
      <c r="L174" s="420">
        <f t="shared" si="111"/>
        <v>0</v>
      </c>
      <c r="M174" s="420">
        <f t="shared" si="111"/>
        <v>0</v>
      </c>
      <c r="N174" s="420">
        <f t="shared" si="111"/>
        <v>0</v>
      </c>
      <c r="O174" s="420">
        <f>SUM(O175:O178)</f>
        <v>0</v>
      </c>
      <c r="P174" s="421">
        <f>E174+J174</f>
        <v>79973974</v>
      </c>
      <c r="Q174" s="334" t="b">
        <f>P174=P176+P177+P178+P175</f>
        <v>1</v>
      </c>
      <c r="R174" s="335"/>
    </row>
    <row r="175" spans="1:18" ht="230.25" thickTop="1" thickBot="1" x14ac:dyDescent="0.25">
      <c r="A175" s="364" t="s">
        <v>521</v>
      </c>
      <c r="B175" s="364" t="s">
        <v>286</v>
      </c>
      <c r="C175" s="364" t="s">
        <v>284</v>
      </c>
      <c r="D175" s="364" t="s">
        <v>285</v>
      </c>
      <c r="E175" s="363">
        <f>F175</f>
        <v>7138020</v>
      </c>
      <c r="F175" s="228">
        <f>((7922300)-511000)-273280</f>
        <v>7138020</v>
      </c>
      <c r="G175" s="228">
        <f>((6138800)-300000)-150000</f>
        <v>5688800</v>
      </c>
      <c r="H175" s="228">
        <f>(70000+2000+50000+3300)+2000</f>
        <v>127300</v>
      </c>
      <c r="I175" s="228"/>
      <c r="J175" s="363">
        <f>L175+O175</f>
        <v>0</v>
      </c>
      <c r="K175" s="228"/>
      <c r="L175" s="228"/>
      <c r="M175" s="228"/>
      <c r="N175" s="228"/>
      <c r="O175" s="361">
        <f>K175</f>
        <v>0</v>
      </c>
      <c r="P175" s="363">
        <f>E175+J175</f>
        <v>7138020</v>
      </c>
      <c r="Q175" s="334"/>
      <c r="R175" s="335"/>
    </row>
    <row r="176" spans="1:18" ht="48" thickTop="1" thickBot="1" x14ac:dyDescent="0.25">
      <c r="A176" s="229">
        <v>3718600</v>
      </c>
      <c r="B176" s="229">
        <v>8600</v>
      </c>
      <c r="C176" s="364" t="s">
        <v>442</v>
      </c>
      <c r="D176" s="229" t="s">
        <v>603</v>
      </c>
      <c r="E176" s="363">
        <f>F176</f>
        <v>676154</v>
      </c>
      <c r="F176" s="228">
        <f>(1176154)-500000</f>
        <v>676154</v>
      </c>
      <c r="G176" s="228"/>
      <c r="H176" s="228"/>
      <c r="I176" s="228"/>
      <c r="J176" s="363">
        <f>L176+O176</f>
        <v>0</v>
      </c>
      <c r="K176" s="228"/>
      <c r="L176" s="228"/>
      <c r="M176" s="228"/>
      <c r="N176" s="228"/>
      <c r="O176" s="361">
        <f>K176</f>
        <v>0</v>
      </c>
      <c r="P176" s="363">
        <f>E176+J176</f>
        <v>676154</v>
      </c>
    </row>
    <row r="177" spans="1:18" ht="48" thickTop="1" thickBot="1" x14ac:dyDescent="0.25">
      <c r="A177" s="229">
        <v>3718700</v>
      </c>
      <c r="B177" s="229">
        <v>8700</v>
      </c>
      <c r="C177" s="364" t="s">
        <v>52</v>
      </c>
      <c r="D177" s="230" t="s">
        <v>602</v>
      </c>
      <c r="E177" s="363">
        <f>F177</f>
        <v>900000</v>
      </c>
      <c r="F177" s="228">
        <f>(3000000-2000000)-100000</f>
        <v>900000</v>
      </c>
      <c r="G177" s="228"/>
      <c r="H177" s="228"/>
      <c r="I177" s="228"/>
      <c r="J177" s="363">
        <f>L177+O177</f>
        <v>0</v>
      </c>
      <c r="K177" s="228"/>
      <c r="L177" s="228"/>
      <c r="M177" s="228"/>
      <c r="N177" s="228"/>
      <c r="O177" s="361">
        <f>K177</f>
        <v>0</v>
      </c>
      <c r="P177" s="363">
        <f>E177+J177</f>
        <v>900000</v>
      </c>
    </row>
    <row r="178" spans="1:18" ht="48" thickTop="1" thickBot="1" x14ac:dyDescent="0.25">
      <c r="A178" s="229">
        <v>3719110</v>
      </c>
      <c r="B178" s="229">
        <v>9110</v>
      </c>
      <c r="C178" s="364" t="s">
        <v>53</v>
      </c>
      <c r="D178" s="230" t="s">
        <v>601</v>
      </c>
      <c r="E178" s="363">
        <f>F178</f>
        <v>71259800</v>
      </c>
      <c r="F178" s="228">
        <v>71259800</v>
      </c>
      <c r="G178" s="228"/>
      <c r="H178" s="228"/>
      <c r="I178" s="228"/>
      <c r="J178" s="363">
        <f>L178+O178</f>
        <v>0</v>
      </c>
      <c r="K178" s="228"/>
      <c r="L178" s="228"/>
      <c r="M178" s="228"/>
      <c r="N178" s="228"/>
      <c r="O178" s="361">
        <f>K178</f>
        <v>0</v>
      </c>
      <c r="P178" s="363">
        <f>E178+J178</f>
        <v>71259800</v>
      </c>
    </row>
    <row r="179" spans="1:18" ht="159.75" customHeight="1" thickTop="1" thickBot="1" x14ac:dyDescent="0.25">
      <c r="A179" s="175" t="s">
        <v>470</v>
      </c>
      <c r="B179" s="175" t="s">
        <v>470</v>
      </c>
      <c r="C179" s="175" t="s">
        <v>470</v>
      </c>
      <c r="D179" s="176" t="s">
        <v>480</v>
      </c>
      <c r="E179" s="177">
        <f>E17+E30+E101+E43+E57+E92+E116+E136+E146+E174+E155+E161+E169+E150</f>
        <v>2199241238.6500001</v>
      </c>
      <c r="F179" s="177">
        <f>F17+F30+F101+F43+F56+F92+F116+F136+F146+F174+F155+F161+F169+F150</f>
        <v>2199241238.6500001</v>
      </c>
      <c r="G179" s="177">
        <f t="shared" ref="G179:O179" si="112">G17+G30+G101+G43+G57+G92+G116+G136+G146+G174+G155+G161+G169+G150</f>
        <v>1049337190.54</v>
      </c>
      <c r="H179" s="177">
        <f t="shared" si="112"/>
        <v>77572092</v>
      </c>
      <c r="I179" s="177">
        <f t="shared" si="112"/>
        <v>0</v>
      </c>
      <c r="J179" s="177">
        <f t="shared" si="112"/>
        <v>499053876.80999994</v>
      </c>
      <c r="K179" s="177">
        <f t="shared" si="112"/>
        <v>348471700.83000004</v>
      </c>
      <c r="L179" s="177">
        <f t="shared" si="112"/>
        <v>147808771.28</v>
      </c>
      <c r="M179" s="177">
        <f t="shared" si="112"/>
        <v>45850596</v>
      </c>
      <c r="N179" s="177">
        <f t="shared" si="112"/>
        <v>9426912</v>
      </c>
      <c r="O179" s="177">
        <f t="shared" si="112"/>
        <v>351245105.53000003</v>
      </c>
      <c r="P179" s="177">
        <f>P17+P30+P101+P43+P56+P92+P116+P136+P146+P174+P155+P161+P169+P150</f>
        <v>2698295115.4600005</v>
      </c>
      <c r="Q179" s="93" t="b">
        <f>K179='d5'!J245</f>
        <v>0</v>
      </c>
      <c r="R179" s="93"/>
    </row>
    <row r="180" spans="1:18" ht="46.5" thickTop="1" x14ac:dyDescent="0.2">
      <c r="A180" s="573" t="s">
        <v>711</v>
      </c>
      <c r="B180" s="574"/>
      <c r="C180" s="574"/>
      <c r="D180" s="574"/>
      <c r="E180" s="574"/>
      <c r="F180" s="574"/>
      <c r="G180" s="574"/>
      <c r="H180" s="574"/>
      <c r="I180" s="574"/>
      <c r="J180" s="574"/>
      <c r="K180" s="574"/>
      <c r="L180" s="574"/>
      <c r="M180" s="574"/>
      <c r="N180" s="574"/>
      <c r="O180" s="574"/>
      <c r="P180" s="574"/>
      <c r="Q180" s="340"/>
    </row>
    <row r="181" spans="1:18" ht="60.75" hidden="1" x14ac:dyDescent="0.2">
      <c r="A181" s="380"/>
      <c r="B181" s="381"/>
      <c r="C181" s="381"/>
      <c r="D181" s="381"/>
      <c r="E181" s="158">
        <f>F181</f>
        <v>2192473253.6500001</v>
      </c>
      <c r="F181" s="158">
        <f>(((2308391728-23685400-6806900)-(86458928.33+169570.42)+1294324.4)-700000)+608000</f>
        <v>2192473253.6500001</v>
      </c>
      <c r="G181" s="158">
        <f>(((1088289772)-1681100-36200331.96-109985+303455-1135200-17419.5)-150000)+38000</f>
        <v>1049337190.54</v>
      </c>
      <c r="H181" s="158">
        <f>(88306031)+5000-24439-10632000-50000-35000</f>
        <v>77569592</v>
      </c>
      <c r="I181" s="158"/>
      <c r="J181" s="158">
        <f>(((418238704+44623210.27-520000+5000000-1294324.4)+700000)+7768237)+22218257.94</f>
        <v>496734084.81</v>
      </c>
      <c r="K181" s="158">
        <f>(((266899770+44623210.27-(-1413866.82+149766.82)-19378.7-465963.28-22000-520000+5000000-1294324.4)+700000)+7768237)+22218257.94</f>
        <v>346151908.83000004</v>
      </c>
      <c r="L181" s="158">
        <f>(149028014-300000)+22000+417857.28+(-1413866.82+149766.82)</f>
        <v>147903771.28</v>
      </c>
      <c r="M181" s="158">
        <f>45850596</f>
        <v>45850596</v>
      </c>
      <c r="N181" s="158">
        <v>9422692</v>
      </c>
      <c r="O181" s="158">
        <f>((((269210690+300000)+44623210.27-520000-465963.28+48106-(-1413866.82+149766.82)-22000+5000000-1294324.4)+700000)+7768237)+22218257.94</f>
        <v>348830313.53000003</v>
      </c>
      <c r="P181" s="158">
        <f>(((2726630432-23685400-6806900)-41835718.06-169570.42-520000+5000000)+7768237)+16464657.94+6361600</f>
        <v>2689207338.46</v>
      </c>
      <c r="Q181" s="93" t="b">
        <f>E181+J181=P181</f>
        <v>1</v>
      </c>
      <c r="R181" s="340"/>
    </row>
    <row r="182" spans="1:18" ht="45.75" x14ac:dyDescent="0.2">
      <c r="A182" s="380"/>
      <c r="B182" s="381"/>
      <c r="C182" s="381"/>
      <c r="D182" s="381"/>
      <c r="E182" s="381"/>
      <c r="F182" s="381"/>
      <c r="G182" s="381"/>
      <c r="H182" s="381"/>
      <c r="I182" s="381"/>
      <c r="J182" s="381"/>
      <c r="K182" s="381"/>
      <c r="L182" s="381"/>
      <c r="M182" s="381"/>
      <c r="N182" s="381"/>
      <c r="O182" s="381"/>
      <c r="P182" s="381"/>
      <c r="Q182" s="340"/>
    </row>
    <row r="183" spans="1:18" ht="45.75" hidden="1" x14ac:dyDescent="0.65">
      <c r="A183" s="366"/>
      <c r="B183" s="366"/>
      <c r="C183" s="366"/>
      <c r="D183" s="541" t="s">
        <v>922</v>
      </c>
      <c r="E183" s="541"/>
      <c r="F183" s="541"/>
      <c r="G183" s="541"/>
      <c r="H183" s="541"/>
      <c r="I183" s="541"/>
      <c r="J183" s="541"/>
      <c r="K183" s="541"/>
      <c r="L183" s="541"/>
      <c r="M183" s="541"/>
      <c r="N183" s="541"/>
      <c r="O183" s="541"/>
      <c r="P183" s="541"/>
      <c r="Q183" s="7"/>
    </row>
    <row r="184" spans="1:18" ht="45.75" x14ac:dyDescent="0.2">
      <c r="E184" s="341"/>
      <c r="F184" s="3"/>
      <c r="J184" s="152"/>
      <c r="K184" s="152"/>
      <c r="O184" s="100"/>
      <c r="P184" s="342"/>
    </row>
    <row r="185" spans="1:18" ht="95.25" customHeight="1" x14ac:dyDescent="0.65">
      <c r="D185" s="541" t="s">
        <v>923</v>
      </c>
      <c r="E185" s="541"/>
      <c r="F185" s="541"/>
      <c r="G185" s="541"/>
      <c r="H185" s="541"/>
      <c r="I185" s="541"/>
      <c r="J185" s="541"/>
      <c r="K185" s="541"/>
      <c r="L185" s="541"/>
      <c r="M185" s="541"/>
      <c r="N185" s="541"/>
      <c r="O185" s="541"/>
      <c r="P185" s="541"/>
      <c r="Q185" s="331"/>
    </row>
    <row r="186" spans="1:18" hidden="1" x14ac:dyDescent="0.2">
      <c r="E186" s="4"/>
      <c r="F186" s="3"/>
      <c r="J186" s="4"/>
      <c r="K186" s="4"/>
    </row>
    <row r="187" spans="1:18" hidden="1" x14ac:dyDescent="0.2">
      <c r="E187" s="4"/>
      <c r="F187" s="3"/>
      <c r="J187" s="4"/>
      <c r="K187" s="4"/>
    </row>
    <row r="188" spans="1:18" ht="60.75" x14ac:dyDescent="0.2">
      <c r="E188" s="93" t="b">
        <f>E181=E179</f>
        <v>0</v>
      </c>
      <c r="F188" s="93" t="b">
        <f>F181=F179</f>
        <v>0</v>
      </c>
      <c r="G188" s="93" t="b">
        <f>G181=G179</f>
        <v>1</v>
      </c>
      <c r="H188" s="93" t="b">
        <f t="shared" ref="H188:O188" si="113">H181=H179</f>
        <v>0</v>
      </c>
      <c r="I188" s="93" t="b">
        <f>I181=I179</f>
        <v>1</v>
      </c>
      <c r="J188" s="93" t="b">
        <f>J181=J179</f>
        <v>0</v>
      </c>
      <c r="K188" s="93" t="b">
        <f>K181=K179</f>
        <v>0</v>
      </c>
      <c r="L188" s="93" t="b">
        <f t="shared" si="113"/>
        <v>0</v>
      </c>
      <c r="M188" s="93" t="b">
        <f t="shared" si="113"/>
        <v>1</v>
      </c>
      <c r="N188" s="93" t="b">
        <f t="shared" si="113"/>
        <v>0</v>
      </c>
      <c r="O188" s="93" t="b">
        <f t="shared" si="113"/>
        <v>0</v>
      </c>
      <c r="P188" s="93" t="b">
        <f>P181=P179</f>
        <v>0</v>
      </c>
    </row>
    <row r="189" spans="1:18" ht="60.75" x14ac:dyDescent="0.2">
      <c r="E189" s="93" t="b">
        <f>E179=F179</f>
        <v>1</v>
      </c>
      <c r="F189" s="343">
        <f>F177/E179*100</f>
        <v>4.0923204975569817E-2</v>
      </c>
      <c r="G189" s="100" t="s">
        <v>388</v>
      </c>
      <c r="I189" s="344"/>
      <c r="J189" s="93" t="b">
        <f>J181=L181+O181</f>
        <v>1</v>
      </c>
      <c r="K189" s="345"/>
      <c r="L189" s="93"/>
      <c r="M189" s="344"/>
      <c r="N189" s="344"/>
      <c r="O189" s="93"/>
      <c r="P189" s="93" t="b">
        <f>E179+J179=P179</f>
        <v>1</v>
      </c>
    </row>
    <row r="190" spans="1:18" x14ac:dyDescent="0.2">
      <c r="E190" s="346"/>
      <c r="F190" s="347"/>
      <c r="G190" s="346"/>
      <c r="H190" s="346"/>
      <c r="I190" s="346"/>
      <c r="J190" s="4"/>
      <c r="K190" s="4"/>
    </row>
    <row r="191" spans="1:18" ht="45.75" x14ac:dyDescent="0.2">
      <c r="A191" s="359"/>
      <c r="B191" s="359"/>
      <c r="C191" s="359"/>
      <c r="D191" s="6"/>
      <c r="E191" s="359"/>
      <c r="F191" s="100">
        <f>F177/P179*100</f>
        <v>3.3354394589509888E-2</v>
      </c>
      <c r="G191" s="100" t="s">
        <v>388</v>
      </c>
      <c r="I191" s="6"/>
      <c r="J191" s="106"/>
      <c r="K191" s="106"/>
      <c r="L191" s="359"/>
      <c r="M191" s="359"/>
      <c r="N191" s="359"/>
      <c r="O191" s="359"/>
      <c r="P191" s="359"/>
    </row>
    <row r="192" spans="1:18" ht="60.75" x14ac:dyDescent="0.2">
      <c r="D192" s="6"/>
      <c r="E192" s="106"/>
      <c r="F192" s="348"/>
      <c r="G192" s="93"/>
      <c r="I192" s="6"/>
      <c r="J192" s="106"/>
      <c r="K192" s="106"/>
      <c r="L192" s="250"/>
      <c r="P192" s="93"/>
      <c r="Q192" s="337"/>
      <c r="R192" s="93"/>
    </row>
    <row r="193" spans="1:18" ht="60.75" x14ac:dyDescent="0.2">
      <c r="A193" s="359"/>
      <c r="B193" s="359"/>
      <c r="C193" s="359"/>
      <c r="D193" s="6"/>
      <c r="E193" s="328"/>
      <c r="F193" s="328"/>
      <c r="G193" s="328"/>
      <c r="H193" s="328"/>
      <c r="I193" s="349"/>
      <c r="J193" s="328"/>
      <c r="K193" s="328"/>
      <c r="L193" s="328"/>
      <c r="M193" s="328"/>
      <c r="N193" s="328"/>
      <c r="O193" s="328"/>
      <c r="P193" s="328"/>
      <c r="Q193" s="337"/>
      <c r="R193" s="93"/>
    </row>
    <row r="194" spans="1:18" ht="60.75" x14ac:dyDescent="0.2">
      <c r="D194" s="6"/>
      <c r="E194" s="106"/>
      <c r="F194" s="130"/>
      <c r="O194" s="93"/>
      <c r="P194" s="93"/>
    </row>
    <row r="195" spans="1:18" ht="60.75" x14ac:dyDescent="0.2">
      <c r="A195" s="359"/>
      <c r="B195" s="359"/>
      <c r="C195" s="359"/>
      <c r="D195" s="6"/>
      <c r="E195" s="106"/>
      <c r="F195" s="100"/>
      <c r="G195" s="250"/>
      <c r="J195" s="4"/>
      <c r="K195" s="4"/>
      <c r="L195" s="359"/>
      <c r="M195" s="359"/>
      <c r="N195" s="359"/>
      <c r="O195" s="359"/>
      <c r="P195" s="93"/>
    </row>
    <row r="196" spans="1:18" ht="62.25" x14ac:dyDescent="0.8">
      <c r="A196" s="359"/>
      <c r="B196" s="359"/>
      <c r="C196" s="359"/>
      <c r="D196" s="359"/>
      <c r="E196" s="11"/>
      <c r="F196" s="100"/>
      <c r="J196" s="4"/>
      <c r="K196" s="4"/>
      <c r="L196" s="359"/>
      <c r="M196" s="359"/>
      <c r="N196" s="359"/>
      <c r="O196" s="359"/>
      <c r="P196" s="111"/>
    </row>
    <row r="197" spans="1:18" ht="45.75" x14ac:dyDescent="0.2">
      <c r="E197" s="252">
        <f>E177/E179</f>
        <v>4.0923204975569814E-4</v>
      </c>
      <c r="F197" s="130"/>
    </row>
    <row r="198" spans="1:18" ht="45.75" x14ac:dyDescent="0.2">
      <c r="A198" s="359"/>
      <c r="B198" s="359"/>
      <c r="C198" s="359"/>
      <c r="D198" s="359"/>
      <c r="E198" s="11"/>
      <c r="F198" s="100"/>
      <c r="L198" s="359"/>
      <c r="M198" s="359"/>
      <c r="N198" s="359"/>
      <c r="O198" s="359"/>
      <c r="P198" s="359"/>
    </row>
    <row r="199" spans="1:18" ht="45.75" x14ac:dyDescent="0.2">
      <c r="E199" s="12"/>
      <c r="F199" s="130"/>
    </row>
    <row r="200" spans="1:18" ht="45.75" x14ac:dyDescent="0.2">
      <c r="E200" s="12"/>
      <c r="F200" s="130"/>
    </row>
    <row r="201" spans="1:18" ht="45.75" x14ac:dyDescent="0.2">
      <c r="E201" s="12"/>
      <c r="F201" s="130"/>
    </row>
    <row r="202" spans="1:18" ht="45.75" x14ac:dyDescent="0.2">
      <c r="A202" s="359"/>
      <c r="B202" s="359"/>
      <c r="C202" s="359"/>
      <c r="D202" s="359"/>
      <c r="E202" s="12"/>
      <c r="F202" s="130"/>
      <c r="G202" s="359"/>
      <c r="H202" s="359"/>
      <c r="I202" s="359"/>
      <c r="J202" s="359"/>
      <c r="K202" s="359"/>
      <c r="L202" s="359"/>
      <c r="M202" s="359"/>
      <c r="N202" s="359"/>
      <c r="O202" s="359"/>
      <c r="P202" s="359"/>
    </row>
    <row r="203" spans="1:18" ht="45.75" x14ac:dyDescent="0.2">
      <c r="A203" s="359"/>
      <c r="B203" s="359"/>
      <c r="C203" s="359"/>
      <c r="D203" s="359"/>
      <c r="E203" s="12"/>
      <c r="F203" s="130"/>
      <c r="G203" s="359"/>
      <c r="H203" s="359"/>
      <c r="I203" s="359"/>
      <c r="J203" s="359"/>
      <c r="K203" s="359"/>
      <c r="L203" s="359"/>
      <c r="M203" s="359"/>
      <c r="N203" s="359"/>
      <c r="O203" s="359"/>
      <c r="P203" s="359"/>
    </row>
    <row r="204" spans="1:18" ht="45.75" x14ac:dyDescent="0.2">
      <c r="A204" s="359"/>
      <c r="B204" s="359"/>
      <c r="C204" s="359"/>
      <c r="D204" s="359"/>
      <c r="E204" s="12"/>
      <c r="F204" s="130"/>
      <c r="G204" s="359"/>
      <c r="H204" s="359"/>
      <c r="I204" s="359"/>
      <c r="J204" s="359"/>
      <c r="K204" s="359"/>
      <c r="L204" s="359"/>
      <c r="M204" s="359"/>
      <c r="N204" s="359"/>
      <c r="O204" s="359"/>
      <c r="P204" s="359"/>
    </row>
    <row r="205" spans="1:18" ht="45.75" x14ac:dyDescent="0.2">
      <c r="A205" s="359"/>
      <c r="B205" s="359"/>
      <c r="C205" s="359"/>
      <c r="D205" s="359"/>
      <c r="E205" s="12"/>
      <c r="F205" s="130"/>
      <c r="G205" s="359"/>
      <c r="H205" s="359"/>
      <c r="I205" s="359"/>
      <c r="J205" s="359"/>
      <c r="K205" s="359"/>
      <c r="L205" s="359"/>
      <c r="M205" s="359"/>
      <c r="N205" s="359"/>
      <c r="O205" s="359"/>
      <c r="P205" s="359"/>
    </row>
  </sheetData>
  <mergeCells count="116">
    <mergeCell ref="C80:C82"/>
    <mergeCell ref="E80:E82"/>
    <mergeCell ref="F80:F82"/>
    <mergeCell ref="G80:G82"/>
    <mergeCell ref="D185:P185"/>
    <mergeCell ref="D183:P183"/>
    <mergeCell ref="N131:N132"/>
    <mergeCell ref="O131:O132"/>
    <mergeCell ref="P131:P132"/>
    <mergeCell ref="A180:P180"/>
    <mergeCell ref="H131:H132"/>
    <mergeCell ref="I131:I132"/>
    <mergeCell ref="J131:J132"/>
    <mergeCell ref="K131:K132"/>
    <mergeCell ref="L131:L132"/>
    <mergeCell ref="M131:M132"/>
    <mergeCell ref="A131:A132"/>
    <mergeCell ref="B131:B132"/>
    <mergeCell ref="C131:C132"/>
    <mergeCell ref="E131:E132"/>
    <mergeCell ref="F131:F132"/>
    <mergeCell ref="G131:G132"/>
    <mergeCell ref="K88:K89"/>
    <mergeCell ref="L88:L89"/>
    <mergeCell ref="M88:M89"/>
    <mergeCell ref="N88:N89"/>
    <mergeCell ref="O88:O89"/>
    <mergeCell ref="P88:P89"/>
    <mergeCell ref="P80:P82"/>
    <mergeCell ref="A88:A89"/>
    <mergeCell ref="B88:B89"/>
    <mergeCell ref="C88:C89"/>
    <mergeCell ref="E88:E89"/>
    <mergeCell ref="F88:F89"/>
    <mergeCell ref="G88:G89"/>
    <mergeCell ref="H88:H89"/>
    <mergeCell ref="I88:I89"/>
    <mergeCell ref="J88:J89"/>
    <mergeCell ref="J80:J82"/>
    <mergeCell ref="K80:K82"/>
    <mergeCell ref="L80:L82"/>
    <mergeCell ref="M80:M82"/>
    <mergeCell ref="N80:N82"/>
    <mergeCell ref="O80:O82"/>
    <mergeCell ref="A80:A82"/>
    <mergeCell ref="B80:B82"/>
    <mergeCell ref="H80:H82"/>
    <mergeCell ref="I80:I82"/>
    <mergeCell ref="I76:I79"/>
    <mergeCell ref="N73:N75"/>
    <mergeCell ref="O73:O75"/>
    <mergeCell ref="P73:P75"/>
    <mergeCell ref="A76:A79"/>
    <mergeCell ref="B76:B79"/>
    <mergeCell ref="C76:C79"/>
    <mergeCell ref="E76:E79"/>
    <mergeCell ref="F76:F79"/>
    <mergeCell ref="G76:G79"/>
    <mergeCell ref="H76:H79"/>
    <mergeCell ref="H73:H75"/>
    <mergeCell ref="I73:I75"/>
    <mergeCell ref="J73:J75"/>
    <mergeCell ref="K73:K75"/>
    <mergeCell ref="L73:L75"/>
    <mergeCell ref="M73:M75"/>
    <mergeCell ref="A73:A75"/>
    <mergeCell ref="B73:B75"/>
    <mergeCell ref="C73:C75"/>
    <mergeCell ref="E73:E75"/>
    <mergeCell ref="F73:F75"/>
    <mergeCell ref="G73:G75"/>
    <mergeCell ref="O76:O79"/>
    <mergeCell ref="P76:P79"/>
    <mergeCell ref="K23:K24"/>
    <mergeCell ref="L23:L24"/>
    <mergeCell ref="M23:M24"/>
    <mergeCell ref="N23:N24"/>
    <mergeCell ref="O23:O24"/>
    <mergeCell ref="P23:P24"/>
    <mergeCell ref="J76:J79"/>
    <mergeCell ref="K76:K79"/>
    <mergeCell ref="L76:L79"/>
    <mergeCell ref="M76:M79"/>
    <mergeCell ref="N76:N79"/>
    <mergeCell ref="A23:A24"/>
    <mergeCell ref="B23:B24"/>
    <mergeCell ref="C23:C24"/>
    <mergeCell ref="E23:E24"/>
    <mergeCell ref="F23:F24"/>
    <mergeCell ref="G23:G24"/>
    <mergeCell ref="H23:H24"/>
    <mergeCell ref="I23:I24"/>
    <mergeCell ref="J23:J24"/>
    <mergeCell ref="A10:B10"/>
    <mergeCell ref="A12:A14"/>
    <mergeCell ref="B12:B14"/>
    <mergeCell ref="C12:C14"/>
    <mergeCell ref="D12:D14"/>
    <mergeCell ref="E12:I12"/>
    <mergeCell ref="N2:Q2"/>
    <mergeCell ref="N3:Q3"/>
    <mergeCell ref="O4:P4"/>
    <mergeCell ref="A6:P6"/>
    <mergeCell ref="A7:P7"/>
    <mergeCell ref="A9:B9"/>
    <mergeCell ref="J12:O12"/>
    <mergeCell ref="P12:P14"/>
    <mergeCell ref="E13:E14"/>
    <mergeCell ref="F13:F14"/>
    <mergeCell ref="G13:H13"/>
    <mergeCell ref="I13:I14"/>
    <mergeCell ref="J13:J14"/>
    <mergeCell ref="K13:K14"/>
    <mergeCell ref="L13:L14"/>
    <mergeCell ref="M13:N13"/>
    <mergeCell ref="O13:O14"/>
  </mergeCells>
  <conditionalFormatting sqref="Q161:R163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Q175:R175 Q174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Q170 Q169:R169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R174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155:R155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151:Q15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151:R15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150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150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156:R159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Q147:R148 Q146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170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146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fitToHeight="0" orientation="landscape" r:id="rId1"/>
  <headerFooter alignWithMargins="0">
    <oddFooter>&amp;C&amp;"Times New Roman Cyr,курсив"Сторінка &amp;P з &amp;N</oddFooter>
  </headerFooter>
  <rowBreaks count="2" manualBreakCount="2">
    <brk id="32" max="15" man="1"/>
    <brk id="5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12</vt:i4>
      </vt:variant>
      <vt:variant>
        <vt:lpstr>Іменовані діапазони</vt:lpstr>
      </vt:variant>
      <vt:variant>
        <vt:i4>19</vt:i4>
      </vt:variant>
    </vt:vector>
  </HeadingPairs>
  <TitlesOfParts>
    <vt:vector size="31" baseType="lpstr">
      <vt:lpstr>d1</vt:lpstr>
      <vt:lpstr>d2</vt:lpstr>
      <vt:lpstr>d3</vt:lpstr>
      <vt:lpstr>d4</vt:lpstr>
      <vt:lpstr>d5</vt:lpstr>
      <vt:lpstr>d6</vt:lpstr>
      <vt:lpstr>d7</vt:lpstr>
      <vt:lpstr>d8</vt:lpstr>
      <vt:lpstr>d3-п</vt:lpstr>
      <vt:lpstr>Р-п</vt:lpstr>
      <vt:lpstr>d3-08</vt:lpstr>
      <vt:lpstr>Р-08</vt:lpstr>
      <vt:lpstr>'d3'!Заголовки_для_друку</vt:lpstr>
      <vt:lpstr>'d3-08'!Заголовки_для_друку</vt:lpstr>
      <vt:lpstr>'d3-п'!Заголовки_для_друку</vt:lpstr>
      <vt:lpstr>'d5'!Заголовки_для_друку</vt:lpstr>
      <vt:lpstr>'d8'!Заголовки_для_друку</vt:lpstr>
      <vt:lpstr>'Р-08'!Заголовки_для_друку</vt:lpstr>
      <vt:lpstr>'Р-п'!Заголовки_для_друку</vt:lpstr>
      <vt:lpstr>'d1'!Область_друку</vt:lpstr>
      <vt:lpstr>'d2'!Область_друку</vt:lpstr>
      <vt:lpstr>'d3'!Область_друку</vt:lpstr>
      <vt:lpstr>'d3-08'!Область_друку</vt:lpstr>
      <vt:lpstr>'d3-п'!Область_друку</vt:lpstr>
      <vt:lpstr>'d4'!Область_друку</vt:lpstr>
      <vt:lpstr>'d5'!Область_друку</vt:lpstr>
      <vt:lpstr>'d6'!Область_друку</vt:lpstr>
      <vt:lpstr>'d7'!Область_друку</vt:lpstr>
      <vt:lpstr>'d8'!Область_друку</vt:lpstr>
      <vt:lpstr>'Р-08'!Область_друку</vt:lpstr>
      <vt:lpstr>'Р-п'!Область_друку</vt:lpstr>
    </vt:vector>
  </TitlesOfParts>
  <Company>Міське фінуправління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2020-09-30T12:57:20Z</cp:lastPrinted>
  <dcterms:created xsi:type="dcterms:W3CDTF">2001-12-03T09:30:42Z</dcterms:created>
  <dcterms:modified xsi:type="dcterms:W3CDTF">2020-09-30T13:18:07Z</dcterms:modified>
</cp:coreProperties>
</file>