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ЦяКнига"/>
  <mc:AlternateContent xmlns:mc="http://schemas.openxmlformats.org/markup-compatibility/2006">
    <mc:Choice Requires="x15">
      <x15ac:absPath xmlns:x15ac="http://schemas.microsoft.com/office/spreadsheetml/2010/11/ac" url="\\sed\zagvid\рішення 2020\14.12.2020_ПОЗАЧЕРГОВЕ_ЗАСІДАННЯ\"/>
    </mc:Choice>
  </mc:AlternateContent>
  <bookViews>
    <workbookView xWindow="-120" yWindow="480" windowWidth="29040" windowHeight="15840" tabRatio="585" activeTab="8"/>
  </bookViews>
  <sheets>
    <sheet name="d1" sheetId="171" r:id="rId1"/>
    <sheet name="d2" sheetId="172" r:id="rId2"/>
    <sheet name="d3" sheetId="165" r:id="rId3"/>
    <sheet name="d4" sheetId="107" r:id="rId4"/>
    <sheet name="d5" sheetId="170" r:id="rId5"/>
    <sheet name="d6" sheetId="166" r:id="rId6"/>
    <sheet name="d7" sheetId="167" r:id="rId7"/>
    <sheet name="d8" sheetId="108" r:id="rId8"/>
    <sheet name="d9" sheetId="153" r:id="rId9"/>
  </sheets>
  <definedNames>
    <definedName name="_GoBack" localSheetId="5">'d6'!#REF!</definedName>
    <definedName name="_xlnm.Print_Titles" localSheetId="2">'d3'!$12:$15</definedName>
    <definedName name="_xlnm.Print_Titles" localSheetId="5">'d6'!$10:$11</definedName>
    <definedName name="_xlnm.Print_Titles" localSheetId="6">'d7'!$12:$14</definedName>
    <definedName name="_xlnm.Print_Area" localSheetId="0">'d1'!$A$1:$F$108</definedName>
    <definedName name="_xlnm.Print_Area" localSheetId="1">'d2'!$A$1:$F$46</definedName>
    <definedName name="_xlnm.Print_Area" localSheetId="2">'d3'!$A$1:$P$174</definedName>
    <definedName name="_xlnm.Print_Area" localSheetId="3">'d4'!$B$1:$Q$21</definedName>
    <definedName name="_xlnm.Print_Area" localSheetId="4">'d5'!$A$1:$D$60</definedName>
    <definedName name="_xlnm.Print_Area" localSheetId="5">'d6'!$A$1:$K$171</definedName>
    <definedName name="_xlnm.Print_Area" localSheetId="6">'d7'!$A$1:$J$205</definedName>
    <definedName name="_xlnm.Print_Area" localSheetId="7">'d8'!$A$1:$D$36</definedName>
    <definedName name="_xlnm.Print_Area" localSheetId="8">'d9'!$A$1:$F$30</definedName>
    <definedName name="С16" localSheetId="0">#REF!</definedName>
    <definedName name="С16" localSheetId="1">#REF!</definedName>
    <definedName name="С16" localSheetId="4">#REF!</definedName>
    <definedName name="С16" localSheetId="5">#REF!</definedName>
    <definedName name="С16" localSheetId="6">#REF!</definedName>
    <definedName name="С16" localSheetId="8">#REF!</definedName>
    <definedName name="С16">#REF!</definedName>
  </definedNames>
  <calcPr calcId="152511"/>
</workbook>
</file>

<file path=xl/calcChain.xml><?xml version="1.0" encoding="utf-8"?>
<calcChain xmlns="http://schemas.openxmlformats.org/spreadsheetml/2006/main">
  <c r="F117" i="165" l="1"/>
  <c r="J109" i="166" l="1"/>
  <c r="K52" i="165" l="1"/>
  <c r="J42" i="166" l="1"/>
  <c r="F170" i="165" l="1"/>
  <c r="F29" i="172"/>
  <c r="E29" i="172"/>
  <c r="F19" i="172"/>
  <c r="E19" i="172"/>
  <c r="C102" i="171"/>
  <c r="C101" i="171"/>
  <c r="C100" i="171"/>
  <c r="D99" i="171"/>
  <c r="C99" i="171" s="1"/>
  <c r="C98" i="171"/>
  <c r="D97" i="171"/>
  <c r="C97" i="171" s="1"/>
  <c r="C95" i="171"/>
  <c r="D94" i="171"/>
  <c r="C94" i="171" s="1"/>
  <c r="C91" i="171"/>
  <c r="E90" i="171"/>
  <c r="C90" i="171" s="1"/>
  <c r="C89" i="171"/>
  <c r="C88" i="171"/>
  <c r="F87" i="171"/>
  <c r="F86" i="171" s="1"/>
  <c r="F81" i="171" s="1"/>
  <c r="E87" i="171"/>
  <c r="C87" i="171"/>
  <c r="E86" i="171"/>
  <c r="C86" i="171" s="1"/>
  <c r="C85" i="171"/>
  <c r="C84" i="171"/>
  <c r="C83" i="171"/>
  <c r="E82" i="171"/>
  <c r="C82" i="171" s="1"/>
  <c r="D82" i="171"/>
  <c r="D81" i="171"/>
  <c r="C80" i="171"/>
  <c r="C79" i="171"/>
  <c r="C78" i="171"/>
  <c r="C77" i="171"/>
  <c r="E76" i="171"/>
  <c r="C76" i="171" s="1"/>
  <c r="D75" i="171"/>
  <c r="C74" i="171"/>
  <c r="C72" i="171"/>
  <c r="C71" i="171"/>
  <c r="F70" i="171"/>
  <c r="F51" i="171" s="1"/>
  <c r="E70" i="171"/>
  <c r="D70" i="171"/>
  <c r="C70" i="171" s="1"/>
  <c r="C69" i="171"/>
  <c r="C68" i="171"/>
  <c r="D67" i="171"/>
  <c r="C67" i="171" s="1"/>
  <c r="C66" i="171"/>
  <c r="C65" i="171"/>
  <c r="C64" i="171"/>
  <c r="C63" i="171"/>
  <c r="C62" i="171"/>
  <c r="D61" i="171"/>
  <c r="D60" i="171" s="1"/>
  <c r="C60" i="171" s="1"/>
  <c r="C59" i="171"/>
  <c r="C58" i="171"/>
  <c r="C57" i="171"/>
  <c r="D56" i="171"/>
  <c r="C56" i="171" s="1"/>
  <c r="C55" i="171"/>
  <c r="C54" i="171"/>
  <c r="C53" i="171"/>
  <c r="C50" i="171"/>
  <c r="C49" i="171"/>
  <c r="C48" i="171"/>
  <c r="E47" i="171"/>
  <c r="D47" i="171"/>
  <c r="E46" i="171"/>
  <c r="C46" i="171" s="1"/>
  <c r="C45" i="171"/>
  <c r="C44" i="171"/>
  <c r="C43" i="171"/>
  <c r="D42" i="171"/>
  <c r="C42" i="171" s="1"/>
  <c r="C41" i="171"/>
  <c r="C40" i="171"/>
  <c r="D39" i="171"/>
  <c r="C39" i="171"/>
  <c r="C38" i="171"/>
  <c r="C37" i="171"/>
  <c r="C36" i="171"/>
  <c r="C35" i="171"/>
  <c r="C34" i="171"/>
  <c r="C33" i="171"/>
  <c r="C32" i="171"/>
  <c r="C31" i="171"/>
  <c r="C30" i="171"/>
  <c r="C29" i="171"/>
  <c r="D28" i="171"/>
  <c r="C28" i="171"/>
  <c r="D27" i="171"/>
  <c r="C27" i="171" s="1"/>
  <c r="C26" i="171"/>
  <c r="D25" i="171"/>
  <c r="C25" i="171"/>
  <c r="C24" i="171"/>
  <c r="D23" i="171"/>
  <c r="C23" i="171" s="1"/>
  <c r="C22" i="171"/>
  <c r="D21" i="171"/>
  <c r="C21" i="171"/>
  <c r="C19" i="171"/>
  <c r="C18" i="171"/>
  <c r="C17" i="171"/>
  <c r="C16" i="171"/>
  <c r="C15" i="171"/>
  <c r="C14" i="171"/>
  <c r="D13" i="171"/>
  <c r="D12" i="171" s="1"/>
  <c r="C13" i="171"/>
  <c r="D20" i="171" l="1"/>
  <c r="C20" i="171" s="1"/>
  <c r="C47" i="171"/>
  <c r="C61" i="171"/>
  <c r="E11" i="171"/>
  <c r="F92" i="171"/>
  <c r="F103" i="171" s="1"/>
  <c r="C12" i="171"/>
  <c r="D11" i="171"/>
  <c r="E75" i="171"/>
  <c r="D52" i="171"/>
  <c r="E81" i="171"/>
  <c r="C81" i="171" s="1"/>
  <c r="D96" i="171"/>
  <c r="C75" i="171" l="1"/>
  <c r="E51" i="171"/>
  <c r="E92" i="171" s="1"/>
  <c r="E103" i="171" s="1"/>
  <c r="C96" i="171"/>
  <c r="D93" i="171"/>
  <c r="C93" i="171" s="1"/>
  <c r="C11" i="171"/>
  <c r="D51" i="171"/>
  <c r="C51" i="171" s="1"/>
  <c r="C52" i="171"/>
  <c r="D92" i="171" l="1"/>
  <c r="D103" i="171" l="1"/>
  <c r="C103" i="171" s="1"/>
  <c r="C92" i="171"/>
  <c r="O170" i="165" l="1"/>
  <c r="K170" i="165"/>
  <c r="J170" i="165"/>
  <c r="K106" i="165" l="1"/>
  <c r="F32" i="165"/>
  <c r="H170" i="165" l="1"/>
  <c r="H32" i="165"/>
  <c r="G170" i="165"/>
  <c r="J128" i="167" l="1"/>
  <c r="D31" i="170" l="1"/>
  <c r="D30" i="170" s="1"/>
  <c r="D23" i="170"/>
  <c r="R21" i="165" l="1"/>
  <c r="H20" i="167" l="1"/>
  <c r="J17" i="167" l="1"/>
  <c r="I17" i="167"/>
  <c r="J14" i="166"/>
  <c r="J13" i="166" s="1"/>
  <c r="K18" i="165"/>
  <c r="F61" i="165" l="1"/>
  <c r="F46" i="165"/>
  <c r="K54" i="166"/>
  <c r="K53" i="166"/>
  <c r="J52" i="166"/>
  <c r="K48" i="166" l="1"/>
  <c r="I48" i="166"/>
  <c r="F45" i="165"/>
  <c r="F44" i="165"/>
  <c r="F43" i="165"/>
  <c r="J25" i="166"/>
  <c r="K32" i="165"/>
  <c r="G32" i="165"/>
  <c r="J18" i="166"/>
  <c r="K31" i="165"/>
  <c r="G31" i="165"/>
  <c r="F31" i="165"/>
  <c r="G38" i="165"/>
  <c r="F38" i="165"/>
  <c r="F36" i="165"/>
  <c r="F34" i="165"/>
  <c r="H34" i="165"/>
  <c r="F35" i="165"/>
  <c r="K94" i="165"/>
  <c r="R100" i="165"/>
  <c r="M87" i="165"/>
  <c r="G87" i="165"/>
  <c r="O100" i="165"/>
  <c r="J100" i="165" s="1"/>
  <c r="I128" i="167" s="1"/>
  <c r="E100" i="165"/>
  <c r="H128" i="167" s="1"/>
  <c r="G128" i="167" s="1"/>
  <c r="F94" i="165"/>
  <c r="H94" i="165"/>
  <c r="R32" i="165" l="1"/>
  <c r="R31" i="165"/>
  <c r="P100" i="165"/>
  <c r="K141" i="166" l="1"/>
  <c r="I141" i="166"/>
  <c r="J107" i="166" l="1"/>
  <c r="P17" i="107" l="1"/>
  <c r="I14" i="107"/>
  <c r="I13" i="107" s="1"/>
  <c r="I12" i="107" s="1"/>
  <c r="I17" i="107" s="1"/>
  <c r="D48" i="170" l="1"/>
  <c r="D46" i="170"/>
  <c r="D44" i="170"/>
  <c r="D41" i="170"/>
  <c r="D52" i="170" l="1"/>
  <c r="N170" i="165" l="1"/>
  <c r="M170" i="165"/>
  <c r="L170" i="165"/>
  <c r="D27" i="108" l="1"/>
  <c r="D28" i="108"/>
  <c r="J180" i="165"/>
  <c r="D32" i="108" l="1"/>
  <c r="H186" i="167" l="1"/>
  <c r="F149" i="165" l="1"/>
  <c r="K149" i="165"/>
  <c r="F164" i="165"/>
  <c r="H164" i="165"/>
  <c r="J198" i="167" l="1"/>
  <c r="J197" i="167"/>
  <c r="J161" i="166"/>
  <c r="K158" i="165"/>
  <c r="F158" i="165"/>
  <c r="H159" i="165"/>
  <c r="R158" i="165" l="1"/>
  <c r="J194" i="167"/>
  <c r="J193" i="167"/>
  <c r="J192" i="167"/>
  <c r="J191" i="167"/>
  <c r="H194" i="167"/>
  <c r="G190" i="167"/>
  <c r="O154" i="165"/>
  <c r="O153" i="165"/>
  <c r="L151" i="165"/>
  <c r="J158" i="166"/>
  <c r="R152" i="165" s="1"/>
  <c r="F151" i="165"/>
  <c r="H152" i="165"/>
  <c r="J179" i="167"/>
  <c r="R142" i="165"/>
  <c r="H142" i="165"/>
  <c r="J157" i="166" l="1"/>
  <c r="J189" i="167"/>
  <c r="F138" i="165"/>
  <c r="R139" i="165"/>
  <c r="J175" i="167"/>
  <c r="I175" i="167"/>
  <c r="H139" i="165"/>
  <c r="G129" i="165"/>
  <c r="H130" i="165"/>
  <c r="H129" i="165" s="1"/>
  <c r="F130" i="165"/>
  <c r="J164" i="167"/>
  <c r="J162" i="167"/>
  <c r="J163" i="167"/>
  <c r="J160" i="167"/>
  <c r="H160" i="167"/>
  <c r="J158" i="167"/>
  <c r="J156" i="167"/>
  <c r="J154" i="167"/>
  <c r="J153" i="167"/>
  <c r="J151" i="167"/>
  <c r="J149" i="167"/>
  <c r="J148" i="167"/>
  <c r="J147" i="167"/>
  <c r="J146" i="167"/>
  <c r="N112" i="165"/>
  <c r="M112" i="165"/>
  <c r="L112" i="165"/>
  <c r="K112" i="165"/>
  <c r="I112" i="165"/>
  <c r="O127" i="165"/>
  <c r="J127" i="165" s="1"/>
  <c r="O125" i="165"/>
  <c r="J125" i="165" s="1"/>
  <c r="O126" i="165"/>
  <c r="R113" i="165"/>
  <c r="R103" i="165"/>
  <c r="F113" i="165"/>
  <c r="F112" i="165" s="1"/>
  <c r="H113" i="165"/>
  <c r="N102" i="165"/>
  <c r="M102" i="165"/>
  <c r="L102" i="165"/>
  <c r="K102" i="165"/>
  <c r="I102" i="165"/>
  <c r="G102" i="165"/>
  <c r="J141" i="167"/>
  <c r="J140" i="167"/>
  <c r="J138" i="167"/>
  <c r="J136" i="167"/>
  <c r="J135" i="167"/>
  <c r="J134" i="167"/>
  <c r="F103" i="165"/>
  <c r="F102" i="165" s="1"/>
  <c r="H103" i="165"/>
  <c r="H102" i="165" s="1"/>
  <c r="I162" i="167" l="1"/>
  <c r="I164" i="167"/>
  <c r="J131" i="167"/>
  <c r="J144" i="167"/>
  <c r="J143" i="167" s="1"/>
  <c r="M143" i="167" s="1"/>
  <c r="J117" i="167"/>
  <c r="L94" i="165"/>
  <c r="N94" i="165"/>
  <c r="N89" i="165"/>
  <c r="L89" i="165"/>
  <c r="K98" i="165"/>
  <c r="R98" i="165" s="1"/>
  <c r="K95" i="165"/>
  <c r="R95" i="165" s="1"/>
  <c r="K71" i="166"/>
  <c r="I71" i="166"/>
  <c r="L87" i="165" l="1"/>
  <c r="N87" i="165"/>
  <c r="K89" i="165"/>
  <c r="K87" i="165" s="1"/>
  <c r="R89" i="165" l="1"/>
  <c r="J116" i="167"/>
  <c r="P13" i="107"/>
  <c r="P12" i="107" s="1"/>
  <c r="F98" i="165"/>
  <c r="F96" i="165"/>
  <c r="J122" i="167"/>
  <c r="I122" i="167"/>
  <c r="H122" i="167"/>
  <c r="J72" i="166"/>
  <c r="O94" i="165"/>
  <c r="F93" i="165"/>
  <c r="F92" i="165"/>
  <c r="F91" i="165"/>
  <c r="F90" i="165"/>
  <c r="H90" i="165"/>
  <c r="F89" i="165"/>
  <c r="H89" i="165"/>
  <c r="F88" i="165"/>
  <c r="H88" i="165"/>
  <c r="H87" i="165" s="1"/>
  <c r="E167" i="165"/>
  <c r="I77" i="165"/>
  <c r="I76" i="165" s="1"/>
  <c r="J112" i="167"/>
  <c r="O83" i="165"/>
  <c r="L83" i="165"/>
  <c r="L78" i="165"/>
  <c r="O78" i="165"/>
  <c r="N78" i="165"/>
  <c r="L82" i="165"/>
  <c r="N82" i="165"/>
  <c r="L81" i="165"/>
  <c r="N81" i="165"/>
  <c r="L80" i="165"/>
  <c r="N80" i="165"/>
  <c r="F87" i="165" l="1"/>
  <c r="J70" i="166"/>
  <c r="R94" i="165"/>
  <c r="N77" i="165"/>
  <c r="M77" i="165"/>
  <c r="L77" i="165"/>
  <c r="O85" i="165"/>
  <c r="J85" i="165" s="1"/>
  <c r="I112" i="167" s="1"/>
  <c r="E85" i="165"/>
  <c r="E46" i="170" s="1"/>
  <c r="F84" i="165"/>
  <c r="F83" i="165"/>
  <c r="H83" i="165"/>
  <c r="K81" i="165"/>
  <c r="R81" i="165" s="1"/>
  <c r="K67" i="166"/>
  <c r="I67" i="166"/>
  <c r="K82" i="165"/>
  <c r="R82" i="165" s="1"/>
  <c r="P85" i="165" l="1"/>
  <c r="H112" i="167"/>
  <c r="G112" i="167" s="1"/>
  <c r="H82" i="165"/>
  <c r="F82" i="165"/>
  <c r="J104" i="167"/>
  <c r="H81" i="165"/>
  <c r="F81" i="165"/>
  <c r="J103" i="167"/>
  <c r="I103" i="167"/>
  <c r="H103" i="167"/>
  <c r="J100" i="167"/>
  <c r="J64" i="166" l="1"/>
  <c r="J63" i="166" s="1"/>
  <c r="K80" i="165"/>
  <c r="O82" i="165"/>
  <c r="H80" i="165"/>
  <c r="F80" i="165"/>
  <c r="H78" i="165"/>
  <c r="G78" i="165"/>
  <c r="G77" i="165" s="1"/>
  <c r="F78" i="165"/>
  <c r="G161" i="167"/>
  <c r="G159" i="167"/>
  <c r="G157" i="167"/>
  <c r="G155" i="167"/>
  <c r="G152" i="167"/>
  <c r="G145" i="167"/>
  <c r="G139" i="167"/>
  <c r="G137" i="167"/>
  <c r="G133" i="167"/>
  <c r="G132" i="167"/>
  <c r="J130" i="167"/>
  <c r="H77" i="165" l="1"/>
  <c r="F77" i="165"/>
  <c r="R80" i="165"/>
  <c r="K77" i="165"/>
  <c r="K45" i="166"/>
  <c r="I45" i="166"/>
  <c r="O19" i="165"/>
  <c r="J19" i="165" s="1"/>
  <c r="E19" i="165"/>
  <c r="P19" i="165" l="1"/>
  <c r="N64" i="165"/>
  <c r="L64" i="165"/>
  <c r="N71" i="165"/>
  <c r="L71" i="165"/>
  <c r="J89" i="167"/>
  <c r="J47" i="166" l="1"/>
  <c r="I47" i="166"/>
  <c r="J96" i="167"/>
  <c r="J95" i="167"/>
  <c r="J92" i="167"/>
  <c r="H94" i="167"/>
  <c r="H93" i="167"/>
  <c r="J91" i="167"/>
  <c r="I91" i="167"/>
  <c r="H91" i="167"/>
  <c r="J88" i="167"/>
  <c r="J86" i="167"/>
  <c r="H87" i="167"/>
  <c r="J84" i="167"/>
  <c r="J83" i="167"/>
  <c r="J82" i="167"/>
  <c r="J79" i="167"/>
  <c r="J78" i="167"/>
  <c r="J77" i="167"/>
  <c r="J76" i="167"/>
  <c r="J75" i="167"/>
  <c r="K47" i="166" l="1"/>
  <c r="R52" i="165"/>
  <c r="R73" i="165"/>
  <c r="R72" i="165"/>
  <c r="R57" i="165"/>
  <c r="R56" i="165"/>
  <c r="J59" i="166" l="1"/>
  <c r="K71" i="165"/>
  <c r="J90" i="167" s="1"/>
  <c r="H71" i="165"/>
  <c r="G71" i="165"/>
  <c r="H36" i="165"/>
  <c r="H31" i="165"/>
  <c r="H65" i="165"/>
  <c r="G65" i="165"/>
  <c r="H64" i="165"/>
  <c r="H56" i="165"/>
  <c r="J70" i="167"/>
  <c r="I70" i="167"/>
  <c r="J55" i="167"/>
  <c r="J53" i="167"/>
  <c r="J49" i="167"/>
  <c r="K44" i="166"/>
  <c r="I44" i="166"/>
  <c r="J56" i="166" l="1"/>
  <c r="R71" i="165"/>
  <c r="F51" i="165"/>
  <c r="H50" i="165"/>
  <c r="G50" i="165"/>
  <c r="F50" i="165"/>
  <c r="H42" i="165" l="1"/>
  <c r="G42" i="165"/>
  <c r="F42" i="165"/>
  <c r="J131" i="166" l="1"/>
  <c r="K131" i="165"/>
  <c r="F18" i="165" l="1"/>
  <c r="F17" i="165" s="1"/>
  <c r="L36" i="165"/>
  <c r="N36" i="165"/>
  <c r="O35" i="165"/>
  <c r="L35" i="165"/>
  <c r="N35" i="165"/>
  <c r="L34" i="165"/>
  <c r="N34" i="165"/>
  <c r="L33" i="165" l="1"/>
  <c r="N33" i="165"/>
  <c r="L32" i="165"/>
  <c r="N32" i="165"/>
  <c r="M32" i="165"/>
  <c r="L31" i="165"/>
  <c r="N31" i="165"/>
  <c r="L30" i="165" l="1"/>
  <c r="K33" i="165"/>
  <c r="O32" i="165" l="1"/>
  <c r="I37" i="167"/>
  <c r="H37" i="167"/>
  <c r="J34" i="167"/>
  <c r="I34" i="167"/>
  <c r="H34" i="167"/>
  <c r="O31" i="165"/>
  <c r="K22" i="166"/>
  <c r="I22" i="166"/>
  <c r="K32" i="166"/>
  <c r="I32" i="166"/>
  <c r="J38" i="166"/>
  <c r="R33" i="165" s="1"/>
  <c r="F33" i="165"/>
  <c r="J33" i="167" l="1"/>
  <c r="G34" i="167"/>
  <c r="K37" i="166" l="1"/>
  <c r="I37" i="166"/>
  <c r="K40" i="166" l="1"/>
  <c r="I40" i="166"/>
  <c r="K34" i="165"/>
  <c r="K35" i="166"/>
  <c r="I35" i="166"/>
  <c r="K21" i="166"/>
  <c r="I21" i="166"/>
  <c r="K19" i="166"/>
  <c r="I19" i="166"/>
  <c r="J40" i="167" l="1"/>
  <c r="O34" i="165"/>
  <c r="R34" i="165"/>
  <c r="H33" i="165"/>
  <c r="H35" i="165"/>
  <c r="H38" i="165"/>
  <c r="L23" i="165" l="1"/>
  <c r="J29" i="167" l="1"/>
  <c r="M29" i="167" s="1"/>
  <c r="O28" i="165"/>
  <c r="J28" i="165" s="1"/>
  <c r="I29" i="167" s="1"/>
  <c r="L29" i="167" s="1"/>
  <c r="E28" i="165"/>
  <c r="J23" i="167"/>
  <c r="M23" i="167" s="1"/>
  <c r="E44" i="170" l="1"/>
  <c r="P28" i="165"/>
  <c r="H29" i="167"/>
  <c r="K29" i="167" l="1"/>
  <c r="G29" i="167"/>
  <c r="G18" i="167" l="1"/>
  <c r="R18" i="165"/>
  <c r="H18" i="165"/>
  <c r="H17" i="165" s="1"/>
  <c r="G18" i="165"/>
  <c r="G17" i="165" s="1"/>
  <c r="M17" i="167" l="1"/>
  <c r="F23" i="153"/>
  <c r="H127" i="165"/>
  <c r="H112" i="165" s="1"/>
  <c r="G127" i="165"/>
  <c r="G112" i="165" s="1"/>
  <c r="O74" i="165" l="1"/>
  <c r="J74" i="165" s="1"/>
  <c r="I96" i="167" s="1"/>
  <c r="E74" i="165"/>
  <c r="H96" i="167" s="1"/>
  <c r="O73" i="165"/>
  <c r="J73" i="165" s="1"/>
  <c r="I95" i="167" s="1"/>
  <c r="E73" i="165"/>
  <c r="H95" i="167" s="1"/>
  <c r="O72" i="165"/>
  <c r="J72" i="165" s="1"/>
  <c r="I92" i="167" s="1"/>
  <c r="E72" i="165"/>
  <c r="H92" i="167" s="1"/>
  <c r="O71" i="165"/>
  <c r="J71" i="165" s="1"/>
  <c r="I90" i="167" s="1"/>
  <c r="F71" i="165"/>
  <c r="E71" i="165" s="1"/>
  <c r="H90" i="167" s="1"/>
  <c r="O70" i="165"/>
  <c r="J70" i="165" s="1"/>
  <c r="I89" i="167" s="1"/>
  <c r="E70" i="165"/>
  <c r="H89" i="167" s="1"/>
  <c r="O69" i="165"/>
  <c r="J69" i="165" s="1"/>
  <c r="I88" i="167" s="1"/>
  <c r="F69" i="165"/>
  <c r="E69" i="165" s="1"/>
  <c r="H88" i="167" s="1"/>
  <c r="O68" i="165"/>
  <c r="J68" i="165" s="1"/>
  <c r="I86" i="167" s="1"/>
  <c r="E68" i="165"/>
  <c r="H86" i="167" s="1"/>
  <c r="O67" i="165"/>
  <c r="J67" i="165" s="1"/>
  <c r="E67" i="165"/>
  <c r="O66" i="165"/>
  <c r="J66" i="165" s="1"/>
  <c r="I84" i="167" s="1"/>
  <c r="E66" i="165"/>
  <c r="H84" i="167" s="1"/>
  <c r="O65" i="165"/>
  <c r="J65" i="165" s="1"/>
  <c r="I83" i="167" s="1"/>
  <c r="E65" i="165"/>
  <c r="H83" i="167" s="1"/>
  <c r="O64" i="165"/>
  <c r="J64" i="165" s="1"/>
  <c r="I82" i="167" s="1"/>
  <c r="E64" i="165"/>
  <c r="H82" i="167" s="1"/>
  <c r="O63" i="165"/>
  <c r="J63" i="165" s="1"/>
  <c r="E63" i="165"/>
  <c r="O62" i="165"/>
  <c r="J62" i="165" s="1"/>
  <c r="E62" i="165"/>
  <c r="O61" i="165"/>
  <c r="J61" i="165" s="1"/>
  <c r="I79" i="167" s="1"/>
  <c r="E61" i="165"/>
  <c r="H79" i="167" s="1"/>
  <c r="O60" i="165"/>
  <c r="J60" i="165" s="1"/>
  <c r="I78" i="167" s="1"/>
  <c r="E60" i="165"/>
  <c r="H78" i="167" s="1"/>
  <c r="O59" i="165"/>
  <c r="J59" i="165" s="1"/>
  <c r="I77" i="167" s="1"/>
  <c r="E59" i="165"/>
  <c r="H77" i="167" s="1"/>
  <c r="O58" i="165"/>
  <c r="J58" i="165" s="1"/>
  <c r="I76" i="167" s="1"/>
  <c r="E58" i="165"/>
  <c r="H76" i="167" s="1"/>
  <c r="O57" i="165"/>
  <c r="J57" i="165" s="1"/>
  <c r="I75" i="167" s="1"/>
  <c r="F57" i="165"/>
  <c r="E57" i="165" s="1"/>
  <c r="H75" i="167" s="1"/>
  <c r="O56" i="165"/>
  <c r="J56" i="165" s="1"/>
  <c r="E56" i="165"/>
  <c r="P69" i="165" l="1"/>
  <c r="P67" i="165"/>
  <c r="P61" i="165"/>
  <c r="P66" i="165"/>
  <c r="P62" i="165"/>
  <c r="P63" i="165"/>
  <c r="P70" i="165"/>
  <c r="P71" i="165"/>
  <c r="P58" i="165"/>
  <c r="P59" i="165"/>
  <c r="P60" i="165"/>
  <c r="P56" i="165"/>
  <c r="P68" i="165"/>
  <c r="P64" i="165"/>
  <c r="P65" i="165"/>
  <c r="P72" i="165"/>
  <c r="P73" i="165"/>
  <c r="P74" i="165"/>
  <c r="P57" i="165"/>
  <c r="G178" i="167" l="1"/>
  <c r="I128" i="166"/>
  <c r="K124" i="166"/>
  <c r="I124" i="166"/>
  <c r="K123" i="166"/>
  <c r="K122" i="166"/>
  <c r="I122" i="166"/>
  <c r="K121" i="166"/>
  <c r="K120" i="166"/>
  <c r="K119" i="166"/>
  <c r="J116" i="166"/>
  <c r="J114" i="166"/>
  <c r="K113" i="166"/>
  <c r="I113" i="166"/>
  <c r="K110" i="166"/>
  <c r="K107" i="166"/>
  <c r="I107" i="166"/>
  <c r="K106" i="166"/>
  <c r="K104" i="166"/>
  <c r="I104" i="166"/>
  <c r="K100" i="166"/>
  <c r="I100" i="166"/>
  <c r="J99" i="166"/>
  <c r="K99" i="166" s="1"/>
  <c r="I99" i="166"/>
  <c r="J98" i="166"/>
  <c r="K98" i="166" s="1"/>
  <c r="I98" i="166"/>
  <c r="J95" i="166"/>
  <c r="J93" i="166" s="1"/>
  <c r="K88" i="166"/>
  <c r="I88" i="166"/>
  <c r="J84" i="166"/>
  <c r="J80" i="166" s="1"/>
  <c r="J79" i="166" s="1"/>
  <c r="R102" i="165" s="1"/>
  <c r="O161" i="165"/>
  <c r="J161" i="165" s="1"/>
  <c r="I198" i="167" s="1"/>
  <c r="E161" i="165"/>
  <c r="H198" i="167" s="1"/>
  <c r="J160" i="165"/>
  <c r="I197" i="167" s="1"/>
  <c r="E160" i="165"/>
  <c r="H197" i="167" s="1"/>
  <c r="O159" i="165"/>
  <c r="J159" i="165" s="1"/>
  <c r="E159" i="165"/>
  <c r="O156" i="165"/>
  <c r="J156" i="165" s="1"/>
  <c r="O155" i="165"/>
  <c r="J155" i="165" s="1"/>
  <c r="I193" i="167" s="1"/>
  <c r="E155" i="165"/>
  <c r="H193" i="167" s="1"/>
  <c r="J154" i="165"/>
  <c r="I192" i="167" s="1"/>
  <c r="E154" i="165"/>
  <c r="H192" i="167" s="1"/>
  <c r="J153" i="165"/>
  <c r="I191" i="167" s="1"/>
  <c r="E153" i="165"/>
  <c r="H191" i="167" s="1"/>
  <c r="H189" i="167" s="1"/>
  <c r="O152" i="165"/>
  <c r="E152" i="165"/>
  <c r="O144" i="165"/>
  <c r="J144" i="165" s="1"/>
  <c r="I179" i="167" s="1"/>
  <c r="E144" i="165"/>
  <c r="H179" i="167" s="1"/>
  <c r="H177" i="167" s="1"/>
  <c r="O143" i="165"/>
  <c r="J143" i="165" s="1"/>
  <c r="F143" i="165"/>
  <c r="E143" i="165" s="1"/>
  <c r="O142" i="165"/>
  <c r="J142" i="165" s="1"/>
  <c r="E142" i="165"/>
  <c r="O139" i="165"/>
  <c r="J139" i="165" s="1"/>
  <c r="E139" i="165"/>
  <c r="E127" i="165"/>
  <c r="J126" i="165"/>
  <c r="I163" i="167" s="1"/>
  <c r="E126" i="165"/>
  <c r="H163" i="167" s="1"/>
  <c r="E125" i="165"/>
  <c r="O123" i="165"/>
  <c r="J123" i="165" s="1"/>
  <c r="O122" i="165"/>
  <c r="J122" i="165" s="1"/>
  <c r="I158" i="167" s="1"/>
  <c r="E122" i="165"/>
  <c r="H158" i="167" s="1"/>
  <c r="O121" i="165"/>
  <c r="J121" i="165" s="1"/>
  <c r="I156" i="167" s="1"/>
  <c r="E121" i="165"/>
  <c r="H156" i="167" s="1"/>
  <c r="O120" i="165"/>
  <c r="J120" i="165" s="1"/>
  <c r="I154" i="167" s="1"/>
  <c r="E120" i="165"/>
  <c r="H154" i="167" s="1"/>
  <c r="O119" i="165"/>
  <c r="J119" i="165" s="1"/>
  <c r="I153" i="167" s="1"/>
  <c r="E119" i="165"/>
  <c r="H153" i="167" s="1"/>
  <c r="O118" i="165"/>
  <c r="J118" i="165" s="1"/>
  <c r="I151" i="167" s="1"/>
  <c r="E118" i="165"/>
  <c r="H151" i="167" s="1"/>
  <c r="O117" i="165"/>
  <c r="J117" i="165" s="1"/>
  <c r="I149" i="167" s="1"/>
  <c r="E117" i="165"/>
  <c r="H149" i="167" s="1"/>
  <c r="O116" i="165"/>
  <c r="J116" i="165" s="1"/>
  <c r="I148" i="167" s="1"/>
  <c r="E116" i="165"/>
  <c r="H148" i="167" s="1"/>
  <c r="O115" i="165"/>
  <c r="J115" i="165" s="1"/>
  <c r="I147" i="167" s="1"/>
  <c r="E115" i="165"/>
  <c r="H147" i="167" s="1"/>
  <c r="O114" i="165"/>
  <c r="J114" i="165" s="1"/>
  <c r="I146" i="167" s="1"/>
  <c r="E114" i="165"/>
  <c r="H146" i="167" s="1"/>
  <c r="O113" i="165"/>
  <c r="E113" i="165"/>
  <c r="M111" i="165"/>
  <c r="L111" i="165"/>
  <c r="K111" i="165"/>
  <c r="I111" i="165"/>
  <c r="H111" i="165"/>
  <c r="G111" i="165"/>
  <c r="F111" i="165"/>
  <c r="N111" i="165"/>
  <c r="O109" i="165"/>
  <c r="J109" i="165" s="1"/>
  <c r="I141" i="167" s="1"/>
  <c r="E109" i="165"/>
  <c r="H141" i="167" s="1"/>
  <c r="O108" i="165"/>
  <c r="J108" i="165" s="1"/>
  <c r="I140" i="167" s="1"/>
  <c r="E108" i="165"/>
  <c r="H140" i="167" s="1"/>
  <c r="O107" i="165"/>
  <c r="J107" i="165" s="1"/>
  <c r="I138" i="167" s="1"/>
  <c r="E107" i="165"/>
  <c r="H138" i="167" s="1"/>
  <c r="O106" i="165"/>
  <c r="J106" i="165" s="1"/>
  <c r="I136" i="167" s="1"/>
  <c r="E106" i="165"/>
  <c r="H136" i="167" s="1"/>
  <c r="O105" i="165"/>
  <c r="J105" i="165" s="1"/>
  <c r="I135" i="167" s="1"/>
  <c r="E105" i="165"/>
  <c r="H135" i="167" s="1"/>
  <c r="O104" i="165"/>
  <c r="J104" i="165" s="1"/>
  <c r="I134" i="167" s="1"/>
  <c r="E104" i="165"/>
  <c r="H134" i="167" s="1"/>
  <c r="O103" i="165"/>
  <c r="E103" i="165"/>
  <c r="M101" i="165"/>
  <c r="L101" i="165"/>
  <c r="K101" i="165"/>
  <c r="M130" i="167" s="1"/>
  <c r="H101" i="165"/>
  <c r="F101" i="165"/>
  <c r="N101" i="165"/>
  <c r="I101" i="165"/>
  <c r="G101" i="165"/>
  <c r="G134" i="167" l="1"/>
  <c r="G140" i="167"/>
  <c r="G147" i="167"/>
  <c r="G149" i="167"/>
  <c r="G153" i="167"/>
  <c r="G156" i="167"/>
  <c r="G136" i="167"/>
  <c r="E151" i="165"/>
  <c r="P156" i="165"/>
  <c r="I194" i="167"/>
  <c r="I189" i="167" s="1"/>
  <c r="J152" i="165"/>
  <c r="O151" i="165"/>
  <c r="J151" i="165" s="1"/>
  <c r="G151" i="167"/>
  <c r="E102" i="165"/>
  <c r="G148" i="167"/>
  <c r="G154" i="167"/>
  <c r="E112" i="165"/>
  <c r="E111" i="165" s="1"/>
  <c r="G158" i="167"/>
  <c r="G163" i="167"/>
  <c r="J103" i="165"/>
  <c r="P103" i="165" s="1"/>
  <c r="O102" i="165"/>
  <c r="O101" i="165" s="1"/>
  <c r="P123" i="165"/>
  <c r="I160" i="167"/>
  <c r="G160" i="167" s="1"/>
  <c r="H164" i="167"/>
  <c r="G164" i="167" s="1"/>
  <c r="P127" i="165"/>
  <c r="J113" i="165"/>
  <c r="P113" i="165" s="1"/>
  <c r="O112" i="165"/>
  <c r="H162" i="167"/>
  <c r="G162" i="167" s="1"/>
  <c r="P125" i="165"/>
  <c r="H131" i="167"/>
  <c r="H130" i="167" s="1"/>
  <c r="G135" i="167"/>
  <c r="G138" i="167"/>
  <c r="G146" i="167"/>
  <c r="G141" i="167"/>
  <c r="I131" i="167"/>
  <c r="I130" i="167" s="1"/>
  <c r="E101" i="165"/>
  <c r="P152" i="165"/>
  <c r="P153" i="165"/>
  <c r="J105" i="166"/>
  <c r="J111" i="166"/>
  <c r="P104" i="165"/>
  <c r="P105" i="165"/>
  <c r="P106" i="165"/>
  <c r="P159" i="165"/>
  <c r="P126" i="165"/>
  <c r="P154" i="165"/>
  <c r="G192" i="167"/>
  <c r="G198" i="167"/>
  <c r="P155" i="165"/>
  <c r="P139" i="165"/>
  <c r="P144" i="165"/>
  <c r="P107" i="165"/>
  <c r="P109" i="165"/>
  <c r="P114" i="165"/>
  <c r="P115" i="165"/>
  <c r="P116" i="165"/>
  <c r="P117" i="165"/>
  <c r="P118" i="165"/>
  <c r="P119" i="165"/>
  <c r="P120" i="165"/>
  <c r="P121" i="165"/>
  <c r="P122" i="165"/>
  <c r="P143" i="165"/>
  <c r="P160" i="165"/>
  <c r="G179" i="167"/>
  <c r="G191" i="167"/>
  <c r="G193" i="167"/>
  <c r="G197" i="167"/>
  <c r="P161" i="165"/>
  <c r="P142" i="165"/>
  <c r="P108" i="165"/>
  <c r="G194" i="167" l="1"/>
  <c r="G189" i="167" s="1"/>
  <c r="J91" i="166"/>
  <c r="R112" i="165" s="1"/>
  <c r="K130" i="167"/>
  <c r="G144" i="167"/>
  <c r="G131" i="167"/>
  <c r="G130" i="167" s="1"/>
  <c r="H144" i="167"/>
  <c r="H143" i="167" s="1"/>
  <c r="I144" i="167"/>
  <c r="I143" i="167" s="1"/>
  <c r="J102" i="165"/>
  <c r="J112" i="165"/>
  <c r="O111" i="165"/>
  <c r="J90" i="166" l="1"/>
  <c r="L143" i="167"/>
  <c r="K143" i="167"/>
  <c r="G143" i="167"/>
  <c r="J101" i="165"/>
  <c r="L130" i="167" s="1"/>
  <c r="P102" i="165"/>
  <c r="Q102" i="165" s="1"/>
  <c r="J111" i="165"/>
  <c r="P112" i="165"/>
  <c r="Q112" i="165" s="1"/>
  <c r="K147" i="166"/>
  <c r="I147" i="166"/>
  <c r="K142" i="166"/>
  <c r="I142" i="166"/>
  <c r="K140" i="166"/>
  <c r="I140" i="166"/>
  <c r="J139" i="166"/>
  <c r="I139" i="166"/>
  <c r="K138" i="166"/>
  <c r="I138" i="166"/>
  <c r="K137" i="166"/>
  <c r="I137" i="166"/>
  <c r="H135" i="166"/>
  <c r="I135" i="166" s="1"/>
  <c r="H134" i="166"/>
  <c r="K134" i="166" s="1"/>
  <c r="H133" i="166"/>
  <c r="K133" i="166" s="1"/>
  <c r="K132" i="166"/>
  <c r="I132" i="166"/>
  <c r="H131" i="166"/>
  <c r="K131" i="166" s="1"/>
  <c r="O136" i="165"/>
  <c r="J136" i="165" s="1"/>
  <c r="E136" i="165"/>
  <c r="O135" i="165"/>
  <c r="J135" i="165" s="1"/>
  <c r="E135" i="165"/>
  <c r="O134" i="165"/>
  <c r="J134" i="165" s="1"/>
  <c r="E134" i="165"/>
  <c r="O133" i="165"/>
  <c r="J133" i="165" s="1"/>
  <c r="E133" i="165"/>
  <c r="E132" i="165"/>
  <c r="O131" i="165"/>
  <c r="J131" i="165" s="1"/>
  <c r="E131" i="165"/>
  <c r="O130" i="165"/>
  <c r="J130" i="165" s="1"/>
  <c r="E130" i="165"/>
  <c r="N129" i="165"/>
  <c r="N128" i="165" s="1"/>
  <c r="M129" i="165"/>
  <c r="M128" i="165" s="1"/>
  <c r="L129" i="165"/>
  <c r="I129" i="165"/>
  <c r="I128" i="165" s="1"/>
  <c r="H128" i="165"/>
  <c r="G128" i="165"/>
  <c r="F129" i="165"/>
  <c r="F128" i="165" s="1"/>
  <c r="K139" i="166" l="1"/>
  <c r="J130" i="166"/>
  <c r="E129" i="165"/>
  <c r="E128" i="165" s="1"/>
  <c r="L128" i="165"/>
  <c r="O132" i="165"/>
  <c r="O129" i="165" s="1"/>
  <c r="J129" i="165" s="1"/>
  <c r="K129" i="165"/>
  <c r="K128" i="165" s="1"/>
  <c r="P111" i="165"/>
  <c r="P101" i="165"/>
  <c r="P136" i="165"/>
  <c r="P130" i="165"/>
  <c r="P131" i="165"/>
  <c r="K135" i="166"/>
  <c r="P134" i="165"/>
  <c r="P133" i="165"/>
  <c r="I134" i="166"/>
  <c r="P135" i="165"/>
  <c r="J129" i="166"/>
  <c r="I131" i="166"/>
  <c r="I133" i="166"/>
  <c r="J132" i="165" l="1"/>
  <c r="P132" i="165" s="1"/>
  <c r="R129" i="165"/>
  <c r="O128" i="165"/>
  <c r="J128" i="165" l="1"/>
  <c r="P129" i="165"/>
  <c r="Q129" i="165" s="1"/>
  <c r="P128" i="165" l="1"/>
  <c r="J35" i="167" l="1"/>
  <c r="N146" i="165" l="1"/>
  <c r="M146" i="165"/>
  <c r="L146" i="165"/>
  <c r="I146" i="165"/>
  <c r="H146" i="165"/>
  <c r="G146" i="165"/>
  <c r="J129" i="167" l="1"/>
  <c r="H129" i="167"/>
  <c r="L129" i="166" l="1"/>
  <c r="G187" i="167" l="1"/>
  <c r="G186" i="167"/>
  <c r="M185" i="167"/>
  <c r="G184" i="167"/>
  <c r="M183" i="167"/>
  <c r="G183" i="167"/>
  <c r="J182" i="167"/>
  <c r="J174" i="167"/>
  <c r="J173" i="167" s="1"/>
  <c r="J127" i="167"/>
  <c r="J126" i="167"/>
  <c r="J125" i="167"/>
  <c r="J124" i="167"/>
  <c r="J123" i="167"/>
  <c r="J120" i="167"/>
  <c r="J119" i="167"/>
  <c r="J118" i="167"/>
  <c r="J115" i="167"/>
  <c r="G111" i="167"/>
  <c r="G110" i="167"/>
  <c r="J109" i="167"/>
  <c r="G108" i="167"/>
  <c r="J107" i="167"/>
  <c r="J105" i="167"/>
  <c r="G106" i="167"/>
  <c r="J102" i="167"/>
  <c r="J101" i="167"/>
  <c r="G94" i="167"/>
  <c r="G93" i="167"/>
  <c r="G91" i="167"/>
  <c r="G87" i="167"/>
  <c r="J71" i="167"/>
  <c r="H71" i="167"/>
  <c r="G70" i="167"/>
  <c r="J66" i="167"/>
  <c r="J64" i="167"/>
  <c r="J62" i="167"/>
  <c r="J60" i="167"/>
  <c r="G59" i="167"/>
  <c r="J57" i="167"/>
  <c r="J51" i="167"/>
  <c r="J46" i="167"/>
  <c r="J45" i="167"/>
  <c r="G44" i="167"/>
  <c r="J43" i="167"/>
  <c r="J42" i="167"/>
  <c r="J41" i="167"/>
  <c r="G39" i="167"/>
  <c r="G36" i="167"/>
  <c r="G30" i="167"/>
  <c r="J28" i="167"/>
  <c r="M28" i="167" s="1"/>
  <c r="J27" i="167"/>
  <c r="M27" i="167" s="1"/>
  <c r="J26" i="167"/>
  <c r="M26" i="167" s="1"/>
  <c r="J24" i="167"/>
  <c r="M24" i="167" s="1"/>
  <c r="G21" i="167"/>
  <c r="G19" i="167"/>
  <c r="J160" i="166"/>
  <c r="J152" i="166"/>
  <c r="J151" i="166" s="1"/>
  <c r="J149" i="166"/>
  <c r="J148" i="166" s="1"/>
  <c r="K50" i="166"/>
  <c r="E170" i="165"/>
  <c r="O167" i="165"/>
  <c r="O166" i="165"/>
  <c r="O165" i="165"/>
  <c r="O164" i="165"/>
  <c r="G163" i="165"/>
  <c r="G162" i="165" s="1"/>
  <c r="E164" i="165"/>
  <c r="N163" i="165"/>
  <c r="N162" i="165" s="1"/>
  <c r="M163" i="165"/>
  <c r="M162" i="165" s="1"/>
  <c r="L163" i="165"/>
  <c r="L162" i="165" s="1"/>
  <c r="K163" i="165"/>
  <c r="K162" i="165" s="1"/>
  <c r="I163" i="165"/>
  <c r="I162" i="165" s="1"/>
  <c r="H163" i="165"/>
  <c r="H162" i="165" s="1"/>
  <c r="G158" i="165"/>
  <c r="G157" i="165" s="1"/>
  <c r="N158" i="165"/>
  <c r="N157" i="165" s="1"/>
  <c r="M158" i="165"/>
  <c r="M157" i="165" s="1"/>
  <c r="L158" i="165"/>
  <c r="L157" i="165" s="1"/>
  <c r="K157" i="165"/>
  <c r="I158" i="165"/>
  <c r="I157" i="165" s="1"/>
  <c r="F157" i="165"/>
  <c r="N151" i="165"/>
  <c r="N150" i="165" s="1"/>
  <c r="M151" i="165"/>
  <c r="M150" i="165" s="1"/>
  <c r="K151" i="165"/>
  <c r="I151" i="165"/>
  <c r="I150" i="165" s="1"/>
  <c r="H151" i="165"/>
  <c r="H150" i="165" s="1"/>
  <c r="G151" i="165"/>
  <c r="G150" i="165" s="1"/>
  <c r="O149" i="165"/>
  <c r="M186" i="167"/>
  <c r="O148" i="165"/>
  <c r="O147" i="165"/>
  <c r="E147" i="165"/>
  <c r="K146" i="165"/>
  <c r="N145" i="165"/>
  <c r="M145" i="165"/>
  <c r="I145" i="165"/>
  <c r="H145" i="165"/>
  <c r="G145" i="165"/>
  <c r="L145" i="165"/>
  <c r="G141" i="165"/>
  <c r="G140" i="165" s="1"/>
  <c r="N141" i="165"/>
  <c r="N140" i="165" s="1"/>
  <c r="M141" i="165"/>
  <c r="M140" i="165" s="1"/>
  <c r="L141" i="165"/>
  <c r="K141" i="165"/>
  <c r="I141" i="165"/>
  <c r="I140" i="165" s="1"/>
  <c r="H141" i="165"/>
  <c r="H140" i="165" s="1"/>
  <c r="N138" i="165"/>
  <c r="N137" i="165" s="1"/>
  <c r="M138" i="165"/>
  <c r="M137" i="165" s="1"/>
  <c r="L138" i="165"/>
  <c r="L137" i="165" s="1"/>
  <c r="K138" i="165"/>
  <c r="K137" i="165" s="1"/>
  <c r="I138" i="165"/>
  <c r="I137" i="165" s="1"/>
  <c r="F137" i="165"/>
  <c r="O99" i="165"/>
  <c r="O98" i="165"/>
  <c r="E98" i="165"/>
  <c r="O97" i="165"/>
  <c r="E97" i="165"/>
  <c r="O96" i="165"/>
  <c r="O95" i="165"/>
  <c r="J94" i="165"/>
  <c r="E94" i="165"/>
  <c r="O93" i="165"/>
  <c r="E93" i="165"/>
  <c r="O92" i="165"/>
  <c r="O91" i="165"/>
  <c r="E91" i="165"/>
  <c r="E90" i="165"/>
  <c r="H117" i="167" s="1"/>
  <c r="O89" i="165"/>
  <c r="E89" i="165"/>
  <c r="H116" i="167" s="1"/>
  <c r="O88" i="165"/>
  <c r="N86" i="165"/>
  <c r="M86" i="165"/>
  <c r="L86" i="165"/>
  <c r="I87" i="165"/>
  <c r="I86" i="165" s="1"/>
  <c r="O84" i="165"/>
  <c r="E84" i="165"/>
  <c r="E83" i="165"/>
  <c r="E82" i="165"/>
  <c r="O81" i="165"/>
  <c r="E81" i="165"/>
  <c r="H104" i="167" s="1"/>
  <c r="O80" i="165"/>
  <c r="E80" i="165"/>
  <c r="O79" i="165"/>
  <c r="H76" i="165"/>
  <c r="E78" i="165"/>
  <c r="H100" i="167" s="1"/>
  <c r="N76" i="165"/>
  <c r="M76" i="165"/>
  <c r="L76" i="165"/>
  <c r="G76" i="165"/>
  <c r="M55" i="165"/>
  <c r="M54" i="165" s="1"/>
  <c r="L55" i="165"/>
  <c r="L54" i="165" s="1"/>
  <c r="I55" i="165"/>
  <c r="I54" i="165" s="1"/>
  <c r="O53" i="165"/>
  <c r="J53" i="165" s="1"/>
  <c r="I71" i="167" s="1"/>
  <c r="E53" i="165"/>
  <c r="E52" i="165"/>
  <c r="O51" i="165"/>
  <c r="O50" i="165"/>
  <c r="E50" i="165"/>
  <c r="O49" i="165"/>
  <c r="O48" i="165"/>
  <c r="O47" i="165"/>
  <c r="E47" i="165"/>
  <c r="O46" i="165"/>
  <c r="E46" i="165"/>
  <c r="H55" i="167" s="1"/>
  <c r="O45" i="165"/>
  <c r="J44" i="165"/>
  <c r="E44" i="165"/>
  <c r="E43" i="165"/>
  <c r="H49" i="167" s="1"/>
  <c r="O42" i="165"/>
  <c r="N41" i="165"/>
  <c r="N40" i="165" s="1"/>
  <c r="M41" i="165"/>
  <c r="M40" i="165" s="1"/>
  <c r="L41" i="165"/>
  <c r="L40" i="165" s="1"/>
  <c r="I41" i="165"/>
  <c r="I40" i="165" s="1"/>
  <c r="O39" i="165"/>
  <c r="E39" i="165"/>
  <c r="O38" i="165"/>
  <c r="O37" i="165"/>
  <c r="O36" i="165"/>
  <c r="E36" i="165"/>
  <c r="E35" i="165"/>
  <c r="E34" i="165"/>
  <c r="H40" i="167" s="1"/>
  <c r="O33" i="165"/>
  <c r="J38" i="167"/>
  <c r="E33" i="165"/>
  <c r="E32" i="165"/>
  <c r="E31" i="165"/>
  <c r="H33" i="167" s="1"/>
  <c r="M30" i="165"/>
  <c r="M29" i="165" s="1"/>
  <c r="I30" i="165"/>
  <c r="I29" i="165" s="1"/>
  <c r="O27" i="165"/>
  <c r="O26" i="165"/>
  <c r="J25" i="165"/>
  <c r="E25" i="165"/>
  <c r="E23" i="165"/>
  <c r="H24" i="167" s="1"/>
  <c r="O22" i="165"/>
  <c r="E22" i="165"/>
  <c r="H23" i="167" s="1"/>
  <c r="O20" i="165"/>
  <c r="E18" i="165"/>
  <c r="N17" i="165"/>
  <c r="M17" i="165"/>
  <c r="I17" i="165"/>
  <c r="G16" i="165"/>
  <c r="J99" i="167" l="1"/>
  <c r="N16" i="165"/>
  <c r="I16" i="165"/>
  <c r="I168" i="165"/>
  <c r="I179" i="165" s="1"/>
  <c r="M16" i="165"/>
  <c r="M168" i="165"/>
  <c r="K150" i="165"/>
  <c r="R151" i="165"/>
  <c r="M173" i="167"/>
  <c r="K140" i="165"/>
  <c r="R141" i="165"/>
  <c r="R138" i="165"/>
  <c r="O77" i="165"/>
  <c r="H35" i="167"/>
  <c r="K23" i="167"/>
  <c r="J17" i="166"/>
  <c r="F146" i="165"/>
  <c r="F145" i="165" s="1"/>
  <c r="E77" i="165"/>
  <c r="I26" i="167"/>
  <c r="L26" i="167" s="1"/>
  <c r="J155" i="166"/>
  <c r="R146" i="165" s="1"/>
  <c r="G185" i="167"/>
  <c r="H182" i="167"/>
  <c r="H181" i="167" s="1"/>
  <c r="J49" i="165"/>
  <c r="E51" i="165"/>
  <c r="I182" i="167"/>
  <c r="I181" i="167" s="1"/>
  <c r="K76" i="165"/>
  <c r="E88" i="165"/>
  <c r="J88" i="165"/>
  <c r="J69" i="166"/>
  <c r="J26" i="165"/>
  <c r="J36" i="165"/>
  <c r="J97" i="165"/>
  <c r="L29" i="165"/>
  <c r="E45" i="165"/>
  <c r="H53" i="167" s="1"/>
  <c r="E165" i="165"/>
  <c r="J166" i="165"/>
  <c r="J177" i="167"/>
  <c r="J188" i="167"/>
  <c r="M188" i="167" s="1"/>
  <c r="J93" i="165"/>
  <c r="J148" i="165"/>
  <c r="O150" i="165"/>
  <c r="J82" i="165"/>
  <c r="J47" i="165"/>
  <c r="P53" i="165"/>
  <c r="J81" i="165"/>
  <c r="I104" i="167" s="1"/>
  <c r="J89" i="165"/>
  <c r="I116" i="167" s="1"/>
  <c r="H158" i="165"/>
  <c r="H157" i="165" s="1"/>
  <c r="E20" i="165"/>
  <c r="K19" i="167" s="1"/>
  <c r="E21" i="165"/>
  <c r="J22" i="165"/>
  <c r="I23" i="167" s="1"/>
  <c r="L23" i="167" s="1"/>
  <c r="E26" i="165"/>
  <c r="J27" i="165"/>
  <c r="J33" i="165"/>
  <c r="J35" i="165"/>
  <c r="J37" i="165"/>
  <c r="G41" i="165"/>
  <c r="G40" i="165" s="1"/>
  <c r="I51" i="167"/>
  <c r="E48" i="165"/>
  <c r="N55" i="165"/>
  <c r="N54" i="165" s="1"/>
  <c r="J79" i="165"/>
  <c r="H105" i="167"/>
  <c r="H107" i="167"/>
  <c r="J92" i="165"/>
  <c r="H125" i="167"/>
  <c r="J98" i="165"/>
  <c r="H169" i="167"/>
  <c r="H170" i="167"/>
  <c r="E138" i="165"/>
  <c r="E137" i="165" s="1"/>
  <c r="H174" i="167"/>
  <c r="H173" i="167" s="1"/>
  <c r="E148" i="165"/>
  <c r="J149" i="165"/>
  <c r="J164" i="165"/>
  <c r="J167" i="165"/>
  <c r="E27" i="165"/>
  <c r="J80" i="165"/>
  <c r="J84" i="165"/>
  <c r="H167" i="167"/>
  <c r="J147" i="165"/>
  <c r="P147" i="165" s="1"/>
  <c r="K24" i="167"/>
  <c r="N30" i="165"/>
  <c r="N29" i="165" s="1"/>
  <c r="J46" i="165"/>
  <c r="I55" i="167" s="1"/>
  <c r="J48" i="165"/>
  <c r="H64" i="167"/>
  <c r="J51" i="165"/>
  <c r="J83" i="165"/>
  <c r="E96" i="165"/>
  <c r="E99" i="165"/>
  <c r="G138" i="165"/>
  <c r="G137" i="165" s="1"/>
  <c r="L150" i="165"/>
  <c r="H171" i="167"/>
  <c r="O18" i="165"/>
  <c r="E37" i="165"/>
  <c r="J39" i="165"/>
  <c r="J45" i="165"/>
  <c r="I53" i="167" s="1"/>
  <c r="E79" i="165"/>
  <c r="E92" i="165"/>
  <c r="J95" i="165"/>
  <c r="H126" i="167"/>
  <c r="H172" i="167"/>
  <c r="J22" i="167"/>
  <c r="M22" i="167" s="1"/>
  <c r="F30" i="165"/>
  <c r="J38" i="165"/>
  <c r="F41" i="165"/>
  <c r="F40" i="165" s="1"/>
  <c r="H41" i="165"/>
  <c r="H40" i="165" s="1"/>
  <c r="K17" i="165"/>
  <c r="J20" i="165"/>
  <c r="H38" i="167"/>
  <c r="E38" i="165"/>
  <c r="H46" i="167"/>
  <c r="E42" i="165"/>
  <c r="J42" i="165"/>
  <c r="H57" i="167"/>
  <c r="E49" i="165"/>
  <c r="J50" i="165"/>
  <c r="G55" i="165"/>
  <c r="G54" i="165" s="1"/>
  <c r="G86" i="165"/>
  <c r="H86" i="165"/>
  <c r="J91" i="165"/>
  <c r="H120" i="167"/>
  <c r="I121" i="167"/>
  <c r="J96" i="165"/>
  <c r="J99" i="165"/>
  <c r="H168" i="167"/>
  <c r="H138" i="165"/>
  <c r="H137" i="165" s="1"/>
  <c r="E158" i="165"/>
  <c r="E157" i="165" s="1"/>
  <c r="G71" i="167"/>
  <c r="K183" i="167"/>
  <c r="H102" i="167"/>
  <c r="G37" i="167"/>
  <c r="G103" i="167"/>
  <c r="G122" i="167"/>
  <c r="J196" i="167"/>
  <c r="J195" i="167" s="1"/>
  <c r="M195" i="167" s="1"/>
  <c r="R149" i="165"/>
  <c r="J41" i="166"/>
  <c r="H51" i="167"/>
  <c r="P44" i="165"/>
  <c r="H41" i="167"/>
  <c r="H42" i="167"/>
  <c r="F141" i="165"/>
  <c r="F140" i="165" s="1"/>
  <c r="J31" i="165"/>
  <c r="I33" i="167" s="1"/>
  <c r="K41" i="165"/>
  <c r="L140" i="165"/>
  <c r="J23" i="165"/>
  <c r="I24" i="167" s="1"/>
  <c r="L17" i="165"/>
  <c r="L168" i="165" s="1"/>
  <c r="H26" i="167"/>
  <c r="P25" i="165"/>
  <c r="G30" i="165"/>
  <c r="K30" i="165"/>
  <c r="O43" i="165"/>
  <c r="H55" i="165"/>
  <c r="H54" i="165" s="1"/>
  <c r="F55" i="165"/>
  <c r="F54" i="165" s="1"/>
  <c r="H118" i="167"/>
  <c r="G17" i="167"/>
  <c r="H16" i="165"/>
  <c r="H30" i="165"/>
  <c r="E95" i="165"/>
  <c r="F86" i="165"/>
  <c r="K145" i="165"/>
  <c r="E149" i="165"/>
  <c r="H109" i="167"/>
  <c r="O90" i="165"/>
  <c r="O87" i="165" s="1"/>
  <c r="H121" i="167"/>
  <c r="P94" i="165"/>
  <c r="J172" i="167"/>
  <c r="F150" i="165"/>
  <c r="J165" i="165"/>
  <c r="O163" i="165"/>
  <c r="O162" i="165" s="1"/>
  <c r="J121" i="167"/>
  <c r="J68" i="167"/>
  <c r="O21" i="165"/>
  <c r="O52" i="165"/>
  <c r="J167" i="167"/>
  <c r="O141" i="165"/>
  <c r="O140" i="165" s="1"/>
  <c r="K55" i="165"/>
  <c r="O138" i="165"/>
  <c r="O146" i="165"/>
  <c r="O158" i="165"/>
  <c r="F163" i="165"/>
  <c r="F162" i="165" s="1"/>
  <c r="E166" i="165"/>
  <c r="G20" i="167"/>
  <c r="G74" i="167"/>
  <c r="J181" i="167"/>
  <c r="E87" i="165" l="1"/>
  <c r="E41" i="170"/>
  <c r="D53" i="170"/>
  <c r="D54" i="170"/>
  <c r="F168" i="165"/>
  <c r="E146" i="165"/>
  <c r="O17" i="165"/>
  <c r="J17" i="165" s="1"/>
  <c r="K16" i="165"/>
  <c r="K168" i="165"/>
  <c r="F29" i="165"/>
  <c r="E17" i="165"/>
  <c r="H29" i="165"/>
  <c r="H168" i="165"/>
  <c r="H179" i="165" s="1"/>
  <c r="G29" i="165"/>
  <c r="G168" i="165"/>
  <c r="N168" i="165"/>
  <c r="N179" i="165" s="1"/>
  <c r="M181" i="167"/>
  <c r="K173" i="167"/>
  <c r="J176" i="167"/>
  <c r="M177" i="167"/>
  <c r="H166" i="167"/>
  <c r="K166" i="167" s="1"/>
  <c r="E30" i="165"/>
  <c r="E29" i="165" s="1"/>
  <c r="R41" i="165"/>
  <c r="R17" i="165"/>
  <c r="P26" i="165"/>
  <c r="G23" i="167"/>
  <c r="I115" i="167"/>
  <c r="I105" i="167"/>
  <c r="G105" i="167" s="1"/>
  <c r="I62" i="167"/>
  <c r="P97" i="165"/>
  <c r="G80" i="167"/>
  <c r="P91" i="165"/>
  <c r="P46" i="165"/>
  <c r="P33" i="165"/>
  <c r="H66" i="167"/>
  <c r="I27" i="167"/>
  <c r="L27" i="167" s="1"/>
  <c r="F76" i="165"/>
  <c r="P84" i="165"/>
  <c r="I120" i="167"/>
  <c r="G120" i="167" s="1"/>
  <c r="P50" i="165"/>
  <c r="P82" i="165"/>
  <c r="P92" i="165"/>
  <c r="R77" i="165"/>
  <c r="P98" i="165"/>
  <c r="P35" i="165"/>
  <c r="P81" i="165"/>
  <c r="J34" i="165"/>
  <c r="I40" i="167" s="1"/>
  <c r="L185" i="167"/>
  <c r="G78" i="167"/>
  <c r="I42" i="167"/>
  <c r="G42" i="167" s="1"/>
  <c r="P164" i="165"/>
  <c r="H27" i="167"/>
  <c r="K27" i="167" s="1"/>
  <c r="G182" i="167"/>
  <c r="G181" i="167" s="1"/>
  <c r="P48" i="165"/>
  <c r="P47" i="165"/>
  <c r="P93" i="165"/>
  <c r="I57" i="167"/>
  <c r="G57" i="167" s="1"/>
  <c r="P167" i="165"/>
  <c r="P89" i="165"/>
  <c r="P83" i="165"/>
  <c r="P20" i="165"/>
  <c r="J78" i="165"/>
  <c r="I100" i="167" s="1"/>
  <c r="H115" i="167"/>
  <c r="G51" i="167"/>
  <c r="H196" i="167"/>
  <c r="H195" i="167" s="1"/>
  <c r="K195" i="167" s="1"/>
  <c r="P88" i="165"/>
  <c r="P37" i="165"/>
  <c r="G121" i="167"/>
  <c r="P36" i="165"/>
  <c r="H43" i="167"/>
  <c r="P49" i="165"/>
  <c r="H62" i="167"/>
  <c r="P165" i="165"/>
  <c r="P27" i="165"/>
  <c r="F52" i="170" s="1"/>
  <c r="K185" i="167"/>
  <c r="H28" i="167"/>
  <c r="K28" i="167" s="1"/>
  <c r="P22" i="165"/>
  <c r="P99" i="165"/>
  <c r="H124" i="167"/>
  <c r="P39" i="165"/>
  <c r="I125" i="167"/>
  <c r="G125" i="167" s="1"/>
  <c r="I102" i="167"/>
  <c r="G102" i="167" s="1"/>
  <c r="P79" i="165"/>
  <c r="H119" i="167"/>
  <c r="H101" i="167"/>
  <c r="H99" i="167" s="1"/>
  <c r="P148" i="165"/>
  <c r="I107" i="167"/>
  <c r="G107" i="167" s="1"/>
  <c r="H45" i="167"/>
  <c r="P45" i="165"/>
  <c r="I46" i="167"/>
  <c r="G46" i="167" s="1"/>
  <c r="J163" i="165"/>
  <c r="J162" i="165" s="1"/>
  <c r="J16" i="167"/>
  <c r="M15" i="167" s="1"/>
  <c r="P38" i="165"/>
  <c r="J98" i="167"/>
  <c r="M98" i="167" s="1"/>
  <c r="I64" i="167"/>
  <c r="G64" i="167" s="1"/>
  <c r="P42" i="165"/>
  <c r="M179" i="165"/>
  <c r="E86" i="165"/>
  <c r="G88" i="167"/>
  <c r="I123" i="167"/>
  <c r="J150" i="165"/>
  <c r="J32" i="165"/>
  <c r="I35" i="167" s="1"/>
  <c r="G35" i="167" s="1"/>
  <c r="E41" i="165"/>
  <c r="E40" i="165" s="1"/>
  <c r="G116" i="167"/>
  <c r="G89" i="167"/>
  <c r="G83" i="167"/>
  <c r="I43" i="167"/>
  <c r="I38" i="167"/>
  <c r="G38" i="167" s="1"/>
  <c r="H22" i="167"/>
  <c r="K22" i="167" s="1"/>
  <c r="J21" i="165"/>
  <c r="G79" i="167"/>
  <c r="L24" i="167"/>
  <c r="I124" i="167"/>
  <c r="I168" i="167"/>
  <c r="G77" i="167"/>
  <c r="I66" i="167"/>
  <c r="I60" i="167"/>
  <c r="G81" i="167"/>
  <c r="H60" i="167"/>
  <c r="H127" i="167"/>
  <c r="J90" i="165"/>
  <c r="I117" i="167" s="1"/>
  <c r="P51" i="165"/>
  <c r="P96" i="165"/>
  <c r="J32" i="167"/>
  <c r="J31" i="167" s="1"/>
  <c r="P80" i="165"/>
  <c r="I118" i="167"/>
  <c r="G118" i="167" s="1"/>
  <c r="J18" i="165"/>
  <c r="L17" i="167" s="1"/>
  <c r="G55" i="167"/>
  <c r="L183" i="167"/>
  <c r="I109" i="167"/>
  <c r="G109" i="167" s="1"/>
  <c r="I119" i="167"/>
  <c r="I101" i="167"/>
  <c r="J52" i="165"/>
  <c r="I127" i="167"/>
  <c r="I45" i="167"/>
  <c r="G92" i="167"/>
  <c r="L186" i="167"/>
  <c r="I126" i="167"/>
  <c r="G126" i="167" s="1"/>
  <c r="G86" i="167"/>
  <c r="G82" i="167"/>
  <c r="I41" i="167"/>
  <c r="G41" i="167" s="1"/>
  <c r="I28" i="167"/>
  <c r="L28" i="167" s="1"/>
  <c r="G104" i="167"/>
  <c r="G76" i="167"/>
  <c r="H188" i="167"/>
  <c r="K188" i="167" s="1"/>
  <c r="J62" i="166"/>
  <c r="J16" i="166"/>
  <c r="R30" i="165" s="1"/>
  <c r="J12" i="166"/>
  <c r="J154" i="166"/>
  <c r="J55" i="166"/>
  <c r="J73" i="167"/>
  <c r="J72" i="167" s="1"/>
  <c r="M72" i="167" s="1"/>
  <c r="P23" i="165"/>
  <c r="F32" i="108" s="1"/>
  <c r="K54" i="165"/>
  <c r="R55" i="165"/>
  <c r="R87" i="165"/>
  <c r="K86" i="165"/>
  <c r="J141" i="165"/>
  <c r="J140" i="165" s="1"/>
  <c r="E141" i="165"/>
  <c r="K177" i="167" s="1"/>
  <c r="P166" i="165"/>
  <c r="O137" i="165"/>
  <c r="J138" i="165"/>
  <c r="K29" i="165"/>
  <c r="J48" i="167"/>
  <c r="J47" i="167" s="1"/>
  <c r="O55" i="165"/>
  <c r="J114" i="167"/>
  <c r="J113" i="167" s="1"/>
  <c r="K186" i="167"/>
  <c r="P149" i="165"/>
  <c r="E55" i="165"/>
  <c r="J43" i="165"/>
  <c r="I49" i="167" s="1"/>
  <c r="O41" i="165"/>
  <c r="K26" i="167"/>
  <c r="G26" i="167"/>
  <c r="L16" i="165"/>
  <c r="O30" i="165"/>
  <c r="J30" i="165" s="1"/>
  <c r="O157" i="165"/>
  <c r="J158" i="165"/>
  <c r="E163" i="165"/>
  <c r="H123" i="167"/>
  <c r="P95" i="165"/>
  <c r="E76" i="165"/>
  <c r="F16" i="165"/>
  <c r="K40" i="165"/>
  <c r="P31" i="165"/>
  <c r="H114" i="167" l="1"/>
  <c r="E52" i="170"/>
  <c r="I99" i="167"/>
  <c r="J165" i="166"/>
  <c r="L165" i="166" s="1"/>
  <c r="P17" i="165"/>
  <c r="E168" i="165"/>
  <c r="E16" i="165"/>
  <c r="O168" i="165"/>
  <c r="H165" i="167"/>
  <c r="H98" i="167"/>
  <c r="K98" i="167" s="1"/>
  <c r="G115" i="167"/>
  <c r="J15" i="167"/>
  <c r="G62" i="167"/>
  <c r="I169" i="167"/>
  <c r="G169" i="167" s="1"/>
  <c r="P34" i="165"/>
  <c r="G66" i="167"/>
  <c r="G27" i="167"/>
  <c r="I167" i="167"/>
  <c r="G167" i="167" s="1"/>
  <c r="G40" i="167"/>
  <c r="P32" i="165"/>
  <c r="G53" i="167"/>
  <c r="O16" i="165"/>
  <c r="E145" i="165"/>
  <c r="K181" i="167" s="1"/>
  <c r="G177" i="167"/>
  <c r="G176" i="167" s="1"/>
  <c r="O76" i="165"/>
  <c r="J77" i="165"/>
  <c r="G24" i="167"/>
  <c r="G100" i="167"/>
  <c r="P78" i="165"/>
  <c r="H48" i="167"/>
  <c r="H47" i="167" s="1"/>
  <c r="K47" i="167" s="1"/>
  <c r="H32" i="167"/>
  <c r="H31" i="167" s="1"/>
  <c r="K31" i="167" s="1"/>
  <c r="G84" i="167"/>
  <c r="G28" i="167"/>
  <c r="G43" i="167"/>
  <c r="G45" i="167"/>
  <c r="G60" i="167"/>
  <c r="G85" i="167"/>
  <c r="G101" i="167"/>
  <c r="G124" i="167"/>
  <c r="G119" i="167"/>
  <c r="H16" i="167"/>
  <c r="M31" i="167"/>
  <c r="P18" i="165"/>
  <c r="G90" i="167"/>
  <c r="G123" i="167"/>
  <c r="G96" i="167"/>
  <c r="G127" i="167"/>
  <c r="I196" i="167"/>
  <c r="I195" i="167" s="1"/>
  <c r="L195" i="167" s="1"/>
  <c r="I174" i="167"/>
  <c r="I173" i="167" s="1"/>
  <c r="L173" i="167" s="1"/>
  <c r="G175" i="167"/>
  <c r="G174" i="167" s="1"/>
  <c r="G173" i="167" s="1"/>
  <c r="I171" i="167"/>
  <c r="M47" i="167"/>
  <c r="P21" i="165"/>
  <c r="L179" i="165"/>
  <c r="I188" i="167"/>
  <c r="L188" i="167" s="1"/>
  <c r="G196" i="167"/>
  <c r="G195" i="167" s="1"/>
  <c r="G117" i="167"/>
  <c r="P90" i="165"/>
  <c r="J168" i="167"/>
  <c r="G168" i="167"/>
  <c r="I170" i="167"/>
  <c r="G95" i="167"/>
  <c r="I177" i="167"/>
  <c r="I68" i="167"/>
  <c r="G68" i="167" s="1"/>
  <c r="I22" i="167"/>
  <c r="I16" i="167" s="1"/>
  <c r="L15" i="167" s="1"/>
  <c r="P52" i="165"/>
  <c r="I172" i="167"/>
  <c r="F179" i="165"/>
  <c r="G179" i="165"/>
  <c r="G188" i="167"/>
  <c r="O29" i="165"/>
  <c r="P43" i="165"/>
  <c r="K179" i="165"/>
  <c r="J137" i="165"/>
  <c r="P138" i="165"/>
  <c r="Q138" i="165" s="1"/>
  <c r="J16" i="165"/>
  <c r="E54" i="165"/>
  <c r="O54" i="165"/>
  <c r="J55" i="165"/>
  <c r="J54" i="165" s="1"/>
  <c r="H176" i="167"/>
  <c r="P141" i="165"/>
  <c r="Q141" i="165" s="1"/>
  <c r="E140" i="165"/>
  <c r="O145" i="165"/>
  <c r="J146" i="165"/>
  <c r="J87" i="165"/>
  <c r="O86" i="165"/>
  <c r="E162" i="165"/>
  <c r="P163" i="165"/>
  <c r="Q163" i="165" s="1"/>
  <c r="G33" i="167"/>
  <c r="E150" i="165"/>
  <c r="P151" i="165"/>
  <c r="Q151" i="165" s="1"/>
  <c r="J157" i="165"/>
  <c r="P158" i="165"/>
  <c r="Q158" i="165" s="1"/>
  <c r="H113" i="167"/>
  <c r="O40" i="165"/>
  <c r="J41" i="165"/>
  <c r="H73" i="167"/>
  <c r="H72" i="167" s="1"/>
  <c r="K72" i="167" s="1"/>
  <c r="G99" i="167" l="1"/>
  <c r="G32" i="108"/>
  <c r="J168" i="165"/>
  <c r="J179" i="165" s="1"/>
  <c r="H15" i="167"/>
  <c r="K15" i="167" s="1"/>
  <c r="H199" i="167"/>
  <c r="F180" i="165"/>
  <c r="E188" i="165"/>
  <c r="Q17" i="165"/>
  <c r="P16" i="165"/>
  <c r="I176" i="167"/>
  <c r="L177" i="167"/>
  <c r="I166" i="167"/>
  <c r="L166" i="167" s="1"/>
  <c r="G98" i="167"/>
  <c r="G32" i="167"/>
  <c r="G31" i="167" s="1"/>
  <c r="L22" i="167"/>
  <c r="J169" i="167"/>
  <c r="J76" i="165"/>
  <c r="P77" i="165"/>
  <c r="Q77" i="165" s="1"/>
  <c r="I98" i="167"/>
  <c r="L98" i="167" s="1"/>
  <c r="I32" i="167"/>
  <c r="I31" i="167" s="1"/>
  <c r="L31" i="167" s="1"/>
  <c r="G22" i="167"/>
  <c r="G16" i="167" s="1"/>
  <c r="I73" i="167"/>
  <c r="I72" i="167" s="1"/>
  <c r="L72" i="167" s="1"/>
  <c r="Q168" i="165"/>
  <c r="G172" i="167"/>
  <c r="G75" i="167"/>
  <c r="O179" i="165"/>
  <c r="G171" i="167"/>
  <c r="J171" i="167"/>
  <c r="J170" i="167"/>
  <c r="G170" i="167"/>
  <c r="P150" i="165"/>
  <c r="J145" i="165"/>
  <c r="L181" i="167" s="1"/>
  <c r="P146" i="165"/>
  <c r="Q146" i="165" s="1"/>
  <c r="P157" i="165"/>
  <c r="P162" i="165"/>
  <c r="P137" i="165"/>
  <c r="I48" i="167"/>
  <c r="I47" i="167" s="1"/>
  <c r="G49" i="167"/>
  <c r="G48" i="167" s="1"/>
  <c r="G47" i="167" s="1"/>
  <c r="E180" i="165"/>
  <c r="E179" i="165"/>
  <c r="J40" i="165"/>
  <c r="P41" i="165"/>
  <c r="Q41" i="165" s="1"/>
  <c r="J86" i="165"/>
  <c r="P87" i="165"/>
  <c r="Q87" i="165" s="1"/>
  <c r="P140" i="165"/>
  <c r="P55" i="165"/>
  <c r="Q55" i="165" s="1"/>
  <c r="J29" i="165"/>
  <c r="P30" i="165"/>
  <c r="Q30" i="165" s="1"/>
  <c r="P168" i="165" l="1"/>
  <c r="R168" i="165" s="1"/>
  <c r="G15" i="167"/>
  <c r="G166" i="167"/>
  <c r="G165" i="167" s="1"/>
  <c r="I165" i="167"/>
  <c r="J166" i="167"/>
  <c r="G73" i="167"/>
  <c r="G72" i="167" s="1"/>
  <c r="I15" i="167"/>
  <c r="P76" i="165"/>
  <c r="L47" i="167"/>
  <c r="P40" i="165"/>
  <c r="P29" i="165"/>
  <c r="P54" i="165"/>
  <c r="P86" i="165"/>
  <c r="P145" i="165"/>
  <c r="F182" i="165" l="1"/>
  <c r="M166" i="167"/>
  <c r="J199" i="167"/>
  <c r="J165" i="167"/>
  <c r="P180" i="165" l="1"/>
  <c r="K171" i="153" l="1"/>
  <c r="G23" i="153"/>
  <c r="I129" i="167" l="1"/>
  <c r="G129" i="167" l="1"/>
  <c r="G114" i="167" s="1"/>
  <c r="G199" i="167" s="1"/>
  <c r="I114" i="167"/>
  <c r="I199" i="167" s="1"/>
  <c r="K199" i="167" l="1"/>
  <c r="I113" i="167"/>
  <c r="G113" i="167"/>
  <c r="M16" i="107" l="1"/>
  <c r="O16" i="107"/>
  <c r="K13" i="107" l="1"/>
  <c r="Q16" i="107"/>
  <c r="G136" i="107" l="1"/>
  <c r="F135" i="108"/>
  <c r="G135" i="107"/>
  <c r="F134" i="108"/>
  <c r="G133" i="107"/>
  <c r="F132" i="108"/>
  <c r="F133" i="108"/>
  <c r="G134" i="107"/>
  <c r="G131" i="107"/>
  <c r="F130" i="108"/>
  <c r="G132" i="107"/>
  <c r="F131" i="108"/>
  <c r="G129" i="107"/>
  <c r="F128" i="108"/>
  <c r="G128" i="107"/>
  <c r="F127" i="108"/>
  <c r="G127" i="107"/>
  <c r="F126" i="108"/>
  <c r="G126" i="107"/>
  <c r="F125" i="108"/>
  <c r="G125" i="107"/>
  <c r="F124" i="108"/>
  <c r="G124" i="107"/>
  <c r="F123" i="108"/>
  <c r="G123" i="107"/>
  <c r="F122" i="108"/>
  <c r="G122" i="107"/>
  <c r="F121" i="108"/>
  <c r="G121" i="107"/>
  <c r="F120" i="108"/>
  <c r="G120" i="107"/>
  <c r="F119" i="108"/>
  <c r="G119" i="107"/>
  <c r="F118" i="108"/>
  <c r="G117" i="107"/>
  <c r="F116" i="108"/>
  <c r="G77" i="107"/>
  <c r="G75" i="107"/>
  <c r="G74" i="107"/>
  <c r="G73" i="107"/>
  <c r="G72" i="107"/>
  <c r="G70" i="107"/>
  <c r="G69" i="107"/>
  <c r="G68" i="107"/>
  <c r="G67" i="107"/>
  <c r="G66" i="107"/>
  <c r="G65" i="107"/>
  <c r="G64" i="107"/>
  <c r="G63" i="107"/>
  <c r="G62" i="107"/>
  <c r="G61" i="107"/>
  <c r="G60" i="107"/>
  <c r="G59" i="107"/>
  <c r="G58" i="107"/>
  <c r="G57" i="107"/>
  <c r="G56" i="107"/>
  <c r="G55" i="107"/>
  <c r="G54" i="107"/>
  <c r="G53" i="107"/>
  <c r="G52" i="107"/>
  <c r="G50" i="107"/>
  <c r="G28" i="107"/>
  <c r="G27" i="107"/>
  <c r="G26" i="107"/>
  <c r="G25" i="107"/>
  <c r="G24" i="107"/>
  <c r="G15" i="107"/>
  <c r="G144" i="107"/>
  <c r="F143" i="108"/>
  <c r="K163" i="107"/>
  <c r="J162" i="108"/>
  <c r="K12" i="107" l="1"/>
  <c r="K17" i="107" s="1"/>
  <c r="L13" i="107"/>
  <c r="L12" i="107" s="1"/>
  <c r="L17" i="107" s="1"/>
  <c r="J13" i="107"/>
  <c r="J12" i="107" s="1"/>
  <c r="J17" i="107" s="1"/>
  <c r="G13" i="107"/>
  <c r="G12" i="107" s="1"/>
  <c r="H13" i="107"/>
  <c r="H12" i="107" s="1"/>
  <c r="F13" i="107"/>
  <c r="O14" i="107"/>
  <c r="O17" i="107" s="1"/>
  <c r="N14" i="107"/>
  <c r="M14" i="107"/>
  <c r="L113" i="167" l="1"/>
  <c r="G17" i="107"/>
  <c r="M113" i="167"/>
  <c r="H17" i="107"/>
  <c r="O13" i="107"/>
  <c r="O12" i="107" s="1"/>
  <c r="Q14" i="107"/>
  <c r="N15" i="107" l="1"/>
  <c r="N17" i="107" s="1"/>
  <c r="N13" i="107" l="1"/>
  <c r="N12" i="107" s="1"/>
  <c r="F12" i="107"/>
  <c r="K113" i="167" s="1"/>
  <c r="F17" i="107" l="1"/>
  <c r="P170" i="165" s="1"/>
  <c r="D18" i="108"/>
  <c r="D21" i="108" s="1"/>
  <c r="E32" i="108" s="1"/>
  <c r="P179" i="165" l="1"/>
  <c r="Q170" i="165"/>
  <c r="M15" i="107"/>
  <c r="M13" i="107" s="1"/>
  <c r="M12" i="107" s="1"/>
  <c r="M17" i="107" s="1"/>
  <c r="Q15" i="107" l="1"/>
  <c r="Q13" i="107" l="1"/>
  <c r="Q17" i="107"/>
  <c r="Q12" i="107"/>
</calcChain>
</file>

<file path=xl/comments1.xml><?xml version="1.0" encoding="utf-8"?>
<comments xmlns="http://schemas.openxmlformats.org/spreadsheetml/2006/main">
  <authors>
    <author>Ковтун Денис Леонідович</author>
  </authors>
  <commentList>
    <comment ref="G24" authorId="0" shapeId="0">
      <text>
        <r>
          <rPr>
            <b/>
            <sz val="9"/>
            <color indexed="81"/>
            <rFont val="Tahoma"/>
            <family val="2"/>
            <charset val="204"/>
          </rPr>
          <t>Ковтун Денис Леонідович: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96" authorId="0" shapeId="0">
      <text>
        <r>
          <rPr>
            <b/>
            <sz val="9"/>
            <color indexed="81"/>
            <rFont val="Tahoma"/>
            <family val="2"/>
            <charset val="204"/>
          </rPr>
          <t>Ковтун Денис Леонідович: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141" authorId="0" shapeId="0">
      <text>
        <r>
          <rPr>
            <b/>
            <sz val="9"/>
            <color indexed="81"/>
            <rFont val="Tahoma"/>
            <family val="2"/>
            <charset val="204"/>
          </rPr>
          <t>Ковтун Денис Леонідович: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<sst xmlns="http://schemas.openxmlformats.org/spreadsheetml/2006/main" count="2667" uniqueCount="919">
  <si>
    <t>Департамент освіти та науки Хмельницької міської ради (головний розпорядник)</t>
  </si>
  <si>
    <t>Департамент освіти та науки Хмельницької міської ради (відповідальний виконавець)</t>
  </si>
  <si>
    <t>1</t>
  </si>
  <si>
    <t>2</t>
  </si>
  <si>
    <t>Проведення навчально-тренувальних зборів і змагань з неолімпійських видів спорту</t>
  </si>
  <si>
    <t>4</t>
  </si>
  <si>
    <t>Надання пільг окремим категоріям громадян з оплати послуг зв'язку</t>
  </si>
  <si>
    <t>Компенсаційні виплати на пільговий проїзд автомобільним транспортом окремим категоріям громадян</t>
  </si>
  <si>
    <t>Компенсаційні виплати за пільговий проїзд окремих категорій громадян на залізничному транспорті</t>
  </si>
  <si>
    <t>Компенсаційні виплати на пільговий проїзд електротранспортом окремим категоріям громадян</t>
  </si>
  <si>
    <t>Утримання клубів для підлітків за місцем проживання</t>
  </si>
  <si>
    <t>Разом</t>
  </si>
  <si>
    <t>Загальний фонд</t>
  </si>
  <si>
    <t>з них</t>
  </si>
  <si>
    <t>3</t>
  </si>
  <si>
    <t>комунальні послуги та енергоносії</t>
  </si>
  <si>
    <t>Код ФКВКБ</t>
  </si>
  <si>
    <t>Реконструкція існуючої будівлі краєзнавчого музею під музейний комплекс історії та культури по вул.Свободи,22 в м.Хмельницькому</t>
  </si>
  <si>
    <t>1011100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</si>
  <si>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</si>
  <si>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Управління охорони здоров'я Хмельницької міської ради (головний розпорядник)</t>
  </si>
  <si>
    <t>Багатопрофільна стаціонарна медична допомога населенню</t>
  </si>
  <si>
    <t>Код ТПКВКМБ /
ТКВКБМС</t>
  </si>
  <si>
    <t>1110000</t>
  </si>
  <si>
    <t>1100000</t>
  </si>
  <si>
    <t>Управління молоді та спорту Хмельницької міської ради (головний розпорядник)</t>
  </si>
  <si>
    <t>Управління культури і туризму Хмельницької міської ради (головний розпорядник)</t>
  </si>
  <si>
    <t>1500000</t>
  </si>
  <si>
    <t>1510000</t>
  </si>
  <si>
    <t>Фінансове управління Хмельницької міської ради (головний розпорядник)</t>
  </si>
  <si>
    <t>1115031</t>
  </si>
  <si>
    <t>1115032</t>
  </si>
  <si>
    <t>1115061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</si>
  <si>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</si>
  <si>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1115063</t>
  </si>
  <si>
    <t>Забезпечення діяльності централізованої бухгалтерії</t>
  </si>
  <si>
    <t>Проведення інформаційних заходів з організації проведення аукціонів</t>
  </si>
  <si>
    <t>Виготовлення документації із землеустрою</t>
  </si>
  <si>
    <t>Внески до статутного капіталу суб’єктів господарювання</t>
  </si>
  <si>
    <t>Управління молоді та спорту Хмельницької міської ради (відповідальний виконавець)</t>
  </si>
  <si>
    <t>Управління охорони здоров'я Хмельницької міської ради (відповідальний виконавець)</t>
  </si>
  <si>
    <t>Управління праці та соціального захисту населення Хмельницької міської ради (головний розпорядник)</t>
  </si>
  <si>
    <t>Управління праці та соціального захисту населення Хмельницької міської ради (відповідальний виконавець)</t>
  </si>
  <si>
    <t>Управління культури і туризму Хмельницької міської ради (відповідальний виконавець)</t>
  </si>
  <si>
    <t>Фінансове управління Хмельницької міської ради (відповідальний виконавець)</t>
  </si>
  <si>
    <t>Заходи з енергозбереження</t>
  </si>
  <si>
    <t>0133</t>
  </si>
  <si>
    <t>0180</t>
  </si>
  <si>
    <t>1115011</t>
  </si>
  <si>
    <t>Проведення навчально-тренувальних зборів і змагань з олімпійських видів спорту</t>
  </si>
  <si>
    <t>1115012</t>
  </si>
  <si>
    <t>1115022</t>
  </si>
  <si>
    <t>Утримання та навчально-тренувальна робота комунальних дитячо-юнацьких спортивних шкіл</t>
  </si>
  <si>
    <t>Фінансова підтримка дитячо-юнацьких спортивних шкіл фізкультурно-спортивних товариств</t>
  </si>
  <si>
    <t>1060</t>
  </si>
  <si>
    <t>Всього, в т.ч.:</t>
  </si>
  <si>
    <t>0511</t>
  </si>
  <si>
    <t>Охорона та раціональне використання природних ресурсів</t>
  </si>
  <si>
    <t>0540</t>
  </si>
  <si>
    <t>Спеціальний фонд</t>
  </si>
  <si>
    <t>видатки споживання</t>
  </si>
  <si>
    <t>оплата праці</t>
  </si>
  <si>
    <t>видатки розвитку</t>
  </si>
  <si>
    <t>Капітальні видатки</t>
  </si>
  <si>
    <t>Додаток 1</t>
  </si>
  <si>
    <t>( грн.)</t>
  </si>
  <si>
    <t>Код</t>
  </si>
  <si>
    <t>Найменування згідно
 з класифікацією доходів бюджету</t>
  </si>
  <si>
    <t>Податкові надходження</t>
  </si>
  <si>
    <t>Податки на доходи, податки на прибуток, податки на збільшення ринкової вартості</t>
  </si>
  <si>
    <t xml:space="preserve">Податок на доходи фізичних осіб </t>
  </si>
  <si>
    <t xml:space="preserve">Податок на  доходи фізичних осіб, що сплачуються податковими агентами, із доходів платника податку у вигляді заробітної плати </t>
  </si>
  <si>
    <t xml:space="preserve">Податок на  доходи 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 </t>
  </si>
  <si>
    <t xml:space="preserve">Податок на доходи фізичних осіб, що сплачується податковими агентами, із доходів платника податку інших ніж заробітна плата </t>
  </si>
  <si>
    <t xml:space="preserve">Податок на доходи доходів фізичних осіб, що сплачуються фізичними особами за результатами річного декларування </t>
  </si>
  <si>
    <t>Податок на прибуток підприємств</t>
  </si>
  <si>
    <t xml:space="preserve"> Податок на прибуток підприємств та фінансових установ комунальної власності </t>
  </si>
  <si>
    <t xml:space="preserve">Акцизний податок з реалізації суб"єктами господарювання роздрібної торгівлі підакцизних товарів </t>
  </si>
  <si>
    <t>Місцеві  податки і збори</t>
  </si>
  <si>
    <t>Податок на майно</t>
  </si>
  <si>
    <t xml:space="preserve">Податок на нерухоме майно, відмінне від земельної ділянки, сплачений юридичними особами, які є власниками об"єктів житлової нерухомості   </t>
  </si>
  <si>
    <t xml:space="preserve">Податок на нерухоме майно, відмінне від земельної ділянки, сплачений фізичними  особами, які є власниками об"єктів житлової нерухомості   </t>
  </si>
  <si>
    <t xml:space="preserve">Податок на нерухоме майно, відмінне від земельної ділянки, сплачений фізичними  особами, які є власниками об"єктів нежитлової нерухомості   </t>
  </si>
  <si>
    <t xml:space="preserve">Податок на нерухоме майно, відмінне від земельної ділянки, сплачений юридичними особами, які є власниками об"єктів нежитлової нерухомості   </t>
  </si>
  <si>
    <t>Земельний податок з юридичних осіб</t>
  </si>
  <si>
    <t>Орендна плата з юридичних осіб</t>
  </si>
  <si>
    <t>Земельний податок з фізичних осіб</t>
  </si>
  <si>
    <t>Орендна плата з фізичних осіб</t>
  </si>
  <si>
    <t>Транспортний податок з фізичних  осіб</t>
  </si>
  <si>
    <t>Транспортний податок з юридичних осіб</t>
  </si>
  <si>
    <t xml:space="preserve">Туристичний збір </t>
  </si>
  <si>
    <t xml:space="preserve">Туристичний збір, сплачений юридичними особами  </t>
  </si>
  <si>
    <t xml:space="preserve">Туристичний збір, сплачений фізичними особами  </t>
  </si>
  <si>
    <t xml:space="preserve">Єдиний податок  </t>
  </si>
  <si>
    <t xml:space="preserve">Єдиний податок  з юридичних осіб
</t>
  </si>
  <si>
    <t>Єдиний податок  з фізичних осіб</t>
  </si>
  <si>
    <t xml:space="preserve">Екологічний податок </t>
  </si>
  <si>
    <t>Надходження від скидів забруднюючих речовин безпосередньо у водні об"єкти</t>
  </si>
  <si>
    <t xml:space="preserve">Надходження від розміщення відходів у спеціально відведених місцях чи на об"єктах, крім розміщення окремих видів відходів як вторинної сировини </t>
  </si>
  <si>
    <t>Неподаткові надходження</t>
  </si>
  <si>
    <t>Частина чистого прибутку (доходу)  комунальних унітарних підприємств та їх об"єднань, що вилучається до відповідного місцевого бюджету</t>
  </si>
  <si>
    <t xml:space="preserve">Плата за розміщення тимчасово вільних коштів </t>
  </si>
  <si>
    <t xml:space="preserve">Надходження від штрафів та фінансових санкцій </t>
  </si>
  <si>
    <t>Адміністративні штрафи та інші санкції</t>
  </si>
  <si>
    <t>Адміністративні штрафи та штрафні санкції за порушення законодавства у сфері виробництва та обігу алкогольних напоїв та тютюнових виробів</t>
  </si>
  <si>
    <t>Адміністративні збори та платежі, доходи від некомерційної господарської діяльності</t>
  </si>
  <si>
    <t xml:space="preserve">Адміністративний збір за державну реєстрацію речових прав на нерухоме майно та їх обтяжень </t>
  </si>
  <si>
    <t xml:space="preserve">Плата за надання інших адміністративних послуг </t>
  </si>
  <si>
    <t xml:space="preserve">Надходження від орендної плати за користування цілісним майновим комплексом та іншим майном, що перебуває в комунальній власності </t>
  </si>
  <si>
    <t xml:space="preserve">Державне мито 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</si>
  <si>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</si>
  <si>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Державне мито, пов`язане з видачею та оформленням закордонних паспортів (посвідок) та паспортів громадян України</t>
  </si>
  <si>
    <t>Інші неподаткові надходження</t>
  </si>
  <si>
    <t xml:space="preserve">Інші надходження </t>
  </si>
  <si>
    <t xml:space="preserve">Надходження коштів пайової участі у розвитку інфраструктури населеного пункту </t>
  </si>
  <si>
    <t>Власні надходження бюджетних установ</t>
  </si>
  <si>
    <t>Надходження від плати за послуги, що надаються бюджетними установами згідно із законодавством</t>
  </si>
  <si>
    <t>Плата за послуги, що надаються бюджетними установами згідно з їх основною діяльністю</t>
  </si>
  <si>
    <t>Надходження бюджетних установ від додаткової (господарської)  діяльності</t>
  </si>
  <si>
    <t>Плата за оренду майна бюджетних установ</t>
  </si>
  <si>
    <t>Надходження  бюджетних установ від реалізації в установленому порядку майна (крім нерухомого майна)</t>
  </si>
  <si>
    <t>Доходи від операцій з капіталом</t>
  </si>
  <si>
    <t>Надходження від продажу основного капіталу</t>
  </si>
  <si>
    <t xml:space="preserve">Кошти від реалізації безхазяйного майна,знахідок, спадкового майна, майна, одержаного територіальною громадою в порядку спадкування чи дарування, а також валютні цінності і грошові кошти, власники яких невідомі </t>
  </si>
  <si>
    <t xml:space="preserve">Кошти  від відчуження майна, яке належить  Автономній Республіці Крим та майна, що знаходиться у комунальній власності </t>
  </si>
  <si>
    <t>Надходження від продажу землі і нематеріальних активів</t>
  </si>
  <si>
    <t xml:space="preserve">Кошти від продажу землі </t>
  </si>
  <si>
    <t>Кошти від продажу прав на земельні ділянки несільськогосподарського призначення, що перебувають у державній або комунальній власності</t>
  </si>
  <si>
    <t xml:space="preserve">Цільові фонди, утворені Верховною радою Автономної Республіки Крим, органами місцевого самоврядування та місцевими органами виконавчої влади </t>
  </si>
  <si>
    <t xml:space="preserve">Субвенції  </t>
  </si>
  <si>
    <t xml:space="preserve">Освітня субвенція з державного бюджету місцевим бюджетам </t>
  </si>
  <si>
    <t>Додаток 2</t>
  </si>
  <si>
    <t>200000</t>
  </si>
  <si>
    <t>Внутрішнє фінансування</t>
  </si>
  <si>
    <t>208100</t>
  </si>
  <si>
    <t>На початок періоду</t>
  </si>
  <si>
    <t>На кінець періоду</t>
  </si>
  <si>
    <t>Передача коштів із загального до бюджету розвитку (спеціального фонду)</t>
  </si>
  <si>
    <t xml:space="preserve">Фінансування за борговими операціями </t>
  </si>
  <si>
    <t xml:space="preserve">Запозичення </t>
  </si>
  <si>
    <t>600000</t>
  </si>
  <si>
    <t>Фінансування за активними операціями</t>
  </si>
  <si>
    <t>Зміни обсягів готівкових коштів на початок періоду</t>
  </si>
  <si>
    <t>Зміни обсягів готівкових коштів на кінець періоду</t>
  </si>
  <si>
    <t>Надання кредитів</t>
  </si>
  <si>
    <t>Повернення кредитів</t>
  </si>
  <si>
    <t>Хмельницької міської ради</t>
  </si>
  <si>
    <t xml:space="preserve">Пункти Положення </t>
  </si>
  <si>
    <t>Джерела доходів</t>
  </si>
  <si>
    <t>2.1.1.</t>
  </si>
  <si>
    <t>Кошти за надлишки загальної житлової площі при приватизації державного житлового фонду</t>
  </si>
  <si>
    <t>2.1.2.</t>
  </si>
  <si>
    <t>Кошти за тимчасове користування місцями для розміщення зовнішньої реклами</t>
  </si>
  <si>
    <t>2.1.3.</t>
  </si>
  <si>
    <t>Надходження коштів від забудовників, які без відповідного дозволу здійснили або здійснюють роботи по будівництву, реконструкції, реставрації, капітальному ремонту об"єктів містобудування</t>
  </si>
  <si>
    <t>2.1.5.</t>
  </si>
  <si>
    <t xml:space="preserve">Надходження плати за виготовлення бланків і видачу свідоцтв про право власності на житлове (житлові) приміщення у гуртожитку </t>
  </si>
  <si>
    <t xml:space="preserve">Всього по джерелах доходів : </t>
  </si>
  <si>
    <t>Видатки</t>
  </si>
  <si>
    <t>3.2.1.</t>
  </si>
  <si>
    <t>Фінансове забезпечення проведення міських заходів виконавчим комітетом Хмельницької міської ради та управліннями і відділами міської ради</t>
  </si>
  <si>
    <t>3.2.3.</t>
  </si>
  <si>
    <t>Матеріальне забезпечення проведення сесій міської ради, депутатських днів та інших організаційних заходів з діяльності депутатів міської ради</t>
  </si>
  <si>
    <t>3.2.5.</t>
  </si>
  <si>
    <t>3.2.6.</t>
  </si>
  <si>
    <t>Виплата винагороди головам квартальних комітетів</t>
  </si>
  <si>
    <t>3.2.7.</t>
  </si>
  <si>
    <t xml:space="preserve">Спрямування коштів на житлове будівництво, реконструкцію та на ремонт житла всіх форм власності, в т.ч. будинків житлово-будівельних кооперативів (ТОВ "ЖЕО"), об'є́днань співвла́сників багатокварти́рних буди́нків, Будинкоуправління №2  КЕВ м. Хмельницький та будівель і споруд  комунальної власності </t>
  </si>
  <si>
    <t>Здійснення заходів з приватизації, відчуження та передачі в оренду майна комунальної власності</t>
  </si>
  <si>
    <t>Адміністративний збір з проведення державної реєстрації юридичних осіб, фізичних осіб - підприємців та громадських формувань</t>
  </si>
  <si>
    <t>0200000</t>
  </si>
  <si>
    <t>0210000</t>
  </si>
  <si>
    <t>Виконавчий комітет Хмельницької міської ради (головний розпорядник)</t>
  </si>
  <si>
    <t>Виконавчий комітет Хмельницької міської ради  (відповідальний виконавець)</t>
  </si>
  <si>
    <t>0600000</t>
  </si>
  <si>
    <t>0610000</t>
  </si>
  <si>
    <t>0700000</t>
  </si>
  <si>
    <t>0710000</t>
  </si>
  <si>
    <t>0800000</t>
  </si>
  <si>
    <t>0810000</t>
  </si>
  <si>
    <t>1200000</t>
  </si>
  <si>
    <t>1210000</t>
  </si>
  <si>
    <t>1600000</t>
  </si>
  <si>
    <t>1610000</t>
  </si>
  <si>
    <t>3600000</t>
  </si>
  <si>
    <t>3610000</t>
  </si>
  <si>
    <t>2800000</t>
  </si>
  <si>
    <t>2810000</t>
  </si>
  <si>
    <t>2700000</t>
  </si>
  <si>
    <t>2710000</t>
  </si>
  <si>
    <t>3700000</t>
  </si>
  <si>
    <t>3710000</t>
  </si>
  <si>
    <t>0490</t>
  </si>
  <si>
    <t>1014010</t>
  </si>
  <si>
    <t>4010</t>
  </si>
  <si>
    <t>4060</t>
  </si>
  <si>
    <t>0821</t>
  </si>
  <si>
    <t>Фінансова підтримка театрів</t>
  </si>
  <si>
    <t>1014030</t>
  </si>
  <si>
    <t>4030</t>
  </si>
  <si>
    <t>0824</t>
  </si>
  <si>
    <t>Забезпечення діяльності бібліотек</t>
  </si>
  <si>
    <t>1014040</t>
  </si>
  <si>
    <t>4040</t>
  </si>
  <si>
    <t>1014060</t>
  </si>
  <si>
    <t>0828</t>
  </si>
  <si>
    <t>Забезпечення діяльності палаців i будинків культури, клубів, центрів дозвілля та iнших клубних закладів</t>
  </si>
  <si>
    <t>1100</t>
  </si>
  <si>
    <t>0960</t>
  </si>
  <si>
    <t>0829</t>
  </si>
  <si>
    <t>1113121</t>
  </si>
  <si>
    <t>3121</t>
  </si>
  <si>
    <t>1040</t>
  </si>
  <si>
    <t>Утримання та забезпечення діяльності центрів соціальних служб для сім’ї, дітей та молоді</t>
  </si>
  <si>
    <t>5011</t>
  </si>
  <si>
    <t>5012</t>
  </si>
  <si>
    <t>5022</t>
  </si>
  <si>
    <t>1113132</t>
  </si>
  <si>
    <t>3132</t>
  </si>
  <si>
    <t>1090</t>
  </si>
  <si>
    <t>5031</t>
  </si>
  <si>
    <t>5032</t>
  </si>
  <si>
    <t>5061</t>
  </si>
  <si>
    <t>0810</t>
  </si>
  <si>
    <t>5063</t>
  </si>
  <si>
    <t>7670</t>
  </si>
  <si>
    <t>0611010</t>
  </si>
  <si>
    <t>1010</t>
  </si>
  <si>
    <t>1020</t>
  </si>
  <si>
    <t>0910</t>
  </si>
  <si>
    <t>Надання дошкільної освіти</t>
  </si>
  <si>
    <t>0611020</t>
  </si>
  <si>
    <t>0921</t>
  </si>
  <si>
    <t>1030</t>
  </si>
  <si>
    <t>1070</t>
  </si>
  <si>
    <t>0922</t>
  </si>
  <si>
    <t>0611090</t>
  </si>
  <si>
    <t>0611110</t>
  </si>
  <si>
    <t>1110</t>
  </si>
  <si>
    <t>0930</t>
  </si>
  <si>
    <t>0990</t>
  </si>
  <si>
    <t>2010</t>
  </si>
  <si>
    <t>7640</t>
  </si>
  <si>
    <t>0470</t>
  </si>
  <si>
    <t>0712010</t>
  </si>
  <si>
    <t>0731</t>
  </si>
  <si>
    <t>0712030</t>
  </si>
  <si>
    <t>2030</t>
  </si>
  <si>
    <t>0733</t>
  </si>
  <si>
    <t>Лікарсько-акушерська допомога вагітним, породіллям та новонародженим</t>
  </si>
  <si>
    <t>0712080</t>
  </si>
  <si>
    <t>2080</t>
  </si>
  <si>
    <t>0721</t>
  </si>
  <si>
    <t>0712100</t>
  </si>
  <si>
    <t>2100</t>
  </si>
  <si>
    <t>0722</t>
  </si>
  <si>
    <t>Стоматологічна допомога населенню</t>
  </si>
  <si>
    <t>0712111</t>
  </si>
  <si>
    <t>2111</t>
  </si>
  <si>
    <t>Первинна медична допомога населенню, що надається центрами первинної медичної (медико-санітарної) допомоги</t>
  </si>
  <si>
    <t>0763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</si>
  <si>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</si>
  <si>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0210150</t>
  </si>
  <si>
    <t>0150</t>
  </si>
  <si>
    <t>0111</t>
  </si>
  <si>
    <t>Керівництво і управління у відповідній сфері у містах (місті Києві), селищах, селах, об’єднаних територіальних громадах</t>
  </si>
  <si>
    <t>0160</t>
  </si>
  <si>
    <t>Реалізація Національної програми інформатизації</t>
  </si>
  <si>
    <t>0217520</t>
  </si>
  <si>
    <t>7520</t>
  </si>
  <si>
    <t>0460</t>
  </si>
  <si>
    <t>0218410</t>
  </si>
  <si>
    <t>8410</t>
  </si>
  <si>
    <t>0830</t>
  </si>
  <si>
    <t>Фінансова підтримка засобів масової інформації</t>
  </si>
  <si>
    <t>0219710</t>
  </si>
  <si>
    <t>9710</t>
  </si>
  <si>
    <t>0210180</t>
  </si>
  <si>
    <t>Інша діяльність у сфері державного управління</t>
  </si>
  <si>
    <t>Заходи з організації рятування на водах</t>
  </si>
  <si>
    <t>8120</t>
  </si>
  <si>
    <t>0320</t>
  </si>
  <si>
    <t>2717630</t>
  </si>
  <si>
    <t>Реалізація програм і заходів в галузі зовнішньоекономічної діяльності</t>
  </si>
  <si>
    <t>7630</t>
  </si>
  <si>
    <t>Інші заходи, пов'язані з економічною діяльністю</t>
  </si>
  <si>
    <t>2717693</t>
  </si>
  <si>
    <t>7693</t>
  </si>
  <si>
    <t>Сприяння розвитку малого та середнього підприємництва</t>
  </si>
  <si>
    <t>0411</t>
  </si>
  <si>
    <t>2717610</t>
  </si>
  <si>
    <t>7610</t>
  </si>
  <si>
    <t>Реалізація інших заходів щодо соціально-економічного розвитку територій</t>
  </si>
  <si>
    <t>0813160</t>
  </si>
  <si>
    <t>3160</t>
  </si>
  <si>
    <t>3104</t>
  </si>
  <si>
    <t>3105</t>
  </si>
  <si>
    <t>0813104</t>
  </si>
  <si>
    <t>0813105</t>
  </si>
  <si>
    <t>0813031</t>
  </si>
  <si>
    <t>3031</t>
  </si>
  <si>
    <t>Надання інших пільг окремим категоріям громадян відповідно до законодавства</t>
  </si>
  <si>
    <t>0813032</t>
  </si>
  <si>
    <t>3032</t>
  </si>
  <si>
    <t>3035</t>
  </si>
  <si>
    <t>0813033</t>
  </si>
  <si>
    <t>3033</t>
  </si>
  <si>
    <t>0813035</t>
  </si>
  <si>
    <t>0813036</t>
  </si>
  <si>
    <t>3036</t>
  </si>
  <si>
    <t>1216011</t>
  </si>
  <si>
    <t>6011</t>
  </si>
  <si>
    <t>Експлуатація та технічне обслуговування житлового фонду</t>
  </si>
  <si>
    <t>0620</t>
  </si>
  <si>
    <t>1216017</t>
  </si>
  <si>
    <t>6017</t>
  </si>
  <si>
    <t>6013</t>
  </si>
  <si>
    <t>Забезпечення діяльності водопровідно-каналізаційного господарства</t>
  </si>
  <si>
    <t>1216030</t>
  </si>
  <si>
    <t>6030</t>
  </si>
  <si>
    <t>Організація благоустрою населених пунктів</t>
  </si>
  <si>
    <t>7426</t>
  </si>
  <si>
    <t>Інші заходи у сфері електротранспорту</t>
  </si>
  <si>
    <t>0453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</si>
  <si>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</si>
  <si>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</si>
  <si>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0456</t>
  </si>
  <si>
    <t>1217640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</si>
  <si>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</si>
  <si>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</si>
  <si>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0217680</t>
  </si>
  <si>
    <t>7680</t>
  </si>
  <si>
    <t>1216015</t>
  </si>
  <si>
    <t>6015</t>
  </si>
  <si>
    <t>Забезпечення надійної та безперебійної експлуатації ліфтів</t>
  </si>
  <si>
    <t>0443</t>
  </si>
  <si>
    <t>7310</t>
  </si>
  <si>
    <t>1217670</t>
  </si>
  <si>
    <t>3617130</t>
  </si>
  <si>
    <t>7130</t>
  </si>
  <si>
    <t>0421</t>
  </si>
  <si>
    <t>2818311</t>
  </si>
  <si>
    <t>8311</t>
  </si>
  <si>
    <t>2818330</t>
  </si>
  <si>
    <t>8330</t>
  </si>
  <si>
    <t>Будівництвоˈ  освітніх установ та закладів</t>
  </si>
  <si>
    <t>1517321</t>
  </si>
  <si>
    <t>7321</t>
  </si>
  <si>
    <t>1517325</t>
  </si>
  <si>
    <t>7325</t>
  </si>
  <si>
    <t>1517330</t>
  </si>
  <si>
    <t>7330</t>
  </si>
  <si>
    <t>які будуть фінансуватися з міського фонду охорони</t>
  </si>
  <si>
    <t>№ п/п</t>
  </si>
  <si>
    <t>Код КПКВ</t>
  </si>
  <si>
    <t>Заходи, на які виділяються кошти</t>
  </si>
  <si>
    <t>Проведення експертної грошової оцінки земельної ділянки несільськогосподарського призначення</t>
  </si>
  <si>
    <t>%</t>
  </si>
  <si>
    <t>0611161</t>
  </si>
  <si>
    <t>1161</t>
  </si>
  <si>
    <t>Забезпечення діяльності інших закладів у сфері охорони здоров’я</t>
  </si>
  <si>
    <t>Інші програми та заходи у сфері охорони здоров’я</t>
  </si>
  <si>
    <t>0712151</t>
  </si>
  <si>
    <t>0712152</t>
  </si>
  <si>
    <t>2151</t>
  </si>
  <si>
    <t>2152</t>
  </si>
  <si>
    <t>0813192</t>
  </si>
  <si>
    <t>3192</t>
  </si>
  <si>
    <t>0813241</t>
  </si>
  <si>
    <t>0813242</t>
  </si>
  <si>
    <t>3241</t>
  </si>
  <si>
    <t>3242</t>
  </si>
  <si>
    <t>Забезпечення діяльності інших закладів у сфері соціального захисту і соціального забезпечення</t>
  </si>
  <si>
    <t>Інші заходи у сфері соціального захисту і соціального забезпечення</t>
  </si>
  <si>
    <t>1014081</t>
  </si>
  <si>
    <t>4081</t>
  </si>
  <si>
    <t>1014082</t>
  </si>
  <si>
    <t>4082</t>
  </si>
  <si>
    <t>Інші програми та заходи у сфері освіти</t>
  </si>
  <si>
    <t>0611162</t>
  </si>
  <si>
    <t>1162</t>
  </si>
  <si>
    <t>7691</t>
  </si>
  <si>
    <t>0217691</t>
  </si>
  <si>
    <t>Витрати, пов’язані з наданням та обслуговуванням пільгових довгострокових кредитів, наданих громадянам на будівництво/реконструкцію/придбання житла</t>
  </si>
  <si>
    <t>0610</t>
  </si>
  <si>
    <t>6084</t>
  </si>
  <si>
    <t>1116084</t>
  </si>
  <si>
    <t xml:space="preserve">Кошти від продажу земельних ділянок  несільськогосподарського призначення, що перебувають у державній або комунальній власності </t>
  </si>
  <si>
    <t xml:space="preserve">Дотація з місцевого бюджету на здійснення  переданих з державного бюджету видатків з утримання закладів освіти та охорони здоров"я за рахунок відповідної дотації з державного бюджету </t>
  </si>
  <si>
    <t xml:space="preserve">Дотації з місцевих бюджетів іншим місцевим бюджетам </t>
  </si>
  <si>
    <t>Амбулаторно-поліклінічна допомога населенню, крім первинної медичної допомоги</t>
  </si>
  <si>
    <t>0726</t>
  </si>
  <si>
    <t>3180</t>
  </si>
  <si>
    <t>0813180</t>
  </si>
  <si>
    <t>Надання фінансової підтримки громадським організаціям ветеранів і осіб з інвалідністю, діяльність яких має соціальну спрямованість</t>
  </si>
  <si>
    <t>Проведення навчально-тренувальних зборів і змагань та заходів зі спорту осіб з інвалідністю</t>
  </si>
  <si>
    <t>7370</t>
  </si>
  <si>
    <t>1113133</t>
  </si>
  <si>
    <t>3133</t>
  </si>
  <si>
    <t>Інші заходи та заклади молодіжної політики</t>
  </si>
  <si>
    <t>Управління економіки Хмельницької міської ради (головний розпорядник)</t>
  </si>
  <si>
    <t>Управління економіки Хмельницької міської ради (відповідальний виконавець)</t>
  </si>
  <si>
    <t xml:space="preserve">Зовнішнє фінансування </t>
  </si>
  <si>
    <t xml:space="preserve">Позики, надані міжнародними організаціями </t>
  </si>
  <si>
    <t>Одержано позик</t>
  </si>
  <si>
    <t xml:space="preserve">Погашено позик </t>
  </si>
  <si>
    <t>Зовнішні запозичення</t>
  </si>
  <si>
    <t xml:space="preserve">Середньострокові зобов"язання </t>
  </si>
  <si>
    <t xml:space="preserve">Погашення </t>
  </si>
  <si>
    <t>Зовнішні зобов"язання</t>
  </si>
  <si>
    <t>0170</t>
  </si>
  <si>
    <t>9770</t>
  </si>
  <si>
    <t>Інші субвенції з місцевого бюджету</t>
  </si>
  <si>
    <t>6082</t>
  </si>
  <si>
    <t>Придбання житла для окремих категорій населення відповідно до законодавства</t>
  </si>
  <si>
    <t>0816082</t>
  </si>
  <si>
    <t>3617650</t>
  </si>
  <si>
    <t>7650</t>
  </si>
  <si>
    <t>Проведення експертної грошової оцінки земельної ділянки чи права на неї</t>
  </si>
  <si>
    <t>Організація та проведення громадських робіт</t>
  </si>
  <si>
    <t>3210</t>
  </si>
  <si>
    <t>1050</t>
  </si>
  <si>
    <t>Управління капітального будівництва Департаменту архітектури, містобудування та земельних ресурсів Хмельницької міської ради (відповідальний виконавець)</t>
  </si>
  <si>
    <t>Управління капітального будівництва Департаменту архітектури, містобудування та земельних ресурсів Хмельницької міської ради (головний розпорядник)</t>
  </si>
  <si>
    <t xml:space="preserve">Плата за встановлення земельного сервітуту </t>
  </si>
  <si>
    <t xml:space="preserve">Кошти за шкоду, що заподіяна на земельних ділянках державної та комунальної власності, які не надані у користування та не передані у власність, внаслідок їх самовільного зайняття, використання не за цільовим призначенням </t>
  </si>
  <si>
    <t>6012</t>
  </si>
  <si>
    <t>Забезпечення діяльності з виробництва, транспортування, постачання теплової енергії</t>
  </si>
  <si>
    <t>Найменування згідно з Класифікацією фінансування бюджету</t>
  </si>
  <si>
    <t xml:space="preserve">Фінансування за типом кредитора </t>
  </si>
  <si>
    <t>Загальне фінансування</t>
  </si>
  <si>
    <t>Х</t>
  </si>
  <si>
    <t xml:space="preserve">Фінансування за типом боргового зобов'язання </t>
  </si>
  <si>
    <t>Усього</t>
  </si>
  <si>
    <t>усього</t>
  </si>
  <si>
    <t>у тому числі бюджет розвитку</t>
  </si>
  <si>
    <t>загальний фонд</t>
  </si>
  <si>
    <t>спеціальний фонд</t>
  </si>
  <si>
    <t>разом</t>
  </si>
  <si>
    <t>Кредитування, усього</t>
  </si>
  <si>
    <t>Код Функціональної класифікації видатків та кредитування бюджету</t>
  </si>
  <si>
    <t>УСЬОГО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</si>
  <si>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</si>
  <si>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</si>
  <si>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</si>
  <si>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</si>
  <si>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</si>
  <si>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</si>
  <si>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</si>
  <si>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</si>
  <si>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</si>
  <si>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</si>
  <si>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</si>
  <si>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</si>
  <si>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(грн)</t>
  </si>
  <si>
    <t>Сума, грн</t>
  </si>
  <si>
    <t>Проведення науково-технічних конференцій і семінарів, організація виставок, фестивалів та інших заходів щодо пропаганди охорони навколишнього природного середовища, видання поліграфічної продукції з екологічної тематики тощо</t>
  </si>
  <si>
    <t>Рішення 19-ї сесії Хмельницької міської ради від 21.02.2001 року №6</t>
  </si>
  <si>
    <t>Рішення 11-ї сесії Хмельницької міської ради від 25.01.2017 року №20</t>
  </si>
  <si>
    <t>Рішення позачергової 10-ї сесії Хмельницької міської ради від 29.12.2016 року №1</t>
  </si>
  <si>
    <t>Оформлення передплати на газети організаціям інвалідів, ветеранів війни і праці, окремим категоріям громадян</t>
  </si>
  <si>
    <t>Рішення позачергової 10-ї сесії Хмельницької міської ради від 29.12.2016 року №4</t>
  </si>
  <si>
    <t>Рішення позачергової 10-ї сесії Хмельницької міської ради від 29.12.2016 року №2</t>
  </si>
  <si>
    <t>7413</t>
  </si>
  <si>
    <t>0451</t>
  </si>
  <si>
    <t>Інші заходи у сфері автотранспорту</t>
  </si>
  <si>
    <t>0810160</t>
  </si>
  <si>
    <t>0710160</t>
  </si>
  <si>
    <t>1510160</t>
  </si>
  <si>
    <t>3610160</t>
  </si>
  <si>
    <t>1610160</t>
  </si>
  <si>
    <t>3710160</t>
  </si>
  <si>
    <t>1210160</t>
  </si>
  <si>
    <t>2810160</t>
  </si>
  <si>
    <t>0817691</t>
  </si>
  <si>
    <t>1217691</t>
  </si>
  <si>
    <t>Рішення 21-ї сесії Хмельницької міської ради від 11.04.2018 року №11</t>
  </si>
  <si>
    <t>у тому числі  бюджет розвитку</t>
  </si>
  <si>
    <t>Офіційні трансферти</t>
  </si>
  <si>
    <t>0813210</t>
  </si>
  <si>
    <t>Рішення 27-ї сесії Хмельницької міської ради від 14.12.2018 року №16</t>
  </si>
  <si>
    <t>Рішення 27-ї сесії Хмельницької міської ради від 14.12.2018 року №13</t>
  </si>
  <si>
    <t>0611170</t>
  </si>
  <si>
    <t>1170</t>
  </si>
  <si>
    <t>Забезпечення діяльності інклюзивно-ресурсних центрів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</si>
  <si>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</si>
  <si>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0613140</t>
  </si>
  <si>
    <t>3140</t>
  </si>
  <si>
    <t>1515043</t>
  </si>
  <si>
    <t>Створення нових, будівельно-ремонтні роботи існуючих палаців спорту та завершення розпочатих у попередньому періоді робіт з будівництва/реконструкції палаців спорту</t>
  </si>
  <si>
    <t>5043</t>
  </si>
  <si>
    <t>Управління земельних ресурсів та земельної реформи Департаменту архітектури, містобудування та земельних ресурсів Хмельницької міської ради (головний розпорядник)</t>
  </si>
  <si>
    <t>Управління земельних ресурсів та земельної реформи Департаменту архітектури, містобудування та земельних ресурсів Хмельницької міської ради (відповідальний розпорядник)</t>
  </si>
  <si>
    <t>0717670</t>
  </si>
  <si>
    <t>Програма «Здоров’я хмельничан» на 2017-2021 роки (із змінами і доповненнями)</t>
  </si>
  <si>
    <t>2018 - 2022 роки</t>
  </si>
  <si>
    <t>1517370</t>
  </si>
  <si>
    <t xml:space="preserve">Субвенції з державного бюджету місцевим бюджетам </t>
  </si>
  <si>
    <t>Залишок коштів на 01.01.2020 року</t>
  </si>
  <si>
    <t>Видатки, що здійснюються згідно розпоряджень міського голови, рішень міської ради та її виконавчого комітету (в т.ч. оплата подарунків, квітів, сувенірної продукції, рамок, грамот, подяк, кубків і т.д)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</si>
  <si>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</t>
  </si>
  <si>
    <t>Республіки Крим, органами місцевого самоврядування і місцевими органами виконавчої влади</t>
  </si>
  <si>
    <t>Членські внески до асоціацій органів місцевого самоврядування</t>
  </si>
  <si>
    <t>Субвенція з місцевого бюджету на утримання об'єктів спільного користування чи ліквідацію негативних наслідків діяльності об'єктів спільного користування</t>
  </si>
  <si>
    <t>1900000</t>
  </si>
  <si>
    <t>1910000</t>
  </si>
  <si>
    <t>Управління транспорту та зв'язку Хмельницької міської ради (головний розпорядник)</t>
  </si>
  <si>
    <t>Управління транспорту та зв'язку Хмельницької міської ради (відповідальний виконавець)</t>
  </si>
  <si>
    <t>1910160</t>
  </si>
  <si>
    <t>Програма фінансової підтримки комунальної установи Хмельницької міської ради "Агенція розвитку Хмельницького" на 2019-2021 роки  (із змінами і доповненнями)</t>
  </si>
  <si>
    <t>Програма розвитку підприємництва міста Хмельницького на 2019-2021 роки  (із змінами і доповненнями)</t>
  </si>
  <si>
    <t>Програма створення та розвитку індустріального парку "Хмельницький"  (із змінами і доповненнями)</t>
  </si>
  <si>
    <t>Програма
бюджетування за участі громадськості (Бюджет участі) міста Хмельницького на 2020 - 2022 роки</t>
  </si>
  <si>
    <t>Рішення 32-ї сесії Хмельницької міської ради від 26.06.2019 року №9</t>
  </si>
  <si>
    <t>Реверсна дотація</t>
  </si>
  <si>
    <t>Резервний фонд</t>
  </si>
  <si>
    <t>Обслуговування місцевого боргу</t>
  </si>
  <si>
    <t xml:space="preserve"> 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</si>
  <si>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</si>
  <si>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Надання реабілітаційних послуг особам з інвалідністю та дітям з інвалідністю</t>
  </si>
  <si>
    <t>Надання пільгових довгострокових кредитів молодим сім'ям та одиноким молодим громадянам на будівництво/придбання житла</t>
  </si>
  <si>
    <t>1118821</t>
  </si>
  <si>
    <t>1118822</t>
  </si>
  <si>
    <t>Повернення пільгових довгострокових кредитів, наданих молодим сім'ям та одиноким молодим громадянам на будівництво/придбання житла</t>
  </si>
  <si>
    <t>8821</t>
  </si>
  <si>
    <t>8822</t>
  </si>
  <si>
    <t>Здійснення заходів із землеустрою</t>
  </si>
  <si>
    <t>Будівництво Палацу спорту по вул.Прибузькій, 5/1а у м.Хмельницькому</t>
  </si>
  <si>
    <t>2012 - 2021 роки</t>
  </si>
  <si>
    <t>Будівництвоˈ інших об'єктів комунальної власності</t>
  </si>
  <si>
    <t xml:space="preserve">Реконструкція мереж водопроводу та каналізації в мікрорайоні "Лезнево" м.Хмельницький </t>
  </si>
  <si>
    <t>Забезпечення діяльності музеїв i виставок</t>
  </si>
  <si>
    <t>Забезпечення діяльності інших закладів в галузі культури і мистецтва</t>
  </si>
  <si>
    <t>Інші заходи в галузі культури і мистецтва</t>
  </si>
  <si>
    <t>Інша діяльність, пов’язана з експлуатацією об’єктів житлово-комунального господарства</t>
  </si>
  <si>
    <t>1917413</t>
  </si>
  <si>
    <t>1917426</t>
  </si>
  <si>
    <t>Будівництвоˈ об'єктів житлово-комунального господарства</t>
  </si>
  <si>
    <t>Внески до статутного капіталу ХКП "Спецкомунтранс" (Реконструкція полігону твердих побутових відходів за адресою м. Хмельницький, вул. Проспект Миру, 7.  Містобудівний розрахунок)</t>
  </si>
  <si>
    <t>0512</t>
  </si>
  <si>
    <t>2818312</t>
  </si>
  <si>
    <t>8312</t>
  </si>
  <si>
    <t>Утилізація відходів</t>
  </si>
  <si>
    <t>Інша діяльність у сфері екології та охорони природних ресурсів</t>
  </si>
  <si>
    <t>Внески до статутного капіталу ХКП "Спецкомунтранс" (Виконання робіт по реконструкції полігону твердих побутових відходів з метою запобігання виникнення надзвичайної екологісної ситуації  за адресою м.Хмельницький, вул.Проспект Миру,7)</t>
  </si>
  <si>
    <t xml:space="preserve">     Виплата грошової винагороди у розмірі, передбаченому Положенням про звання "Почесний громадянин міста Хмельницького", Положенням "Про почесну відзнаку міської громади "Мужність і відвага""</t>
  </si>
  <si>
    <t>Надання грошової допомоги за поданням секретаря ради, або керуючого справами виконавчого комітету на підставі рішення виконавчого комітету Хмельницької міської ради для поховання:   загиблих та померлих учасників ООС; Почесних громадян міста; інших осіб.</t>
  </si>
  <si>
    <t>3.2.4.</t>
  </si>
  <si>
    <t>3.2.10.</t>
  </si>
  <si>
    <t>3.2.15.</t>
  </si>
  <si>
    <t xml:space="preserve">Субвенції з місцевих бюджетів іншим місцевим бюджетам </t>
  </si>
  <si>
    <t>Субвенція з місцевого бюджету на здійснення переданих видатків у сфері освіти за рахунок коштів освітньої субвенції</t>
  </si>
  <si>
    <t>0712144</t>
  </si>
  <si>
    <t>2144</t>
  </si>
  <si>
    <t>Централізовані заходи з лікування хворих на цукровий та нецукровий діабет</t>
  </si>
  <si>
    <t>0813050</t>
  </si>
  <si>
    <t>3050</t>
  </si>
  <si>
    <t>Пільгове медичне обслуговування осіб, які постраждали внаслідок Чорнобильської катастрофи</t>
  </si>
  <si>
    <t>0813090</t>
  </si>
  <si>
    <t>3090</t>
  </si>
  <si>
    <t>Видатки на поховання учасників бойових дій та осіб з інвалідністю внаслідок війни</t>
  </si>
  <si>
    <t>0813171</t>
  </si>
  <si>
    <t>3171</t>
  </si>
  <si>
    <t>Компенсаційні виплати особам з інвалідністю на бензин, ремонт, технічне обслуговування автомобілів, мотоколясок і на транспортне обслуговування</t>
  </si>
  <si>
    <t>2020 - 2021 роки</t>
  </si>
  <si>
    <t xml:space="preserve">Цільові фонди </t>
  </si>
  <si>
    <t>Усього доходів (без врахування міжбюджетних трансфертів)</t>
  </si>
  <si>
    <t>Рішення 34-ї сесії Хмельницької міської ради від 09.10.2019 року №38</t>
  </si>
  <si>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</si>
  <si>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</si>
  <si>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</si>
  <si>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Додаток 3</t>
  </si>
  <si>
    <t>УСЬОГО:</t>
  </si>
  <si>
    <t>Найменування місцевої / регіональної програми</t>
  </si>
  <si>
    <t>Дата і номер документа, яким затверджено місцеву / регіональну програму</t>
  </si>
  <si>
    <r>
      <t xml:space="preserve">1 </t>
    </r>
    <r>
      <rPr>
        <sz val="20"/>
        <rFont val="Times New Roman"/>
        <family val="1"/>
        <charset val="204"/>
      </rPr>
      <t>Будівни́цтво — будівництво, реконструкція і реставрація, капітальний ремонт об'єктів виробничої, комунікаційної та соціальної інфраструктури за рахунок власних коштів місцевих бюджетів.</t>
    </r>
  </si>
  <si>
    <t>Надання загальної середньої освіти закладами загальної середньої освіти (у тому числі з дошкільними підрозділами (відділеннями, групами))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</si>
  <si>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</t>
  </si>
  <si>
    <t>0611030</t>
  </si>
  <si>
    <t>Надання позашкільної освіти закладами позашкільної освіти, заходи із позашкільної роботи з дітьми</t>
  </si>
  <si>
    <t>Надання спеціальної освіти мистецькими школами</t>
  </si>
  <si>
    <t>Підготовка кадрів закладами професійної (професійно-технічної) освіти та іншими закладами освіти</t>
  </si>
  <si>
    <t>Забезпечення діяльності інших закладів у сфері освіти</t>
  </si>
  <si>
    <t>Повернення довгострокових кредитів, наданих громадянам на будівництво/реконструкцію/придбання житла</t>
  </si>
  <si>
    <t>1118842</t>
  </si>
  <si>
    <t>8842</t>
  </si>
  <si>
    <t>0712020</t>
  </si>
  <si>
    <t>Спеціалізована стаціонарна медична допомога населенню</t>
  </si>
  <si>
    <t>0732</t>
  </si>
  <si>
    <t>2020</t>
  </si>
  <si>
    <t>0719770</t>
  </si>
  <si>
    <t>5062</t>
  </si>
  <si>
    <t>Підтримка спорту вищих досягнень та організацій, які здійснюють фізкультурно-спортивну діяльність в регіоні</t>
  </si>
  <si>
    <t>1115062</t>
  </si>
  <si>
    <t>0217693</t>
  </si>
  <si>
    <t>0219800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</si>
  <si>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</si>
  <si>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</si>
  <si>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Рішення 9-ї сесії Хмельницької міської ради від 26.10.2016 року №7</t>
  </si>
  <si>
    <t>Комплексна програма профілактики, попередження адміністративних правопорушень та покращення забезпечення громадського правопорядку для жителів міста Хмельницького на 2016 - 2020 роки (із змінами і доповненнями)</t>
  </si>
  <si>
    <t>1517324</t>
  </si>
  <si>
    <t>7324</t>
  </si>
  <si>
    <t>8110</t>
  </si>
  <si>
    <t>Заходи із запобігання та ліквідації надзвичайних ситуацій та наслідків стихійного лиха</t>
  </si>
  <si>
    <t>8320</t>
  </si>
  <si>
    <t>Збереження природно-заповідного фонду</t>
  </si>
  <si>
    <t>2818320</t>
  </si>
  <si>
    <t>0520</t>
  </si>
  <si>
    <t>Біологічна меліорація водойм</t>
  </si>
  <si>
    <t>Найменування об’єкта будівництва / вид будівельних робіт, у тому числі проектні роботи</t>
  </si>
  <si>
    <t>Загальна тривалість будівництва (рік початку і завершення)</t>
  </si>
  <si>
    <t>Загальна вартість будівництва, гривень</t>
  </si>
  <si>
    <t>Рівень виконання робіт на початок бюджетного періоду, %</t>
  </si>
  <si>
    <t>Обсяг видатків бюджету розвитку, які спрямовуються на будівництво об'єкта у бюджетному періоді, гривень</t>
  </si>
  <si>
    <t>Рівень готовності об'єкта на кінець бюджетного періоду, %</t>
  </si>
  <si>
    <t>Придбання обладнання і предметів довгострокового користування</t>
  </si>
  <si>
    <t>Капітальний ремонт (зовнішнє опорядження та утеплення фасадів, заміна покрівлі) Хмельницького ДНЗ №21 "Ластівка" за адресою: вул. Сковороди, 31, м. Хмельницький</t>
  </si>
  <si>
    <t>Капітальний ремонт огорожі Хмельницького дошкільного навчального закладу №24 "Барвінок" по вул. Купріна, 54/1 в м. Хмельницькому</t>
  </si>
  <si>
    <t>Капітальний ремонт огорожі Хмельницького навчально-виховного комплексу №31 "Дошкільний навчальний заклад - загальноосвітній навчальний заклад І ступеня" по вул. Миколи Мазура, 17 в м. Хмельницькому</t>
  </si>
  <si>
    <t xml:space="preserve">Виготовлення проектно-кошторисної документації на проведення реконструкції спортивного майданчика під мультифункціональний  майданчик для занять ігровими видами спорту на території Хмельницької спеціалізованої середньої загальноосвітньої школи І-ІІІ ступенів №12  за адресою вул. Довженка, 6 </t>
  </si>
  <si>
    <t>Капітальний ремонт - утеплення фасаду та сходового майданчика перед палацом творчості дітей та юнацтва по вул. Свободи, 2/1 в м.Хмельницькому (1 та 2 черга)</t>
  </si>
  <si>
    <t>2016 - 2020 роки</t>
  </si>
  <si>
    <t>Внески до статутного капіталу комунального підприємства "Хмельницька міська дитяча лікарня" Хмельницької міської ради (Придбання обладнання і предметів довгострокового користування)</t>
  </si>
  <si>
    <t>Внески до статутного капіталу комунального підприємства "Хмельницький міський лікувально-діагностичний центр" Хмельницької міської ради (Придбання обладнання і предметів довгострокового користування)</t>
  </si>
  <si>
    <t>Капітальний ремонт житлового фонду (приміщень)</t>
  </si>
  <si>
    <t>Капітальні трансферти населенню</t>
  </si>
  <si>
    <t>2017 - 2022 роки</t>
  </si>
  <si>
    <t>2018 - 2021 роки</t>
  </si>
  <si>
    <t xml:space="preserve">Капітальний ремонт житлового фонду </t>
  </si>
  <si>
    <t>Капітальні видатки, в т.ч.:</t>
  </si>
  <si>
    <t>капітальний ремонт прибудинкових територій</t>
  </si>
  <si>
    <t xml:space="preserve"> Капітальний ремонт зелених насаджень (омолодження дерев на вулицях міста)</t>
  </si>
  <si>
    <t xml:space="preserve"> </t>
  </si>
  <si>
    <t>Капітальний ремонт об’єктів благоустрою (мереж зовнішнього освітлення)</t>
  </si>
  <si>
    <t>Капітальний ремонт контейнерних майданчиків із встановленням підземних контейнерів</t>
  </si>
  <si>
    <t>Капітальний ремонт-розчистка русла річки Південний Буг від намулу, відкладів, завалів в межах міста Хмельницький  від вул.Трудової до вул.С.Бандери</t>
  </si>
  <si>
    <t>2019 - 2021 роки</t>
  </si>
  <si>
    <t>Внески до статутного капіталу МКП "Хмельницькводоканал" (Реконструкція ділянки водопроводу по вул. Північна в м.Хмельницький)</t>
  </si>
  <si>
    <t>Реставрація Хмельницького міського будинку культури по вул.Проскурівській, 43 в м. Хмельницькому</t>
  </si>
  <si>
    <r>
      <t xml:space="preserve">1 </t>
    </r>
    <r>
      <rPr>
        <sz val="10"/>
        <rFont val="Times New Roman"/>
        <family val="1"/>
        <charset val="204"/>
      </rPr>
      <t>Будівни́цтво — будівництво, реконструкція і реставрація, капітальний ремонт об'єктів виробничої, комунікаційної та соціальної інфраструктури за рахунок власних коштів місцевих бюджетів.</t>
    </r>
  </si>
  <si>
    <t>Внески до статутного капіталу комунального підприємства "Хмельницька інфекційна лікарня" Хмельницької міської ради (Придбання обладнання і предметів довгострокового користування)</t>
  </si>
  <si>
    <t>капітальний ремонт дитячих та спортивних майданчиків</t>
  </si>
  <si>
    <t>Реалізація громадських проєктів</t>
  </si>
  <si>
    <t>Внески до статутного капіталу ХКП "Спецкомунтранс" (Реконструкція полігону твердих побутових відходів з метою запобігання виникнення надзвичайної екологічної ситуації за адресою м. Хмельницький, вул. Проспект Миру, 7 розробка розділу "Проект  організації будівництва")</t>
  </si>
  <si>
    <t>2015 - 2022 роки</t>
  </si>
  <si>
    <t>Капітальний ремонт, відновлення зовнішньої штукатурки з подальшим оздобленням фасаду на вул. Курчатова, 1 Д, в м. Хмельницькому</t>
  </si>
  <si>
    <t>Капітальний ремонт ліфтів</t>
  </si>
  <si>
    <t xml:space="preserve">М. КРИВАК </t>
  </si>
  <si>
    <t xml:space="preserve">Начальник фінансового управління </t>
  </si>
  <si>
    <t xml:space="preserve">С. ЯМЧУК </t>
  </si>
  <si>
    <t xml:space="preserve">Начальник фінансового управління                                                                                                                                                                           С. ЯМЧУК </t>
  </si>
  <si>
    <t xml:space="preserve">Начальник фінансового управління                                                                                                                                                                                                            С. ЯМЧУК </t>
  </si>
  <si>
    <t xml:space="preserve">                    Секретар міської ради </t>
  </si>
  <si>
    <t xml:space="preserve">                                   Начальник фінансового управління                                                                                            Ю. САБІЙ</t>
  </si>
  <si>
    <t>Управління архітектури та містобудування Департаменту архітектури, містобудування та земельних ресурсів (головний розпорядник)</t>
  </si>
  <si>
    <t>Управління архітектури та містобудування Департаменту архітектури, містобудування та земельних ресурсів (відповідальний виконавець)</t>
  </si>
  <si>
    <t xml:space="preserve">Довгострокові зобов"язання </t>
  </si>
  <si>
    <t>2017-2021</t>
  </si>
  <si>
    <t>Програма поводження з побутовими відходами у м. Хмельницькому - Програма "Розумне довкілля Хмельницький" на 2020р.</t>
  </si>
  <si>
    <t>Рішення 36-ї сесії Хмельницької міської ради від 24.12.2019р (зі змінами)</t>
  </si>
  <si>
    <t>Внески до статутного капіталу КП "Південно-Західні тепломережі" (Реконструкція існуючих газових мереж теплогенераторної КП "Хмельницький міський лікувально-діагностичний центр" по вул.Волочиська №6 в м. Хмельницькому )</t>
  </si>
  <si>
    <t>Доходи  бюджету Хмельницької міської територіальної громади  на 2021 рік</t>
  </si>
  <si>
    <t xml:space="preserve">Рентна плата та плата за використання ішших природних ресурсів </t>
  </si>
  <si>
    <t xml:space="preserve">Рентна плата за спеціальне використання лісових ресурсів </t>
  </si>
  <si>
    <t>Рентна плата за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</si>
  <si>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 xml:space="preserve">Рентна плата за користування надрами </t>
  </si>
  <si>
    <t xml:space="preserve">Рентна плата за користуваання надрами для видобудування корисних копалин загальнодержавного значення </t>
  </si>
  <si>
    <t>на 2021 рік</t>
  </si>
  <si>
    <t>Вільний залишок коштів на 01.01.2021  року:</t>
  </si>
  <si>
    <t>Внутрішні податки на товари та послуги</t>
  </si>
  <si>
    <t>Інші податки та збори</t>
  </si>
  <si>
    <t>Надходження  від викидів забруднюючих речовин в атмосферне повітря стаціонарними джерелами забруднення (за винятком викидів в атмосферне повітря двоокису вуглецю)</t>
  </si>
  <si>
    <t>Доходи від власності та підприємницької діяльності</t>
  </si>
  <si>
    <t>Частина чистого прибутку (доходу)  державних або кумунальних унітраних підприємств та їх обєднань, що вилучається до відповідного бюджету</t>
  </si>
  <si>
    <t>Плата за надання адміністративних послуг</t>
  </si>
  <si>
    <t>Надходження від орендної плати за користування цілісним майновим комплексом та іншим державним майном</t>
  </si>
  <si>
    <t xml:space="preserve">Кошти від реалізації скарбів, майна, одержаного державною або територіальною громадою  в порядку спадкування чи дарування, а також валютні цінності і грошові кошти, власники яких невідомі </t>
  </si>
  <si>
    <t xml:space="preserve">Керуючий справами </t>
  </si>
  <si>
    <t xml:space="preserve">Ю. САБІЙ </t>
  </si>
  <si>
    <t xml:space="preserve">Єдиний податок з сільськогосподарських товаровиробників, у яких частка сільськогосподарського виробництва за попередній податковий (звітний) рік дорівнює або перевищує 75 відсотків </t>
  </si>
  <si>
    <t>Код бюджету - 22564000000</t>
  </si>
  <si>
    <t>Забезпечення екологічно безпечного збирання, перевезення, зберігання, оброблення, утилізації, видалення, знешкодження і захоронення відходів та небезпечних хімічних речовин, в тому числі ліквідація стихійних сміттєзвалищ</t>
  </si>
  <si>
    <t>Встановлення (поновлення) знаків - аншлагів, межових знаків на території об‘єктів природно-заповідного фонду</t>
  </si>
  <si>
    <t>Розроблення проекту організації території дендрологічного парку місцевого значення "Поділля"</t>
  </si>
  <si>
    <t>Наукові дослідження (лабораторні дослідження води водних об‘єктів)</t>
  </si>
  <si>
    <t>Розроблення програми моніторингу в галузі охорони атмосферного повітря</t>
  </si>
  <si>
    <t>Виготовлення та розміщення інформаційних листівок, екологічної реклами, відеороликів на тему "Розумне поводження з відходами"</t>
  </si>
  <si>
    <t xml:space="preserve">Реконструкція з надбудовою приміщень навчально-виховного комплексу №10 по вул. Водопровідній, 9А в м. Хмельницькому </t>
  </si>
  <si>
    <t xml:space="preserve">Реконструкція приміщень НВО №1 по вул. Старокостянтинівське шосе, 3Б в м. Хмельницькому </t>
  </si>
  <si>
    <t xml:space="preserve">Реконструкція з добудовою їдальні до існуючого приміщення спеціалізованої загальноосвітньої школи І-ІІІ ступенів №8 по вул. Я. Гальчевського, 34 в м. Хмельницькому </t>
  </si>
  <si>
    <t>2018 - 2022роки</t>
  </si>
  <si>
    <t xml:space="preserve"> Реконструкція з добудовою приміщень Хмельницького ліцею №17 під спортивну залу на вул. Героїв Майдану, 5 в м. Хмельницькому</t>
  </si>
  <si>
    <t>Будівництво закладів дошкільної та загальної середньої освіти на вул. Січових стрільців, 8-А в м.Хмельницькому, в т.ч. виготовлення проєктно-кошторисної документації</t>
  </si>
  <si>
    <t>Будівництво внутрішньоквартального проїзду між земельними ділянками по вул Старокостянтинівське шосе, 2/1 "З" в м. Хмельницькому</t>
  </si>
  <si>
    <t>Реконструкція  вбудовано-прибудованої аптеки під адміністративне приміщення управління адміністративних послуг Хмельницької міської ради  по вул. Кам'янецькій, 38 в м. Хмельницькому</t>
  </si>
  <si>
    <t>2013 - 2022 роки</t>
  </si>
  <si>
    <t>Будівництво вулиці Мельникова (від вул. Зарічанської до вул. Трудової) в м.Хмельницькому (І черга)</t>
  </si>
  <si>
    <t xml:space="preserve"> Будівництво дороги по вулиці Лісогринівецькій (від вул. С. Бандери до Старокостянтинівського шосе), в т.ч. виготовлення проєктно- кошторисної документації </t>
  </si>
  <si>
    <t xml:space="preserve"> Будівництво дороги від вулиці Степана Бандери до вулиці Західно-Окружної в м. Хмельницькому, в т.ч. виготовлення проєктно-кошторисної документації </t>
  </si>
  <si>
    <t>Будівництво зовнішніх  мереж газопостачання індустріального парку  "Хмельницький" по вул. Вінницьке шосе, 18 в м. Хмельницькому, в т.ч. виготовлення проєктно-кошторисної документації</t>
  </si>
  <si>
    <t xml:space="preserve"> Будівництва зовнішніх мереж  водопостачання та каналізації індустріального парку  "Хмельницький" по  вул. Вінницьке шосе, 18 в м. Хмельницькому, в т.ч. виготовлення проєктно-кошторисної документації </t>
  </si>
  <si>
    <t>Будівництво навчально-виховного комплексу на вул. Залізняка, 32 в м. Хмельницькому (ІІ черга)</t>
  </si>
  <si>
    <t>2019 - 2022 роки</t>
  </si>
  <si>
    <t>1400000</t>
  </si>
  <si>
    <t>1410000</t>
  </si>
  <si>
    <t>1410160</t>
  </si>
  <si>
    <t>1410180</t>
  </si>
  <si>
    <t>1416012</t>
  </si>
  <si>
    <t>1416013</t>
  </si>
  <si>
    <t>1416020</t>
  </si>
  <si>
    <t>1416030</t>
  </si>
  <si>
    <t>1417310</t>
  </si>
  <si>
    <r>
      <t>Будівництво</t>
    </r>
    <r>
      <rPr>
        <b/>
        <vertAlign val="superscript"/>
        <sz val="36"/>
        <color rgb="FF000000"/>
        <rFont val="Times New Roman"/>
        <family val="1"/>
        <charset val="204"/>
      </rPr>
      <t>1</t>
    </r>
    <r>
      <rPr>
        <sz val="36"/>
        <color rgb="FF000000"/>
        <rFont val="Times New Roman"/>
        <family val="1"/>
        <charset val="204"/>
      </rPr>
      <t>  об'єктів житлово-комунального господарства</t>
    </r>
  </si>
  <si>
    <t>1417461</t>
  </si>
  <si>
    <t>1417640</t>
  </si>
  <si>
    <t>1417670</t>
  </si>
  <si>
    <t>1417691</t>
  </si>
  <si>
    <t>1418110</t>
  </si>
  <si>
    <t>1418120</t>
  </si>
  <si>
    <t>1418130</t>
  </si>
  <si>
    <t>8130</t>
  </si>
  <si>
    <t>Забезпечення діяльності місцевої пожежної охорони</t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</si>
  <si>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освітніх установ та закладів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</si>
  <si>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установ та закладів культури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</si>
  <si>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 споруд, установ та закладів фізичної культури і спорту</t>
    </r>
  </si>
  <si>
    <r>
      <t>Будівництво</t>
    </r>
    <r>
      <rPr>
        <b/>
        <vertAlign val="superscript"/>
        <sz val="36"/>
        <rFont val="Times New Roman"/>
        <family val="1"/>
        <charset val="204"/>
      </rPr>
      <t>1</t>
    </r>
    <r>
      <rPr>
        <sz val="36"/>
        <rFont val="Times New Roman"/>
        <family val="1"/>
        <charset val="204"/>
      </rPr>
      <t> інших об'єктів комунальної власності</t>
    </r>
  </si>
  <si>
    <t>Управління архітектури та містобудування Департаменту архітектури, містобудування та земельних ресурсів Хмельницької міської ради (головний розпорядник)</t>
  </si>
  <si>
    <t>Управління архітектури та містобудування Департаменту архітектури, містобудування та земельних ресурсів Хмельницької міської ради  (відповідальний виконавець)</t>
  </si>
  <si>
    <t xml:space="preserve">Управління з питань екології та контролю за благоустроєм міста Хмельницької міської ради  (головний розпорядник) </t>
  </si>
  <si>
    <t xml:space="preserve">Управління з питань екології та контролю за благоустроєм міста Хмельницької міської ради  (відповідальний виконавець) </t>
  </si>
  <si>
    <t>2020-2021 роки</t>
  </si>
  <si>
    <t>Капітальний ремонт прибудинкових територій</t>
  </si>
  <si>
    <t xml:space="preserve">Капітальний ремонт зони відпочинку навколо водойми в мікрорайоні "Озерна" в м.Хмельницький </t>
  </si>
  <si>
    <t>Капітальний ремонт атракціону "Колесо огляду" в парку культури та відпочинку ім. М. Чекмана м.Хмельницький</t>
  </si>
  <si>
    <t>Капітальний ремонт комунальних майданчиків для вигулу собак на території м. Хмельницького (в т.ч. ПКД та експертиза)</t>
  </si>
  <si>
    <t xml:space="preserve"> Реконструкція парку-пам"ятки садово-паркового мистецтва місцевого значення "Парк ім. М.Чекмана. Ділянка колеса огляду. </t>
  </si>
  <si>
    <t>2021р-</t>
  </si>
  <si>
    <t>Реставрація водонапірної бшти на вул. Балбачана, 18/1 в м.Хмельницькому</t>
  </si>
  <si>
    <t>Підвищення енергоефективності систем водопостачання та водовідведення: Реконструкція каналізаційних насосних станцій №2, 7, 12 у місті Хмельницькому</t>
  </si>
  <si>
    <t>Внески до статутного капіталу ХКП "Спецкомунтранс" (Реконструкція "Винос газопроводу високого тиску з тіла полігону твердих побутових відходів м.Хмельницького")</t>
  </si>
  <si>
    <t>2019-2021 роки</t>
  </si>
  <si>
    <t>2021 рік</t>
  </si>
  <si>
    <t>Внески до статутного капіталу ХКП "Спецкомунтранс" (розробка проекту: Нове будівництво самопливного каналізаційного колектора Хмельницького полігону ТВП  за адресою м. Хмельницький проспект Миру,7)</t>
  </si>
  <si>
    <t>Внески до статутного капіталу ХКП "Спецкомунтранс" (Нове будівництво самопливного каналізаційного колектора Хмельницького полігону ТВП  за адресою м. Хмельницький проспект Миру,7)</t>
  </si>
  <si>
    <t>Внески до статутного капіталу ХКП "Спецкомунтранс"( "Капітальний ремонт частини нежитлового приміщення за адресою м. Хмельницький, вул. Марка Кропивницького, 6А")</t>
  </si>
  <si>
    <t>Внески до статутного капіталу МКП "Хмельницькводоканал" (Реконструкція ділянки самопливного каналізаійного колектора по вул. Заводська в м. Хмельницький)</t>
  </si>
  <si>
    <t>Внески до статутного капіталу МКП "Хмельницькводоканал" (Реконструкція каналізаційної мережі від ж.б.№4, 6 по вул.Деповська та ж.б. №63/2 по вул.Курчатова м.Хмельницький)</t>
  </si>
  <si>
    <t>Внески до статутного капіталу МКП "Хмельницькводоканал" (Будівництво зовнішніх мереж водопостачання вул.Ващука, вул.Ігнатенка, вул.Правика, вул.Кібенка, пров.Правика, пров, Ващука, пров. Кібенка житлового масиву"Прометей" в м.Хмельницький)</t>
  </si>
  <si>
    <t>Внески до статутного капіталу МКП "Хмельницькводоканал" (Будівництво вуличних мереж водовідведення по вул Черняховського у м.Хмельницький)</t>
  </si>
  <si>
    <r>
      <t>Будівництво</t>
    </r>
    <r>
      <rPr>
        <b/>
        <vertAlign val="superscript"/>
        <sz val="11"/>
        <rFont val="Times New Roman"/>
        <family val="1"/>
        <charset val="204"/>
      </rPr>
      <t>1</t>
    </r>
    <r>
      <rPr>
        <sz val="11"/>
        <rFont val="Times New Roman"/>
        <family val="1"/>
        <charset val="204"/>
      </rPr>
      <t>  установ та закладів культури</t>
    </r>
  </si>
  <si>
    <t>Проєкт Програми охорони довкілля Хмельницької міської територіальної громади на 2021-2025 роки</t>
  </si>
  <si>
    <t>Проєкт Програми економічного і соціального розвитку Хмельницької міської територіальної громади на 2021 рік</t>
  </si>
  <si>
    <t>Управління комунальної інфраструктури Хмельницької міської ради (головний розпорядник)</t>
  </si>
  <si>
    <t>Управління комунальної інфраструктури Хмельницької міської ради (відповідальний виконавець)</t>
  </si>
  <si>
    <t>Управління житлової політики і майна Хмельницької міської ради (головний розпорядник)</t>
  </si>
  <si>
    <t>Управління житлової політики і майна Хмельницької міської ради (відповідальний виконавець)</t>
  </si>
  <si>
    <t>Нове будівництво парку "Молодіжний" по вул. Бандери в м. Хмельницькому</t>
  </si>
  <si>
    <t>Індивідуальне навчання, оляг сиротам, субвенція на інелюзію</t>
  </si>
  <si>
    <t>Індивідуальне навчання, одяг сиротам</t>
  </si>
  <si>
    <t>Виплата 1810 грн сиротам при досягненні 18 років</t>
  </si>
  <si>
    <t>видатків бюджету Хмельницької міської територіальної громади на 2021 рік</t>
  </si>
  <si>
    <t>навколишнього природного середовища у 2021 році</t>
  </si>
  <si>
    <t>РОЗПОДІЛ</t>
  </si>
  <si>
    <t>витрат бюджету Хмельницької міської територіальної громади на реалізацію місцевих/регіональних програм у 2021 році</t>
  </si>
  <si>
    <t>Найменування головного розпорядника коштів бюджету  Хмельницької міської територіальної громади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</si>
  <si>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доходів та видатків цільового фонду</t>
  </si>
  <si>
    <t>КОШТОРИС</t>
  </si>
  <si>
    <t>природоохоронних заходів,</t>
  </si>
  <si>
    <t>ПЕРЕЛІК</t>
  </si>
  <si>
    <t>бюджету Хмельницької міської територіальної громади у 2021 році</t>
  </si>
  <si>
    <t>КРЕДИТУВАННЯ</t>
  </si>
  <si>
    <t>ФІНАНСУВАННЯ</t>
  </si>
  <si>
    <t>бюджету Хмельницької міської територіальної громади на 2021 рік</t>
  </si>
  <si>
    <t>Найменування головного розпорядника коштів бюджету Хмельницької міської територіальної громади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</si>
  <si>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22530000000</t>
  </si>
  <si>
    <t>28000000000</t>
  </si>
  <si>
    <t>Державний бюджет України</t>
  </si>
  <si>
    <t>МІЖБЮДЖЕТНІ ТРАНСФЕРТИ</t>
  </si>
  <si>
    <t>Проєкт Програми цифрового розвитку на 2021-2025 роки</t>
  </si>
  <si>
    <t>Проєкт Програми висвітлення діяльності Хмельницької міської ради та її виконавчих органів на 2021 рік</t>
  </si>
  <si>
    <t>Проєкт Програми 
навчання, підготовки та підвищення кваліфікації посадових осіб місцевого самоврядування, керівних працівників підприємств, установ і організацій міста, членів виконавчого комітету та депутатів міської ради на 2021 рік</t>
  </si>
  <si>
    <t>Проєкт Програми розвитку міського комунального підприємства «Муніципальна телерадіокомпанія «Місто» на 2021-2023 роки</t>
  </si>
  <si>
    <t>0219770</t>
  </si>
  <si>
    <t>22317200000</t>
  </si>
  <si>
    <t>Районний бюджет Хмельницького району</t>
  </si>
  <si>
    <t>Бюджет Красилівської міської територіальної громади</t>
  </si>
  <si>
    <t>22548000000</t>
  </si>
  <si>
    <t>Бюджет Заслучненської сільської територіальної громади</t>
  </si>
  <si>
    <t>22522000000</t>
  </si>
  <si>
    <t>Бюджет Чорноострівської селищної територіальної громади</t>
  </si>
  <si>
    <t>Реконструкція спортивного майданчика під мультифункціональний  майданчик для занять ігровими видами спорту на території Хмельницької спеціалізованої середньої загальноосвітньої школи І-ІІІ ступенів №13 імені М.К.Чекмана за адресою вул. Профспілковій, 39 в м.Хмельницькому</t>
  </si>
  <si>
    <t>Реконструкція спортивного майданчика під мультифункціональний  майданчик для занять ігровими видами спорту на території Хмельницького навчально-виховного комплексу №31 за адресою вул. Миколи Мазура, 17 в м. Хмельницькому</t>
  </si>
  <si>
    <t xml:space="preserve">Капітальний ремонт спортивного майданчика НВК №2 (в тому числі виготовлення проектно-кошторисної документації) </t>
  </si>
  <si>
    <t xml:space="preserve">Капітальний ремонт спортивного майданчика СЗОШ №12 (в тому числі виготовлення проектно-кошторисної документації) </t>
  </si>
  <si>
    <t xml:space="preserve">Капітальний ремонт спортивного майданчика СЗОШ №32 (в тому числі виготовлення проектно-кошторисної документації) </t>
  </si>
  <si>
    <t xml:space="preserve">Капітальний ремонт водопостачання Хмельницької спеціалізованої загальноосвітньої школи №19 І-ІІІ ступенів імені академіка Михайла Павловського (в тому числі виготовлення проектно-кошторисної документації) </t>
  </si>
  <si>
    <t>Капітальний ремонт пожежної сигналізації на об'єкті: Хмельницький навчально-виховний комплекс №4, що знаходиться за адресою: Хмельницька область, м.Хмельницький, вул. Перемоги, 9 (в тому числі виготовлення проектно-кошторисної документації)</t>
  </si>
  <si>
    <t>Програма розвитку освіти Хмельницької міської територіальної громади на 2017-2021 роки (із змінами і доповненнями)</t>
  </si>
  <si>
    <t>Комплексна програма «Піклування» в Хмельницькій міській територіальній громаді на 2017 - 2021 роки (із змінами і доповненнями)</t>
  </si>
  <si>
    <t>Внески до статутного капіталу комунального підприємства "Хмельницька міська лікарня" Хмельницької міської ради (Капітальний ремонт приміщення другого поверху та центрального входу  відділення амбулаторного гемодіалізу  корпусу №4 комунального підприємства "Хмельницька міська лікарня" Хмельницької міської ради, за адресою: провулок  Проскурівський,1 м.Хмельницький)</t>
  </si>
  <si>
    <t>Проєкт програми розвитку та підтримки комунальних закладів охорони здоров’я та надання 
медичних послуг понад обсяг, передбачений програмою державних гарантій медичного обслуговування населення Хмельницької міської 
територіальної громади на 2021-2023 роки</t>
  </si>
  <si>
    <t>Проєкт Програми зайнятості населення м.Хмельницького на 2021 - 2023 роки</t>
  </si>
  <si>
    <t>Проєкт Програми соціальної підтримки учасників АТО/ООС, учасників Революції Гідності та членів їх сімей на 2021-2025 роки</t>
  </si>
  <si>
    <t>Проєкт Програми розвитку та підтримки комунальних закладів охорони здоров’я та надання 
медичних послуг понад обсяг, передбачений програмою державних гарантій медичного обслуговування населення Хмельницької міської 
територіальної громади на 2021-2023 роки</t>
  </si>
  <si>
    <t>Проєкт Програми 
підтримки сім'ї на 2021 - 2025 роки</t>
  </si>
  <si>
    <t xml:space="preserve">Внески до статутного капіталу комунального підприємства "Хмельницька інфекційна лікарня" Хмельницької міської ради (Капітальний ремонт (з замміною дверей) тераси корпусу №3 Хмельницької міської інфекційної лікарні по вул. Сковороди, 17)  (в тому числі виготовлення проектно-кошторисної документації) </t>
  </si>
  <si>
    <t>Внески до статутного капіталу комунального підприємства "Хмельницька міська дитяча лікарня" Хмельницької міської ради (Капітальний ремонт (заміна) двох лікарняних ліфтів в головному корпусі комунального підприємства "Хмельницька міська дитяча лікарня" Хмельницької міської ради за адресою: м.Хмельницький, вул. Степана Разіна,1)</t>
  </si>
  <si>
    <t>0210160</t>
  </si>
  <si>
    <t>Програма утримання та розвитку житлово-комунального господарства та благоустрою Хмельницької міської територіальної громади на 2017-2021 роки. (зі змінами)</t>
  </si>
  <si>
    <t>Рішення позачергової 10-ї сесії  Хмельницької міської ради від 29.12.2016 року № 6</t>
  </si>
  <si>
    <t>Проєкт програми співфінансування робіт з ремонту багатоквартирних житлових будинків м. Хмельницького на 2020 - 2024 роки</t>
  </si>
  <si>
    <t>Рішення 42-ї сесії Хмельницької міської ради від 17.06.2020 року №39</t>
  </si>
  <si>
    <t xml:space="preserve"> Програма відшкодування частини відсоткових ставок та кредитів, отриманих ОСББ, ЖБК на впровадження відновлювальних джерел енергії та заходів з енергозбереження, термомодернізації багатоквартирних житлових будинків у м. Хмельницькому на 2019-2022 роки. </t>
  </si>
  <si>
    <t>Програма підтримки ОСББ Хмельницької міської територіальної громади на 2020 – 2023 роки.(зі змінами)</t>
  </si>
  <si>
    <t>Рішення виконавчого комітету Хмельницької міської ради від 25.11.2020 року №903</t>
  </si>
  <si>
    <t>Програма популяризації та ефективного впрвадження програм у сфері житлово-комунального господарства на 2019-2023 роки</t>
  </si>
  <si>
    <t>Рішення 30-ї сесії Хмельницької  міської  ради   від 17.04.2019 року     № 48</t>
  </si>
  <si>
    <t>Програма розвитку велоінфраструктури м.Хмельницького на2017-2025 роки</t>
  </si>
  <si>
    <t>ріш. 13-ї сесії Хмельницької міської ради  від 22.03.2017 №33</t>
  </si>
  <si>
    <t xml:space="preserve">Проєкт цільової Програми попередження виникнення надзвичайних ситуацій та забезпечення  пожежної і техногенної безпеки об'єктів усіх форм власності, розвитку інфраструктури пожежно-рятувальних підрозділів у м.Хмельницькому на 2021-2025 роки </t>
  </si>
  <si>
    <t xml:space="preserve">Проєкт цільової Програми попередження виникнення надзвичайних ситуацій та забезпечення  пожежної і техногенної безпеки об'єктів усіх форм власності,розвитку інфраструктури пожежно-рятувальних підрозділів у м.Хмельницькому на 2021-2025 роки </t>
  </si>
  <si>
    <t>Проєкт Програми розвитку Хмельницької міської територіальної громади у сфері культури на 2021 -2025 роки "Нова лінія культурних змін"</t>
  </si>
  <si>
    <t>Громадський проєкт «МІКРО": Мобільна Інтерактивна Кімната Розвитку Особистості у бібліотеці» (видатки на капітальний ремонт приміщення бібліотеки-філії №9)</t>
  </si>
  <si>
    <t>Громадський проєкт «Творчий проєкт "ProArt"» (видатки на капітальний ремонт підлоги бібліотеки-філії №12)</t>
  </si>
  <si>
    <t>Проєкт Програми підтримки книговидання та читацької культури у Хмельницькій міській територіальній громаді на 2021-2025 роки «#ЩодняЧитай українською»</t>
  </si>
  <si>
    <t>1019770</t>
  </si>
  <si>
    <t>Програма
підтримки обдарованих дітей м.Хмельницького</t>
  </si>
  <si>
    <t>Реконструкція котельні під спортивні приміщення на СК "Поділля" по вул. Проскурівській, 81 (коригування робочого проєкту)</t>
  </si>
  <si>
    <t>Капітальний ремонт підліткового клубу "Мустанг" по вул. Старокостянтинівське шосе, 8</t>
  </si>
  <si>
    <t>Комплексна програма реалізації молодіжної політики та розвитку фізичної культури і спорту у Хмельницькій міській територіальній громаді на 2017 - 2021 роки (із змінами і доповненнями)</t>
  </si>
  <si>
    <t>Рішення 29-ї сесії Хмельницької міської ради від 13.02.2019 року №31</t>
  </si>
  <si>
    <t>Рішення 42-ї сесії Хмельницької міської ради від 17.06.2020 року №40</t>
  </si>
  <si>
    <t>Проєкт Програмаи поводження з побутовими відходами"Розумне Довкілля.  Хмельницький" на 2021-2022 роки. р. (зі змінами та доповненнями)</t>
  </si>
  <si>
    <t>Програма 
«Громадські ініціативи» м.Хмельницького на 2021-2025 роки</t>
  </si>
  <si>
    <t>Рішення позачергової 46-ї сесії Хмельницької міської ради від 07.10.2020 року №3</t>
  </si>
  <si>
    <t>Проєкт Програми міжнародного співробітництва та промоції міста Хмельницького на 2021-2025 роки</t>
  </si>
  <si>
    <t xml:space="preserve">Реконструкція плоского покриття з улаштуванням шатрового даху над приміщеннями спортивного та актового залу Хмельницької спеціалізованої загальноосвітньої школи №19 І-ІІІ ступенів ім. академіка М. Павловського по вул.Кам'янецькій, 164 в м. Хмельницькому  (в тому числі виготовлення проектно-кошторисної документації) </t>
  </si>
  <si>
    <t>Ю. САБІЙ</t>
  </si>
  <si>
    <t>Проєкт Програми забезпечення надання адміністративних послуг територіальних органів Міністерства внутрішніх справ України через управління адміністративних послугХмельницької міської ради на 2021 рік</t>
  </si>
  <si>
    <t>Плата за гарантії, надані Верховною Радою Автономної Республіки    Крим та міськими радами</t>
  </si>
  <si>
    <t>коштів бюджету розвитку на здійснення заходів на будівництво, реконструкцію і реставрацію, капітальний ремонт об'єктів виробничої, комунікаційної та соціальної інфраструктури за об'єктами у 2021 році</t>
  </si>
  <si>
    <t>Додаток №5</t>
  </si>
  <si>
    <t>Додаток №7</t>
  </si>
  <si>
    <t>Додаток 8</t>
  </si>
  <si>
    <t>Додаток  9</t>
  </si>
  <si>
    <t>1. Показники міжбюджетних трансфертів з інших бюджетів</t>
  </si>
  <si>
    <t>Найменування трансферту /
Найменування бюджету – надавача міжбюджетного трансферту</t>
  </si>
  <si>
    <t>Код Класифікації доходу бюджету /
Код бюджету</t>
  </si>
  <si>
    <t>І. Трансферти до загального фонду бюджету</t>
  </si>
  <si>
    <t>ІІ. Трансферти до спеціального фонду бюджету</t>
  </si>
  <si>
    <t>УСЬОГО за розділами І, ІІ, у тому числі:</t>
  </si>
  <si>
    <t>2. Показники міжбюджетних трансфертів іншим бюджетам</t>
  </si>
  <si>
    <t>Код Програмної класифікації видатків та кредитування місцевого бюджету /
Код бюджету</t>
  </si>
  <si>
    <t>Найменування трансферту /
Найменування бюджету – отримувача міжбюджетного трансферту</t>
  </si>
  <si>
    <t>І. Трансферти із загального фонду бюджету</t>
  </si>
  <si>
    <t>ІІ. Трансферти із спеціального фонду бюджету</t>
  </si>
  <si>
    <t>3719110</t>
  </si>
  <si>
    <t>9110</t>
  </si>
  <si>
    <t xml:space="preserve">Капітальний ремонт спортивного майданчика Пироговецького ліцею, в тому числі виготовлення (в тому числі виготовлення проектно-кошторисної документації) </t>
  </si>
  <si>
    <t>41033900</t>
  </si>
  <si>
    <t>41030000</t>
  </si>
  <si>
    <t>Програма розвитку та вдосконалення міського пасажирського транспорту  Хмельницької міської територіальної громади  на 2019 - 2023 роки</t>
  </si>
  <si>
    <t>Проєкт Програми розвитку  електротранспорту Хмельницької міської територіальної громади  на 2021 - 2025 роки</t>
  </si>
  <si>
    <t>Будівництво каналізаційних мереж в мікрорайоні "Озерна" в м.Хмельницькому, в тому числі коригування проєктно-кошторисної документації</t>
  </si>
  <si>
    <t>1117670</t>
  </si>
  <si>
    <t>Внески до статутного капіталу комунального підприємства "Спортивно-культурний центр "Плоскирів" (Виготовлення проєктно-кошторисної документації на капітальний ремонт покрівлі адмінбудинку СКЦ "Плоскирів" по вул.Курчатова, 90)</t>
  </si>
  <si>
    <t>Виготовлення проєктно-кошторисної документації на реконструкцію футбольного поля під штучним покриттям по вул. Спортивній, 17</t>
  </si>
  <si>
    <t>Виготовлення проєктно-кошторисної документації на реконструкцію спортивного майданчика по вул.Кармелюка в м. Хмельницькому</t>
  </si>
  <si>
    <t>Капітальний ремонт пожежної сигналізації на об'єкті:ДНЗ №18 "Зірочка", що знаходиться за адресою: Хмельницька область, м. Хмельницький, вул. Кам'янецька 65/1 (в тому числі виготовлення проектно-кошторисної документації)</t>
  </si>
  <si>
    <t>Капітальний ремонт підвальних приміщень з влаштуванням дренажної системи дошкільного навчального закладу №6 "Колобок" по вул. Львівське шосе,43/2 в м.Хмельницькому</t>
  </si>
  <si>
    <t xml:space="preserve">Капітальний ремонт спортивного майданчика СЗОШ №22 (в тому числі виготовлення проектно-кошторисної документації) </t>
  </si>
  <si>
    <t>Капітальний ремонт огорожі ДНЗ №35 (в тому числі виготовлення проектно-кошторисної документації)</t>
  </si>
  <si>
    <t>Капітальний ремонт огорожі ДНЗ №55 (в тому числі виготовлення проектно-кошторисної документації)</t>
  </si>
  <si>
    <t>Внески до статутного капіталу комунального підприємства "Хмельницька міська дитяча лікарня" Хмельницької міської ради (Реконструкція відділення невідкладної допомоги та реанімації комунального підприємства "Хмельницька міська дитяча лікарня" Хмельницької міської ради за адресою: м. Хмельницький, вул. Степана Разіна, 1)</t>
  </si>
  <si>
    <t>2019 - 2023 роки</t>
  </si>
  <si>
    <t>Внески до статутного капіталу комунального підприємства "Хмельницький міський лікувально-діагностичний центр" Хмельницької міської ради (Капітальний ремонт санвузла першого поверху Поліклініки №1 КП "Хмельницький міський лікувально-діагностичний центр" Хмельницької міської ради по вул. Подільська, 54 у м. Хмельницькому)</t>
  </si>
  <si>
    <t>Внески до статутного капіталу комунального підприємства "Хмельницький міський лікувально-діагностичний центр" Хмельницької міської ради (Реконструкція кабінету №9 під санвузол для МГН Поліклініки №2 КП "Хмельницький міський лікувально-діагностичний центр" Хмельницької міської ради по проспекту Миру, 61 в м. Хмельницькому)</t>
  </si>
  <si>
    <t>Внески до статутного капіталу комунального підприємства "Хмельницька міська лікарня" Хмельницької міської ради (Придбання обладнання і предметів довгострокового користування)</t>
  </si>
  <si>
    <t>Внески до статутного капіталу комунального підприємства "Хмельницька міська лікарня" Хмельницької міської ради (Капітальний ремонт сантехнічних вузлів першого поверху корпусу №1 комунального підприємства "Хмельницька міська лікарня" за адресою: м.Хмельницький, пров. Проскурівський, 1)</t>
  </si>
  <si>
    <t>22100000000</t>
  </si>
  <si>
    <t>Обласний бюджет Хмельницької області</t>
  </si>
  <si>
    <t>41040000</t>
  </si>
  <si>
    <t>41040200</t>
  </si>
  <si>
    <t>41050000</t>
  </si>
  <si>
    <t xml:space="preserve">Субвеції з місцевих бюджетів іншим місцевим бюджетам </t>
  </si>
  <si>
    <t>41051000</t>
  </si>
  <si>
    <t xml:space="preserve">Субвенції з місцевого бюджету на здійснення переданих видатків у сфері освіти за рахунок коштів освітньої субвенції </t>
  </si>
  <si>
    <t>41051200</t>
  </si>
  <si>
    <t>41055000</t>
  </si>
  <si>
    <t xml:space="preserve">Освітня субвенція  </t>
  </si>
  <si>
    <t xml:space="preserve"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дотації з державного бюджету </t>
  </si>
  <si>
    <t xml:space="preserve">Субвенції з місцевого бюджету на здійснення підтримки окремих закладів та заходів у системі охорони здоров'я за рахунок відповідної субвенції з державного бюджету </t>
  </si>
  <si>
    <t>Капітальний ремонт спортивного майданчика біля водойми в мікрорайоні Озерна м.Хмельницький</t>
  </si>
  <si>
    <t>Капітальний ремонт дитячого майданчика в парку мікрорайону Ракове м. Хмельницький</t>
  </si>
  <si>
    <t>Капітальний ремонт дитячого майданчикабіля житлового будинку №12 на вул.Кармелюка в м.Хмельницькому</t>
  </si>
  <si>
    <t>Внески до статутного капіталу МКП "Хмельницькводоканал" (Будівництво вуличних мереж водопостачання, мікрорайон "Лезневе" у м.Хмельницький)</t>
  </si>
  <si>
    <t>Внески до статутного капіталу МКП "Хмельницькводоканал" (Капітальний ремонт вуличних мереж водопроводу центральної частини с.Пирогівці Хмельницької міської територіальної громади)</t>
  </si>
  <si>
    <t>Внески до статутного капіталу МКП "Хмельницькводоканал" (Реконструкція очисних споруд продуктивністю 200 куб.м. /добу ст. Богданівці Хмельницької міської територіальної громади)</t>
  </si>
  <si>
    <t>Внески до статутного капіталу МКП "Хмельницькводоканал" (Нове будівництво зовнішніх мереж водопроводу в  с. Шаровечка Хмельницької міської територіальної громади)</t>
  </si>
  <si>
    <t xml:space="preserve">Субвенція з місцевого бюджету на здійснення підтримки окремих закладів та заходів у системі охорони здоров"я за рахунок відповідної субвенції з державного бюджету </t>
  </si>
  <si>
    <r>
      <t>Разом  доходів (</t>
    </r>
    <r>
      <rPr>
        <b/>
        <sz val="12"/>
        <rFont val="Times New Roman"/>
        <family val="1"/>
        <charset val="204"/>
      </rPr>
      <t>з врахуванням міжбюджетних трансфертів)</t>
    </r>
  </si>
  <si>
    <t xml:space="preserve">Витрати на виконання Програми підтримки ОСББ Хмельницької міської територіальної громади  на 2020-2023 роки </t>
  </si>
  <si>
    <t xml:space="preserve"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</si>
  <si>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 xml:space="preserve">Керуючий справами  </t>
  </si>
  <si>
    <t xml:space="preserve">Заходи з озеленення </t>
  </si>
  <si>
    <t>Внески до статутного капіталу комунального підприємства "Хмельницький міський перинатальний центр" Хмельницької міської ради (Придбання обладнання і предметів довгострокового користування)</t>
  </si>
  <si>
    <t xml:space="preserve">Капітальний ремонт спортзалу СЗОШ №19 (в тому числі виготовлення проектно-кошторисної документації) </t>
  </si>
  <si>
    <t>Проведення робіт, пов‘язаних з поліпшенням технічного стану та благоустрою поверхневих водойм - благоустрій струмка в районі будинків 8-10 по вул.Хотовицького</t>
  </si>
  <si>
    <t xml:space="preserve">до рішення   №978   від  14.12. 2020  </t>
  </si>
  <si>
    <t>до рішення №978</t>
  </si>
  <si>
    <t>від  14.12.2020</t>
  </si>
  <si>
    <t xml:space="preserve">до рішення  №978    від  14.12.2020 року </t>
  </si>
  <si>
    <t>Додаток 4
до рішення  №  978 від 14.12. 2020 року</t>
  </si>
  <si>
    <t>до рішення №978 від 14.12. 2020 року</t>
  </si>
  <si>
    <t xml:space="preserve">Додаток 6
до рішення № 978  від 14.12.2020 року
</t>
  </si>
  <si>
    <t xml:space="preserve">до рішення  №978  від   14.12.2020 року </t>
  </si>
  <si>
    <t xml:space="preserve">до рішення  №978  від14.12.2020 року </t>
  </si>
  <si>
    <t>до рішення № 978</t>
  </si>
  <si>
    <t xml:space="preserve">від 14.12. 2020 року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</si>
</sst>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"/>
    <numFmt numFmtId="165" formatCode="0.0"/>
    <numFmt numFmtId="166" formatCode="#,##0.00000"/>
    <numFmt numFmtId="167" formatCode="#,##0.0000"/>
  </numFmts>
  <fonts count="163" x14ac:knownFonts="1"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MS Sans Serif"/>
      <family val="2"/>
      <charset val="204"/>
    </font>
    <font>
      <sz val="10"/>
      <name val="Times New Roman"/>
      <family val="1"/>
      <charset val="204"/>
    </font>
    <font>
      <sz val="10"/>
      <name val="Times New Roman Cyr"/>
      <family val="1"/>
      <charset val="204"/>
    </font>
    <font>
      <b/>
      <sz val="10"/>
      <name val="Times New Roman Cyr"/>
      <family val="1"/>
      <charset val="204"/>
    </font>
    <font>
      <b/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Helv"/>
      <charset val="204"/>
    </font>
    <font>
      <sz val="10"/>
      <name val="Courier New"/>
      <family val="3"/>
      <charset val="204"/>
    </font>
    <font>
      <sz val="11"/>
      <color indexed="19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36"/>
      <name val="Times New Roman"/>
      <family val="1"/>
      <charset val="204"/>
    </font>
    <font>
      <sz val="36"/>
      <name val="Times New Roman"/>
      <family val="1"/>
      <charset val="204"/>
    </font>
    <font>
      <b/>
      <sz val="37"/>
      <name val="Times New Roman"/>
      <family val="1"/>
      <charset val="204"/>
    </font>
    <font>
      <sz val="37"/>
      <name val="Times New Roman"/>
      <family val="1"/>
      <charset val="204"/>
    </font>
    <font>
      <sz val="36"/>
      <name val="Arial Cyr"/>
      <charset val="204"/>
    </font>
    <font>
      <b/>
      <sz val="18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i/>
      <sz val="11"/>
      <name val="Times New Roman"/>
      <family val="1"/>
      <charset val="204"/>
    </font>
    <font>
      <sz val="10"/>
      <name val="Arial Cyr"/>
      <charset val="204"/>
    </font>
    <font>
      <sz val="11"/>
      <name val="Times New Roman Cyr"/>
      <charset val="204"/>
    </font>
    <font>
      <i/>
      <sz val="10"/>
      <name val="Arial Cyr"/>
      <charset val="204"/>
    </font>
    <font>
      <sz val="11"/>
      <name val="Arial Cyr"/>
      <charset val="204"/>
    </font>
    <font>
      <b/>
      <sz val="36"/>
      <name val="Times New Roman Cyr"/>
      <family val="1"/>
      <charset val="204"/>
    </font>
    <font>
      <b/>
      <sz val="16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9"/>
      <color indexed="8"/>
      <name val="Times New Roman"/>
      <family val="1"/>
      <charset val="204"/>
    </font>
    <font>
      <b/>
      <i/>
      <sz val="8"/>
      <name val="Bookman Old Style"/>
      <family val="1"/>
      <charset val="204"/>
    </font>
    <font>
      <sz val="8"/>
      <name val="Bookman Old Style"/>
      <family val="1"/>
      <charset val="204"/>
    </font>
    <font>
      <b/>
      <i/>
      <sz val="9"/>
      <color indexed="62"/>
      <name val="Times New Roman"/>
      <family val="1"/>
      <charset val="204"/>
    </font>
    <font>
      <sz val="10"/>
      <name val="Arial"/>
      <family val="2"/>
      <charset val="204"/>
    </font>
    <font>
      <b/>
      <sz val="14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name val="Times New Roman CYR"/>
      <charset val="204"/>
    </font>
    <font>
      <sz val="9"/>
      <name val="Times New Roman CYR"/>
      <charset val="204"/>
    </font>
    <font>
      <b/>
      <sz val="12.5"/>
      <name val="Times New Roman"/>
      <family val="1"/>
      <charset val="204"/>
    </font>
    <font>
      <sz val="12"/>
      <name val="Arial Cyr"/>
      <charset val="204"/>
    </font>
    <font>
      <sz val="12.5"/>
      <name val="Times New Roman"/>
      <family val="1"/>
      <charset val="204"/>
    </font>
    <font>
      <b/>
      <i/>
      <sz val="12.5"/>
      <name val="Times New Roman"/>
      <family val="1"/>
      <charset val="204"/>
    </font>
    <font>
      <b/>
      <i/>
      <sz val="10"/>
      <name val="Arial"/>
      <family val="2"/>
      <charset val="204"/>
    </font>
    <font>
      <sz val="28"/>
      <name val="Arial Cyr"/>
      <charset val="204"/>
    </font>
    <font>
      <u/>
      <sz val="10"/>
      <color indexed="12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22"/>
      <name val="Times New Roman Cyr"/>
      <family val="1"/>
      <charset val="204"/>
    </font>
    <font>
      <b/>
      <sz val="48"/>
      <name val="Times New Roman Cyr"/>
      <family val="1"/>
      <charset val="204"/>
    </font>
    <font>
      <vertAlign val="superscript"/>
      <sz val="20"/>
      <name val="Times New Roman"/>
      <family val="1"/>
      <charset val="204"/>
    </font>
    <font>
      <sz val="20"/>
      <name val="Times New Roman"/>
      <family val="1"/>
      <charset val="204"/>
    </font>
    <font>
      <sz val="20"/>
      <name val="Arial Cyr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family val="2"/>
      <charset val="204"/>
    </font>
    <font>
      <sz val="36"/>
      <name val="Times New Roman Cyr"/>
      <family val="1"/>
      <charset val="204"/>
    </font>
    <font>
      <i/>
      <sz val="10"/>
      <name val="Times New Roman"/>
      <family val="1"/>
      <charset val="204"/>
    </font>
    <font>
      <sz val="50"/>
      <name val="Arial Cyr"/>
      <charset val="204"/>
    </font>
    <font>
      <sz val="11"/>
      <name val="Times New Roman Cyr"/>
      <family val="1"/>
      <charset val="204"/>
    </font>
    <font>
      <b/>
      <sz val="11"/>
      <name val="Times New Roman Cyr"/>
      <family val="1"/>
      <charset val="204"/>
    </font>
    <font>
      <i/>
      <sz val="11"/>
      <name val="Times New Roman Cyr"/>
      <family val="1"/>
      <charset val="204"/>
    </font>
    <font>
      <sz val="22"/>
      <name val="Times New Roman"/>
      <family val="1"/>
      <charset val="204"/>
    </font>
    <font>
      <sz val="36"/>
      <color indexed="8"/>
      <name val="Times New Roman"/>
      <family val="1"/>
      <charset val="204"/>
    </font>
    <font>
      <sz val="72"/>
      <name val="Arial Cyr"/>
      <charset val="204"/>
    </font>
    <font>
      <sz val="11"/>
      <color theme="1"/>
      <name val="Calibri"/>
      <family val="2"/>
      <scheme val="minor"/>
    </font>
    <font>
      <sz val="9"/>
      <name val="Arial Cyr"/>
      <charset val="204"/>
    </font>
    <font>
      <u/>
      <sz val="9"/>
      <color indexed="8"/>
      <name val="Times New Roman"/>
      <family val="1"/>
      <charset val="204"/>
    </font>
    <font>
      <u/>
      <sz val="9"/>
      <name val="Arial Cyr"/>
      <charset val="204"/>
    </font>
    <font>
      <u/>
      <sz val="36"/>
      <color indexed="8"/>
      <name val="Times New Roman"/>
      <family val="1"/>
      <charset val="204"/>
    </font>
    <font>
      <u/>
      <sz val="36"/>
      <name val="Arial Cyr"/>
      <charset val="204"/>
    </font>
    <font>
      <u/>
      <sz val="10"/>
      <color indexed="8"/>
      <name val="Times New Roman"/>
      <family val="1"/>
      <charset val="204"/>
    </font>
    <font>
      <u/>
      <sz val="10"/>
      <name val="Arial Cyr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28"/>
      <name val="Times New Roman Cyr"/>
      <family val="1"/>
      <charset val="204"/>
    </font>
    <font>
      <b/>
      <sz val="36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b/>
      <sz val="10"/>
      <color rgb="FFFF0000"/>
      <name val="Arial Cyr"/>
      <charset val="204"/>
    </font>
    <font>
      <b/>
      <i/>
      <sz val="36"/>
      <color rgb="FFFF0000"/>
      <name val="Times New Roman"/>
      <family val="1"/>
      <charset val="204"/>
    </font>
    <font>
      <sz val="36"/>
      <color rgb="FFFF0000"/>
      <name val="Times New Roman"/>
      <family val="1"/>
      <charset val="204"/>
    </font>
    <font>
      <sz val="37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2.5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37"/>
      <color rgb="FFFF0000"/>
      <name val="Times New Roman"/>
      <family val="1"/>
      <charset val="204"/>
    </font>
    <font>
      <b/>
      <i/>
      <sz val="36"/>
      <name val="Times New Roman"/>
      <family val="1"/>
      <charset val="204"/>
    </font>
    <font>
      <b/>
      <vertAlign val="superscript"/>
      <sz val="36"/>
      <color rgb="FF000000"/>
      <name val="Times New Roman"/>
      <family val="1"/>
      <charset val="204"/>
    </font>
    <font>
      <sz val="36"/>
      <color rgb="FF000000"/>
      <name val="Times New Roman"/>
      <family val="1"/>
      <charset val="204"/>
    </font>
    <font>
      <b/>
      <vertAlign val="superscript"/>
      <sz val="36"/>
      <name val="Times New Roman"/>
      <family val="1"/>
      <charset val="204"/>
    </font>
    <font>
      <i/>
      <sz val="11"/>
      <name val="Times New Roman"/>
      <family val="1"/>
      <charset val="204"/>
    </font>
    <font>
      <b/>
      <vertAlign val="superscript"/>
      <sz val="11"/>
      <name val="Times New Roman"/>
      <family val="1"/>
      <charset val="204"/>
    </font>
    <font>
      <b/>
      <sz val="10"/>
      <name val="Times New Roman CYR"/>
      <charset val="204"/>
    </font>
    <font>
      <b/>
      <sz val="10"/>
      <color rgb="FFFF0000"/>
      <name val="Times New Roman"/>
      <family val="1"/>
      <charset val="204"/>
    </font>
    <font>
      <i/>
      <sz val="36"/>
      <color rgb="FFFF0000"/>
      <name val="Arial Cyr"/>
      <charset val="204"/>
    </font>
    <font>
      <i/>
      <sz val="10"/>
      <color rgb="FFFF0000"/>
      <name val="Arial Cyr"/>
      <charset val="204"/>
    </font>
    <font>
      <sz val="36"/>
      <color rgb="FFFF0000"/>
      <name val="Arial Cyr"/>
      <charset val="204"/>
    </font>
    <font>
      <b/>
      <sz val="36"/>
      <color rgb="FFFF0000"/>
      <name val="Arial Cyr"/>
      <charset val="204"/>
    </font>
    <font>
      <sz val="48"/>
      <color rgb="FFFF0000"/>
      <name val="Arial Cyr"/>
      <charset val="204"/>
    </font>
    <font>
      <b/>
      <sz val="48"/>
      <color rgb="FFFF0000"/>
      <name val="Times New Roman Cyr"/>
      <family val="1"/>
      <charset val="204"/>
    </font>
    <font>
      <b/>
      <sz val="36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sz val="72"/>
      <color rgb="FFFF0000"/>
      <name val="Arial Cyr"/>
      <charset val="204"/>
    </font>
    <font>
      <sz val="10"/>
      <color rgb="FFFF0000"/>
      <name val="Times New Roman CYR"/>
      <charset val="204"/>
    </font>
    <font>
      <b/>
      <sz val="14"/>
      <color rgb="FFFF0000"/>
      <name val="Times New Roman CYR"/>
      <charset val="204"/>
    </font>
    <font>
      <sz val="12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b/>
      <sz val="14"/>
      <color rgb="FFFF0000"/>
      <name val="Times New Roman"/>
      <family val="1"/>
      <charset val="204"/>
    </font>
    <font>
      <b/>
      <i/>
      <sz val="37"/>
      <color rgb="FFFF0000"/>
      <name val="Times New Roman"/>
      <family val="1"/>
      <charset val="204"/>
    </font>
    <font>
      <sz val="48"/>
      <color rgb="FFFF0000"/>
      <name val="Times New Roman"/>
      <family val="1"/>
      <charset val="204"/>
    </font>
    <font>
      <b/>
      <i/>
      <sz val="37"/>
      <color rgb="FFFF0000"/>
      <name val="Arial Cyr"/>
      <charset val="204"/>
    </font>
    <font>
      <sz val="28"/>
      <color rgb="FFFF0000"/>
      <name val="Arial Cyr"/>
      <charset val="204"/>
    </font>
    <font>
      <sz val="36"/>
      <color theme="1"/>
      <name val="Times New Roman"/>
      <family val="1"/>
      <charset val="204"/>
    </font>
    <font>
      <b/>
      <i/>
      <sz val="37"/>
      <name val="Times New Roman"/>
      <family val="1"/>
      <charset val="204"/>
    </font>
    <font>
      <b/>
      <i/>
      <sz val="37"/>
      <name val="Arial Cyr"/>
      <charset val="204"/>
    </font>
    <font>
      <b/>
      <sz val="72"/>
      <name val="Times New Roman"/>
      <family val="1"/>
      <charset val="204"/>
    </font>
    <font>
      <b/>
      <sz val="37"/>
      <color theme="1"/>
      <name val="Times New Roman"/>
      <family val="1"/>
      <charset val="204"/>
    </font>
    <font>
      <b/>
      <i/>
      <sz val="36"/>
      <color theme="1"/>
      <name val="Times New Roman"/>
      <family val="1"/>
      <charset val="204"/>
    </font>
    <font>
      <sz val="26"/>
      <name val="Times New Roman Cyr"/>
      <family val="1"/>
      <charset val="204"/>
    </font>
    <font>
      <sz val="22"/>
      <name val="Arial Cyr"/>
      <charset val="204"/>
    </font>
    <font>
      <sz val="36"/>
      <color rgb="FF000099"/>
      <name val="Times New Roman"/>
      <family val="1"/>
      <charset val="204"/>
    </font>
    <font>
      <sz val="10"/>
      <color rgb="FFFF0000"/>
      <name val="Times New Roman Cyr"/>
      <family val="1"/>
      <charset val="204"/>
    </font>
    <font>
      <sz val="10"/>
      <color rgb="FF000099"/>
      <name val="Arial Cyr"/>
      <charset val="204"/>
    </font>
    <font>
      <sz val="48"/>
      <name val="Times New Roman Cyr"/>
      <family val="1"/>
      <charset val="204"/>
    </font>
  </fonts>
  <fills count="37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4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990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9" tint="0.80001220740379042"/>
        </stop>
      </gradientFill>
    </fill>
    <fill>
      <gradientFill type="path" left="0.5" right="0.5" top="0.5" bottom="0.5">
        <stop position="0">
          <color theme="0"/>
        </stop>
        <stop position="1">
          <color rgb="FFCCFFCC"/>
        </stop>
      </gradientFill>
    </fill>
    <fill>
      <gradientFill degree="90">
        <stop position="0">
          <color theme="0"/>
        </stop>
        <stop position="1">
          <color rgb="FFCC99FF"/>
        </stop>
      </gradientFill>
    </fill>
    <fill>
      <gradientFill type="path" left="0.5" right="0.5" top="0.5" bottom="0.5">
        <stop position="0">
          <color theme="0"/>
        </stop>
        <stop position="1">
          <color theme="9" tint="0.59999389629810485"/>
        </stop>
      </gradientFill>
    </fill>
    <fill>
      <patternFill patternType="solid">
        <fgColor rgb="FFFF00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9FF99"/>
        <bgColor indexed="64"/>
      </patternFill>
    </fill>
    <fill>
      <gradientFill degree="270">
        <stop position="0">
          <color theme="0"/>
        </stop>
        <stop position="1">
          <color rgb="FF99FF99"/>
        </stop>
      </gradient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/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/>
      <diagonal/>
    </border>
    <border>
      <left/>
      <right style="double">
        <color theme="0" tint="-0.499984740745262"/>
      </right>
      <top/>
      <bottom style="double">
        <color theme="0" tint="-0.499984740745262"/>
      </bottom>
      <diagonal/>
    </border>
    <border>
      <left style="double">
        <color theme="0" tint="-0.499984740745262"/>
      </left>
      <right/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thin">
        <color indexed="64"/>
      </bottom>
      <diagonal/>
    </border>
    <border>
      <left/>
      <right/>
      <top style="double">
        <color theme="0" tint="-0.499984740745262"/>
      </top>
      <bottom style="double">
        <color theme="0" tint="-0.499984740745262"/>
      </bottom>
      <diagonal/>
    </border>
    <border>
      <left/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/>
      <bottom/>
      <diagonal/>
    </border>
  </borders>
  <cellStyleXfs count="102">
    <xf numFmtId="0" fontId="0" fillId="0" borderId="0"/>
    <xf numFmtId="0" fontId="8" fillId="0" borderId="0"/>
    <xf numFmtId="0" fontId="21" fillId="2" borderId="1" applyNumberFormat="0" applyAlignment="0" applyProtection="0"/>
    <xf numFmtId="0" fontId="29" fillId="3" borderId="0" applyNumberFormat="0" applyBorder="0" applyAlignment="0" applyProtection="0"/>
    <xf numFmtId="0" fontId="22" fillId="0" borderId="2" applyNumberFormat="0" applyFill="0" applyAlignment="0" applyProtection="0"/>
    <xf numFmtId="0" fontId="23" fillId="0" borderId="3" applyNumberFormat="0" applyFill="0" applyAlignment="0" applyProtection="0"/>
    <xf numFmtId="0" fontId="24" fillId="0" borderId="4" applyNumberFormat="0" applyFill="0" applyAlignment="0" applyProtection="0"/>
    <xf numFmtId="0" fontId="24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8" fillId="0" borderId="0"/>
    <xf numFmtId="0" fontId="50" fillId="0" borderId="0"/>
    <xf numFmtId="0" fontId="31" fillId="0" borderId="0"/>
    <xf numFmtId="0" fontId="8" fillId="0" borderId="0"/>
    <xf numFmtId="0" fontId="50" fillId="0" borderId="0"/>
    <xf numFmtId="0" fontId="8" fillId="0" borderId="0"/>
    <xf numFmtId="0" fontId="5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48" fillId="0" borderId="0">
      <alignment vertical="top"/>
    </xf>
    <xf numFmtId="0" fontId="25" fillId="5" borderId="5" applyNumberFormat="0" applyAlignment="0" applyProtection="0"/>
    <xf numFmtId="0" fontId="26" fillId="0" borderId="0" applyNumberFormat="0" applyFill="0" applyBorder="0" applyAlignment="0" applyProtection="0"/>
    <xf numFmtId="0" fontId="8" fillId="0" borderId="0"/>
    <xf numFmtId="0" fontId="50" fillId="0" borderId="0"/>
    <xf numFmtId="0" fontId="10" fillId="0" borderId="0"/>
    <xf numFmtId="0" fontId="63" fillId="0" borderId="0" applyNumberFormat="0" applyFont="0" applyFill="0" applyBorder="0" applyAlignment="0" applyProtection="0">
      <alignment vertical="top"/>
    </xf>
    <xf numFmtId="0" fontId="30" fillId="0" borderId="0"/>
    <xf numFmtId="0" fontId="9" fillId="0" borderId="0" applyNumberFormat="0" applyFont="0" applyFill="0" applyBorder="0" applyAlignment="0" applyProtection="0">
      <alignment vertical="top"/>
    </xf>
    <xf numFmtId="0" fontId="10" fillId="0" borderId="0"/>
    <xf numFmtId="0" fontId="30" fillId="0" borderId="0"/>
    <xf numFmtId="0" fontId="27" fillId="0" borderId="6" applyNumberFormat="0" applyFill="0" applyAlignment="0" applyProtection="0"/>
    <xf numFmtId="0" fontId="32" fillId="4" borderId="0" applyNumberFormat="0" applyBorder="0" applyAlignment="0" applyProtection="0"/>
    <xf numFmtId="0" fontId="30" fillId="0" borderId="0"/>
    <xf numFmtId="0" fontId="28" fillId="0" borderId="0" applyNumberFormat="0" applyFill="0" applyBorder="0" applyAlignment="0" applyProtection="0"/>
    <xf numFmtId="0" fontId="8" fillId="0" borderId="0"/>
    <xf numFmtId="0" fontId="75" fillId="7" borderId="0" applyNumberFormat="0" applyBorder="0" applyAlignment="0" applyProtection="0"/>
    <xf numFmtId="0" fontId="75" fillId="8" borderId="0" applyNumberFormat="0" applyBorder="0" applyAlignment="0" applyProtection="0"/>
    <xf numFmtId="0" fontId="75" fillId="9" borderId="0" applyNumberFormat="0" applyBorder="0" applyAlignment="0" applyProtection="0"/>
    <xf numFmtId="0" fontId="75" fillId="10" borderId="0" applyNumberFormat="0" applyBorder="0" applyAlignment="0" applyProtection="0"/>
    <xf numFmtId="0" fontId="75" fillId="3" borderId="0" applyNumberFormat="0" applyBorder="0" applyAlignment="0" applyProtection="0"/>
    <xf numFmtId="0" fontId="75" fillId="2" borderId="0" applyNumberFormat="0" applyBorder="0" applyAlignment="0" applyProtection="0"/>
    <xf numFmtId="0" fontId="75" fillId="11" borderId="0" applyNumberFormat="0" applyBorder="0" applyAlignment="0" applyProtection="0"/>
    <xf numFmtId="0" fontId="75" fillId="12" borderId="0" applyNumberFormat="0" applyBorder="0" applyAlignment="0" applyProtection="0"/>
    <xf numFmtId="0" fontId="75" fillId="13" borderId="0" applyNumberFormat="0" applyBorder="0" applyAlignment="0" applyProtection="0"/>
    <xf numFmtId="0" fontId="75" fillId="10" borderId="0" applyNumberFormat="0" applyBorder="0" applyAlignment="0" applyProtection="0"/>
    <xf numFmtId="0" fontId="75" fillId="11" borderId="0" applyNumberFormat="0" applyBorder="0" applyAlignment="0" applyProtection="0"/>
    <xf numFmtId="0" fontId="75" fillId="14" borderId="0" applyNumberFormat="0" applyBorder="0" applyAlignment="0" applyProtection="0"/>
    <xf numFmtId="0" fontId="76" fillId="15" borderId="0" applyNumberFormat="0" applyBorder="0" applyAlignment="0" applyProtection="0"/>
    <xf numFmtId="0" fontId="76" fillId="12" borderId="0" applyNumberFormat="0" applyBorder="0" applyAlignment="0" applyProtection="0"/>
    <xf numFmtId="0" fontId="76" fillId="13" borderId="0" applyNumberFormat="0" applyBorder="0" applyAlignment="0" applyProtection="0"/>
    <xf numFmtId="0" fontId="76" fillId="16" borderId="0" applyNumberFormat="0" applyBorder="0" applyAlignment="0" applyProtection="0"/>
    <xf numFmtId="0" fontId="76" fillId="17" borderId="0" applyNumberFormat="0" applyBorder="0" applyAlignment="0" applyProtection="0"/>
    <xf numFmtId="0" fontId="76" fillId="18" borderId="0" applyNumberFormat="0" applyBorder="0" applyAlignment="0" applyProtection="0"/>
    <xf numFmtId="0" fontId="76" fillId="19" borderId="0" applyNumberFormat="0" applyBorder="0" applyAlignment="0" applyProtection="0"/>
    <xf numFmtId="0" fontId="76" fillId="20" borderId="0" applyNumberFormat="0" applyBorder="0" applyAlignment="0" applyProtection="0"/>
    <xf numFmtId="0" fontId="76" fillId="21" borderId="0" applyNumberFormat="0" applyBorder="0" applyAlignment="0" applyProtection="0"/>
    <xf numFmtId="0" fontId="76" fillId="16" borderId="0" applyNumberFormat="0" applyBorder="0" applyAlignment="0" applyProtection="0"/>
    <xf numFmtId="0" fontId="76" fillId="17" borderId="0" applyNumberFormat="0" applyBorder="0" applyAlignment="0" applyProtection="0"/>
    <xf numFmtId="0" fontId="76" fillId="22" borderId="0" applyNumberFormat="0" applyBorder="0" applyAlignment="0" applyProtection="0"/>
    <xf numFmtId="0" fontId="21" fillId="2" borderId="1" applyNumberFormat="0" applyAlignment="0" applyProtection="0"/>
    <xf numFmtId="0" fontId="77" fillId="23" borderId="18" applyNumberFormat="0" applyAlignment="0" applyProtection="0"/>
    <xf numFmtId="0" fontId="78" fillId="23" borderId="1" applyNumberFormat="0" applyAlignment="0" applyProtection="0"/>
    <xf numFmtId="0" fontId="74" fillId="0" borderId="0" applyNumberFormat="0" applyFill="0" applyBorder="0" applyAlignment="0" applyProtection="0">
      <alignment vertical="top"/>
      <protection locked="0"/>
    </xf>
    <xf numFmtId="0" fontId="79" fillId="0" borderId="19" applyNumberFormat="0" applyFill="0" applyAlignment="0" applyProtection="0"/>
    <xf numFmtId="0" fontId="25" fillId="5" borderId="5" applyNumberFormat="0" applyAlignment="0" applyProtection="0"/>
    <xf numFmtId="0" fontId="26" fillId="0" borderId="0" applyNumberFormat="0" applyFill="0" applyBorder="0" applyAlignment="0" applyProtection="0"/>
    <xf numFmtId="0" fontId="80" fillId="4" borderId="0" applyNumberFormat="0" applyBorder="0" applyAlignment="0" applyProtection="0"/>
    <xf numFmtId="0" fontId="81" fillId="8" borderId="0" applyNumberFormat="0" applyBorder="0" applyAlignment="0" applyProtection="0"/>
    <xf numFmtId="0" fontId="82" fillId="0" borderId="0" applyNumberFormat="0" applyFill="0" applyBorder="0" applyAlignment="0" applyProtection="0"/>
    <xf numFmtId="0" fontId="75" fillId="24" borderId="20" applyNumberFormat="0" applyFont="0" applyAlignment="0" applyProtection="0"/>
    <xf numFmtId="0" fontId="27" fillId="0" borderId="6" applyNumberFormat="0" applyFill="0" applyAlignment="0" applyProtection="0"/>
    <xf numFmtId="0" fontId="28" fillId="0" borderId="0" applyNumberFormat="0" applyFill="0" applyBorder="0" applyAlignment="0" applyProtection="0"/>
    <xf numFmtId="0" fontId="29" fillId="9" borderId="0" applyNumberFormat="0" applyBorder="0" applyAlignment="0" applyProtection="0"/>
    <xf numFmtId="0" fontId="91" fillId="0" borderId="0"/>
    <xf numFmtId="0" fontId="8" fillId="0" borderId="0"/>
    <xf numFmtId="0" fontId="7" fillId="0" borderId="0"/>
    <xf numFmtId="0" fontId="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5" fillId="0" borderId="0"/>
    <xf numFmtId="0" fontId="101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738">
    <xf numFmtId="0" fontId="0" fillId="0" borderId="0" xfId="0"/>
    <xf numFmtId="0" fontId="11" fillId="0" borderId="0" xfId="0" applyFont="1" applyAlignment="1">
      <alignment vertical="center"/>
    </xf>
    <xf numFmtId="0" fontId="13" fillId="0" borderId="0" xfId="0" applyFont="1"/>
    <xf numFmtId="4" fontId="11" fillId="0" borderId="0" xfId="0" applyNumberFormat="1" applyFont="1" applyAlignment="1">
      <alignment vertical="center"/>
    </xf>
    <xf numFmtId="4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43" fillId="0" borderId="0" xfId="0" applyFont="1" applyAlignment="1">
      <alignment horizontal="right" vertical="center"/>
    </xf>
    <xf numFmtId="0" fontId="14" fillId="0" borderId="0" xfId="35" applyFont="1"/>
    <xf numFmtId="0" fontId="10" fillId="0" borderId="0" xfId="35"/>
    <xf numFmtId="0" fontId="10" fillId="6" borderId="0" xfId="35" applyFill="1"/>
    <xf numFmtId="4" fontId="54" fillId="0" borderId="0" xfId="0" applyNumberFormat="1" applyFont="1" applyAlignment="1">
      <alignment vertical="center"/>
    </xf>
    <xf numFmtId="0" fontId="54" fillId="0" borderId="0" xfId="0" applyFont="1" applyAlignment="1">
      <alignment vertical="center"/>
    </xf>
    <xf numFmtId="0" fontId="10" fillId="0" borderId="0" xfId="39"/>
    <xf numFmtId="0" fontId="33" fillId="0" borderId="0" xfId="39" applyFont="1" applyAlignment="1">
      <alignment horizontal="center" vertical="center"/>
    </xf>
    <xf numFmtId="0" fontId="19" fillId="0" borderId="11" xfId="39" applyFont="1" applyBorder="1" applyAlignment="1">
      <alignment vertical="center"/>
    </xf>
    <xf numFmtId="0" fontId="10" fillId="0" borderId="0" xfId="39" applyAlignment="1">
      <alignment vertical="center" wrapText="1"/>
    </xf>
    <xf numFmtId="0" fontId="18" fillId="0" borderId="7" xfId="39" applyFont="1" applyBorder="1" applyAlignment="1">
      <alignment horizontal="center" vertical="center" wrapText="1"/>
    </xf>
    <xf numFmtId="0" fontId="33" fillId="0" borderId="0" xfId="39" applyFont="1" applyAlignment="1">
      <alignment wrapText="1"/>
    </xf>
    <xf numFmtId="0" fontId="34" fillId="0" borderId="7" xfId="39" applyFont="1" applyBorder="1" applyAlignment="1">
      <alignment horizontal="center" vertical="center" wrapText="1"/>
    </xf>
    <xf numFmtId="0" fontId="34" fillId="0" borderId="7" xfId="39" applyFont="1" applyBorder="1" applyAlignment="1">
      <alignment horizontal="left" vertical="center" wrapText="1"/>
    </xf>
    <xf numFmtId="4" fontId="35" fillId="0" borderId="7" xfId="39" applyNumberFormat="1" applyFont="1" applyBorder="1" applyAlignment="1">
      <alignment vertical="center" wrapText="1"/>
    </xf>
    <xf numFmtId="0" fontId="34" fillId="0" borderId="0" xfId="39" applyFont="1" applyAlignment="1">
      <alignment wrapText="1"/>
    </xf>
    <xf numFmtId="0" fontId="33" fillId="0" borderId="7" xfId="39" applyFont="1" applyBorder="1" applyAlignment="1">
      <alignment horizontal="center" vertical="center" wrapText="1"/>
    </xf>
    <xf numFmtId="0" fontId="18" fillId="0" borderId="7" xfId="39" applyFont="1" applyBorder="1" applyAlignment="1">
      <alignment vertical="center" wrapText="1"/>
    </xf>
    <xf numFmtId="4" fontId="20" fillId="0" borderId="7" xfId="39" applyNumberFormat="1" applyFont="1" applyBorder="1" applyAlignment="1">
      <alignment vertical="center" wrapText="1"/>
    </xf>
    <xf numFmtId="4" fontId="36" fillId="0" borderId="7" xfId="39" applyNumberFormat="1" applyFont="1" applyBorder="1" applyAlignment="1">
      <alignment vertical="center" wrapText="1"/>
    </xf>
    <xf numFmtId="0" fontId="56" fillId="0" borderId="0" xfId="39" applyFont="1" applyAlignment="1">
      <alignment wrapText="1"/>
    </xf>
    <xf numFmtId="0" fontId="39" fillId="0" borderId="7" xfId="39" applyFont="1" applyBorder="1" applyAlignment="1">
      <alignment vertical="center" wrapText="1"/>
    </xf>
    <xf numFmtId="4" fontId="40" fillId="0" borderId="7" xfId="39" applyNumberFormat="1" applyFont="1" applyBorder="1" applyAlignment="1">
      <alignment vertical="center" wrapText="1"/>
    </xf>
    <xf numFmtId="0" fontId="56" fillId="0" borderId="7" xfId="39" applyFont="1" applyBorder="1" applyAlignment="1">
      <alignment horizontal="center" vertical="center" wrapText="1"/>
    </xf>
    <xf numFmtId="0" fontId="56" fillId="0" borderId="7" xfId="39" applyFont="1" applyBorder="1" applyAlignment="1">
      <alignment vertical="center" wrapText="1"/>
    </xf>
    <xf numFmtId="4" fontId="38" fillId="0" borderId="7" xfId="39" applyNumberFormat="1" applyFont="1" applyBorder="1" applyAlignment="1">
      <alignment vertical="center" wrapText="1"/>
    </xf>
    <xf numFmtId="4" fontId="34" fillId="0" borderId="7" xfId="39" applyNumberFormat="1" applyFont="1" applyBorder="1" applyAlignment="1">
      <alignment horizontal="right" vertical="center" wrapText="1"/>
    </xf>
    <xf numFmtId="4" fontId="33" fillId="0" borderId="7" xfId="39" applyNumberFormat="1" applyFont="1" applyBorder="1" applyAlignment="1">
      <alignment horizontal="right" vertical="center" wrapText="1"/>
    </xf>
    <xf numFmtId="0" fontId="56" fillId="0" borderId="7" xfId="37" applyFont="1" applyBorder="1" applyAlignment="1">
      <alignment horizontal="justify" vertical="top" wrapText="1"/>
    </xf>
    <xf numFmtId="4" fontId="33" fillId="0" borderId="7" xfId="39" applyNumberFormat="1" applyFont="1" applyBorder="1" applyAlignment="1">
      <alignment vertical="center" wrapText="1"/>
    </xf>
    <xf numFmtId="4" fontId="41" fillId="0" borderId="7" xfId="39" applyNumberFormat="1" applyFont="1" applyBorder="1" applyAlignment="1">
      <alignment vertical="center" wrapText="1"/>
    </xf>
    <xf numFmtId="0" fontId="10" fillId="0" borderId="0" xfId="39" applyAlignment="1">
      <alignment wrapText="1"/>
    </xf>
    <xf numFmtId="0" fontId="34" fillId="0" borderId="7" xfId="39" applyFont="1" applyBorder="1" applyAlignment="1">
      <alignment vertical="center" wrapText="1"/>
    </xf>
    <xf numFmtId="0" fontId="35" fillId="0" borderId="7" xfId="37" applyFont="1" applyBorder="1" applyAlignment="1">
      <alignment horizontal="justify" vertical="top" wrapText="1"/>
    </xf>
    <xf numFmtId="4" fontId="37" fillId="0" borderId="7" xfId="39" applyNumberFormat="1" applyFont="1" applyBorder="1" applyAlignment="1">
      <alignment vertical="center" wrapText="1"/>
    </xf>
    <xf numFmtId="0" fontId="38" fillId="0" borderId="7" xfId="37" applyFont="1" applyBorder="1" applyAlignment="1">
      <alignment horizontal="justify" vertical="top" wrapText="1"/>
    </xf>
    <xf numFmtId="0" fontId="56" fillId="0" borderId="13" xfId="37" applyFont="1" applyBorder="1" applyAlignment="1">
      <alignment horizontal="justify" vertical="top" wrapText="1"/>
    </xf>
    <xf numFmtId="0" fontId="57" fillId="0" borderId="7" xfId="37" applyFont="1" applyBorder="1" applyAlignment="1">
      <alignment horizontal="justify" vertical="top" wrapText="1"/>
    </xf>
    <xf numFmtId="0" fontId="58" fillId="0" borderId="7" xfId="37" applyFont="1" applyBorder="1" applyAlignment="1">
      <alignment horizontal="justify" vertical="top" wrapText="1"/>
    </xf>
    <xf numFmtId="0" fontId="39" fillId="0" borderId="7" xfId="39" applyFont="1" applyBorder="1" applyAlignment="1">
      <alignment horizontal="center" vertical="center" wrapText="1"/>
    </xf>
    <xf numFmtId="0" fontId="40" fillId="0" borderId="7" xfId="37" applyFont="1" applyBorder="1" applyAlignment="1">
      <alignment horizontal="justify" vertical="top" wrapText="1"/>
    </xf>
    <xf numFmtId="0" fontId="38" fillId="0" borderId="7" xfId="37" applyFont="1" applyBorder="1" applyAlignment="1">
      <alignment vertical="top" wrapText="1"/>
    </xf>
    <xf numFmtId="0" fontId="10" fillId="0" borderId="7" xfId="39" applyBorder="1" applyAlignment="1">
      <alignment vertical="center" wrapText="1"/>
    </xf>
    <xf numFmtId="0" fontId="58" fillId="0" borderId="7" xfId="39" applyFont="1" applyBorder="1" applyAlignment="1">
      <alignment horizontal="center" vertical="center" wrapText="1"/>
    </xf>
    <xf numFmtId="0" fontId="57" fillId="0" borderId="7" xfId="37" applyFont="1" applyBorder="1" applyAlignment="1">
      <alignment vertical="top" wrapText="1"/>
    </xf>
    <xf numFmtId="4" fontId="59" fillId="0" borderId="7" xfId="39" applyNumberFormat="1" applyFont="1" applyBorder="1" applyAlignment="1">
      <alignment vertical="center" wrapText="1"/>
    </xf>
    <xf numFmtId="0" fontId="60" fillId="0" borderId="7" xfId="37" applyFont="1" applyBorder="1" applyAlignment="1">
      <alignment horizontal="justify" vertical="top" wrapText="1"/>
    </xf>
    <xf numFmtId="0" fontId="61" fillId="0" borderId="7" xfId="37" applyFont="1" applyBorder="1" applyAlignment="1">
      <alignment horizontal="justify" vertical="top" wrapText="1"/>
    </xf>
    <xf numFmtId="0" fontId="33" fillId="0" borderId="7" xfId="39" applyFont="1" applyBorder="1" applyAlignment="1">
      <alignment vertical="center" wrapText="1"/>
    </xf>
    <xf numFmtId="0" fontId="62" fillId="0" borderId="7" xfId="37" applyFont="1" applyBorder="1" applyAlignment="1">
      <alignment horizontal="justify" vertical="top" wrapText="1"/>
    </xf>
    <xf numFmtId="0" fontId="18" fillId="0" borderId="7" xfId="37" applyFont="1" applyBorder="1" applyAlignment="1">
      <alignment horizontal="justify" vertical="top" wrapText="1"/>
    </xf>
    <xf numFmtId="0" fontId="16" fillId="0" borderId="7" xfId="37" applyFont="1" applyBorder="1" applyAlignment="1">
      <alignment horizontal="justify" vertical="top" wrapText="1"/>
    </xf>
    <xf numFmtId="0" fontId="10" fillId="0" borderId="7" xfId="39" applyBorder="1" applyAlignment="1">
      <alignment horizontal="center" vertical="center" wrapText="1"/>
    </xf>
    <xf numFmtId="0" fontId="55" fillId="0" borderId="7" xfId="39" applyFont="1" applyBorder="1" applyAlignment="1">
      <alignment vertical="center" wrapText="1"/>
    </xf>
    <xf numFmtId="0" fontId="15" fillId="0" borderId="0" xfId="39" applyFont="1"/>
    <xf numFmtId="0" fontId="19" fillId="0" borderId="7" xfId="0" applyFont="1" applyBorder="1" applyAlignment="1">
      <alignment horizontal="center" vertical="top" wrapText="1"/>
    </xf>
    <xf numFmtId="0" fontId="65" fillId="0" borderId="7" xfId="0" applyFont="1" applyBorder="1" applyAlignment="1">
      <alignment horizontal="center" vertical="top" wrapText="1"/>
    </xf>
    <xf numFmtId="4" fontId="18" fillId="0" borderId="7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0" fontId="66" fillId="0" borderId="0" xfId="35" applyFont="1"/>
    <xf numFmtId="0" fontId="16" fillId="0" borderId="0" xfId="35" applyFont="1" applyAlignment="1">
      <alignment horizontal="center" vertical="center" wrapText="1"/>
    </xf>
    <xf numFmtId="0" fontId="19" fillId="0" borderId="0" xfId="35" applyFont="1" applyAlignment="1">
      <alignment horizontal="center" vertical="center" wrapText="1"/>
    </xf>
    <xf numFmtId="0" fontId="16" fillId="0" borderId="0" xfId="35" applyFont="1" applyAlignment="1">
      <alignment horizontal="center"/>
    </xf>
    <xf numFmtId="0" fontId="66" fillId="0" borderId="0" xfId="35" applyFont="1" applyAlignment="1">
      <alignment horizontal="center"/>
    </xf>
    <xf numFmtId="0" fontId="19" fillId="0" borderId="0" xfId="35" applyFont="1" applyAlignment="1">
      <alignment horizontal="right"/>
    </xf>
    <xf numFmtId="0" fontId="66" fillId="0" borderId="15" xfId="35" applyFont="1" applyBorder="1"/>
    <xf numFmtId="0" fontId="66" fillId="0" borderId="16" xfId="35" applyFont="1" applyBorder="1"/>
    <xf numFmtId="0" fontId="56" fillId="0" borderId="0" xfId="35" applyFont="1"/>
    <xf numFmtId="0" fontId="67" fillId="0" borderId="0" xfId="35" applyFont="1"/>
    <xf numFmtId="0" fontId="63" fillId="0" borderId="0" xfId="36">
      <alignment vertical="top"/>
    </xf>
    <xf numFmtId="0" fontId="15" fillId="0" borderId="0" xfId="36" applyFont="1" applyAlignment="1">
      <alignment horizontal="center" vertical="top"/>
    </xf>
    <xf numFmtId="2" fontId="63" fillId="0" borderId="0" xfId="36" applyNumberFormat="1" applyAlignment="1">
      <alignment horizontal="center" vertical="top"/>
    </xf>
    <xf numFmtId="0" fontId="70" fillId="0" borderId="0" xfId="36" applyFont="1" applyAlignment="1">
      <alignment horizontal="center" vertical="top" wrapText="1"/>
    </xf>
    <xf numFmtId="2" fontId="70" fillId="0" borderId="0" xfId="36" applyNumberFormat="1" applyFont="1" applyAlignment="1">
      <alignment horizontal="center" vertical="top" wrapText="1"/>
    </xf>
    <xf numFmtId="165" fontId="14" fillId="0" borderId="0" xfId="36" applyNumberFormat="1" applyFont="1" applyAlignment="1">
      <alignment horizontal="center" vertical="top"/>
    </xf>
    <xf numFmtId="0" fontId="72" fillId="0" borderId="0" xfId="38" applyFont="1" applyAlignment="1" applyProtection="1">
      <alignment horizontal="left" vertical="center" wrapText="1"/>
      <protection locked="0"/>
    </xf>
    <xf numFmtId="0" fontId="70" fillId="0" borderId="0" xfId="36" applyFont="1" applyAlignment="1">
      <alignment horizontal="left" vertical="top" wrapText="1"/>
    </xf>
    <xf numFmtId="0" fontId="18" fillId="0" borderId="7" xfId="0" applyFont="1" applyBorder="1" applyAlignment="1">
      <alignment horizontal="left" vertical="center" wrapText="1"/>
    </xf>
    <xf numFmtId="4" fontId="84" fillId="0" borderId="0" xfId="0" applyNumberFormat="1" applyFont="1" applyAlignment="1">
      <alignment vertical="center"/>
    </xf>
    <xf numFmtId="0" fontId="52" fillId="0" borderId="0" xfId="0" applyFont="1"/>
    <xf numFmtId="0" fontId="10" fillId="0" borderId="0" xfId="0" applyFont="1"/>
    <xf numFmtId="0" fontId="14" fillId="0" borderId="0" xfId="0" applyFont="1"/>
    <xf numFmtId="2" fontId="14" fillId="0" borderId="0" xfId="36" applyNumberFormat="1" applyFont="1">
      <alignment vertical="top"/>
    </xf>
    <xf numFmtId="0" fontId="88" fillId="0" borderId="0" xfId="0" applyFont="1" applyAlignment="1">
      <alignment horizontal="center" vertical="center"/>
    </xf>
    <xf numFmtId="4" fontId="88" fillId="0" borderId="0" xfId="0" applyNumberFormat="1" applyFont="1" applyAlignment="1">
      <alignment horizontal="center" vertical="center"/>
    </xf>
    <xf numFmtId="4" fontId="92" fillId="0" borderId="0" xfId="0" applyNumberFormat="1" applyFont="1" applyAlignment="1">
      <alignment vertical="center"/>
    </xf>
    <xf numFmtId="0" fontId="15" fillId="0" borderId="7" xfId="37" applyFont="1" applyBorder="1" applyAlignment="1">
      <alignment horizontal="justify" vertical="top" wrapText="1"/>
    </xf>
    <xf numFmtId="0" fontId="18" fillId="0" borderId="7" xfId="0" applyFont="1" applyBorder="1" applyAlignment="1">
      <alignment horizontal="center" vertical="center" wrapText="1"/>
    </xf>
    <xf numFmtId="4" fontId="13" fillId="0" borderId="0" xfId="0" applyNumberFormat="1" applyFont="1"/>
    <xf numFmtId="0" fontId="10" fillId="0" borderId="0" xfId="35" applyAlignment="1">
      <alignment horizontal="center" vertical="center"/>
    </xf>
    <xf numFmtId="0" fontId="93" fillId="0" borderId="0" xfId="35" applyFont="1"/>
    <xf numFmtId="4" fontId="43" fillId="0" borderId="0" xfId="0" applyNumberFormat="1" applyFont="1" applyAlignment="1">
      <alignment horizontal="left" vertical="center"/>
    </xf>
    <xf numFmtId="0" fontId="10" fillId="27" borderId="0" xfId="35" applyFill="1"/>
    <xf numFmtId="0" fontId="49" fillId="0" borderId="7" xfId="39" applyFont="1" applyBorder="1" applyAlignment="1">
      <alignment horizontal="center" vertical="center" wrapText="1"/>
    </xf>
    <xf numFmtId="0" fontId="49" fillId="0" borderId="0" xfId="39" applyFont="1" applyAlignment="1">
      <alignment wrapText="1"/>
    </xf>
    <xf numFmtId="0" fontId="94" fillId="0" borderId="0" xfId="0" applyFont="1"/>
    <xf numFmtId="0" fontId="45" fillId="0" borderId="0" xfId="0" applyFont="1"/>
    <xf numFmtId="0" fontId="33" fillId="0" borderId="0" xfId="35" applyFont="1" applyAlignment="1">
      <alignment horizontal="center" vertical="center" wrapText="1"/>
    </xf>
    <xf numFmtId="4" fontId="34" fillId="0" borderId="0" xfId="35" applyNumberFormat="1" applyFont="1" applyAlignment="1">
      <alignment horizontal="center" vertical="center"/>
    </xf>
    <xf numFmtId="0" fontId="95" fillId="0" borderId="0" xfId="0" applyFont="1" applyAlignment="1">
      <alignment vertical="center"/>
    </xf>
    <xf numFmtId="4" fontId="96" fillId="0" borderId="0" xfId="0" applyNumberFormat="1" applyFont="1" applyAlignment="1">
      <alignment vertical="center"/>
    </xf>
    <xf numFmtId="4" fontId="97" fillId="0" borderId="0" xfId="0" applyNumberFormat="1" applyFont="1" applyAlignment="1">
      <alignment vertical="center"/>
    </xf>
    <xf numFmtId="0" fontId="97" fillId="0" borderId="0" xfId="0" applyFont="1" applyAlignment="1">
      <alignment vertical="center"/>
    </xf>
    <xf numFmtId="4" fontId="95" fillId="0" borderId="0" xfId="0" applyNumberFormat="1" applyFont="1" applyAlignment="1">
      <alignment vertical="center"/>
    </xf>
    <xf numFmtId="0" fontId="96" fillId="0" borderId="0" xfId="0" applyFont="1" applyAlignment="1">
      <alignment vertical="center"/>
    </xf>
    <xf numFmtId="0" fontId="51" fillId="0" borderId="0" xfId="35" applyFont="1"/>
    <xf numFmtId="0" fontId="89" fillId="0" borderId="0" xfId="0" applyFont="1" applyAlignment="1">
      <alignment horizontal="center" vertical="center"/>
    </xf>
    <xf numFmtId="4" fontId="89" fillId="0" borderId="0" xfId="0" applyNumberFormat="1" applyFont="1" applyAlignment="1">
      <alignment horizontal="center" vertical="center"/>
    </xf>
    <xf numFmtId="4" fontId="89" fillId="0" borderId="0" xfId="0" applyNumberFormat="1" applyFont="1" applyAlignment="1">
      <alignment horizontal="left" vertical="center"/>
    </xf>
    <xf numFmtId="2" fontId="17" fillId="0" borderId="0" xfId="36" applyNumberFormat="1" applyFont="1">
      <alignment vertical="top"/>
    </xf>
    <xf numFmtId="0" fontId="17" fillId="0" borderId="0" xfId="36" applyFont="1">
      <alignment vertical="top"/>
    </xf>
    <xf numFmtId="0" fontId="14" fillId="0" borderId="0" xfId="39" applyFont="1"/>
    <xf numFmtId="0" fontId="58" fillId="0" borderId="7" xfId="39" applyFont="1" applyBorder="1" applyAlignment="1">
      <alignment vertical="center" wrapText="1"/>
    </xf>
    <xf numFmtId="0" fontId="41" fillId="0" borderId="0" xfId="0" applyFont="1" applyAlignment="1">
      <alignment horizontal="right"/>
    </xf>
    <xf numFmtId="0" fontId="92" fillId="0" borderId="0" xfId="0" applyFont="1" applyAlignment="1">
      <alignment vertical="center"/>
    </xf>
    <xf numFmtId="0" fontId="10" fillId="0" borderId="0" xfId="0" applyFont="1" applyAlignment="1">
      <alignment horizontal="left" vertical="center" wrapText="1"/>
    </xf>
    <xf numFmtId="0" fontId="8" fillId="0" borderId="0" xfId="0" applyFont="1"/>
    <xf numFmtId="4" fontId="8" fillId="0" borderId="0" xfId="0" applyNumberFormat="1" applyFont="1"/>
    <xf numFmtId="4" fontId="10" fillId="0" borderId="7" xfId="0" applyNumberFormat="1" applyFont="1" applyBorder="1" applyAlignment="1">
      <alignment horizontal="center" vertical="center" wrapText="1"/>
    </xf>
    <xf numFmtId="0" fontId="100" fillId="0" borderId="0" xfId="0" applyFont="1"/>
    <xf numFmtId="0" fontId="100" fillId="0" borderId="0" xfId="36" applyFont="1">
      <alignment vertical="top"/>
    </xf>
    <xf numFmtId="0" fontId="100" fillId="0" borderId="0" xfId="35" applyFont="1"/>
    <xf numFmtId="0" fontId="45" fillId="0" borderId="0" xfId="36" applyFont="1">
      <alignment vertical="top"/>
    </xf>
    <xf numFmtId="0" fontId="45" fillId="0" borderId="0" xfId="35" applyFont="1"/>
    <xf numFmtId="0" fontId="10" fillId="28" borderId="0" xfId="35" applyFill="1"/>
    <xf numFmtId="0" fontId="63" fillId="0" borderId="0" xfId="36" applyAlignment="1">
      <alignment vertical="center"/>
    </xf>
    <xf numFmtId="0" fontId="14" fillId="0" borderId="0" xfId="36" applyFont="1" applyAlignment="1">
      <alignment horizontal="right" vertical="center"/>
    </xf>
    <xf numFmtId="4" fontId="18" fillId="0" borderId="7" xfId="39" applyNumberFormat="1" applyFont="1" applyBorder="1" applyAlignment="1">
      <alignment horizontal="right" vertical="center" wrapText="1"/>
    </xf>
    <xf numFmtId="4" fontId="42" fillId="30" borderId="7" xfId="36" applyNumberFormat="1" applyFont="1" applyFill="1" applyBorder="1" applyAlignment="1">
      <alignment horizontal="center" vertical="center" wrapText="1"/>
    </xf>
    <xf numFmtId="0" fontId="0" fillId="0" borderId="0" xfId="0" applyFont="1"/>
    <xf numFmtId="0" fontId="15" fillId="0" borderId="0" xfId="39" applyFont="1" applyAlignment="1">
      <alignment horizontal="center" vertical="center"/>
    </xf>
    <xf numFmtId="0" fontId="0" fillId="0" borderId="0" xfId="0" applyAlignment="1">
      <alignment vertical="center"/>
    </xf>
    <xf numFmtId="0" fontId="66" fillId="0" borderId="0" xfId="35" applyFont="1"/>
    <xf numFmtId="0" fontId="16" fillId="0" borderId="0" xfId="35" applyFont="1" applyAlignment="1">
      <alignment horizontal="center" vertical="center" wrapText="1"/>
    </xf>
    <xf numFmtId="0" fontId="68" fillId="0" borderId="0" xfId="36" applyFont="1" applyAlignment="1">
      <alignment horizontal="center" vertical="top"/>
    </xf>
    <xf numFmtId="0" fontId="0" fillId="0" borderId="0" xfId="0" applyAlignment="1">
      <alignment vertical="top"/>
    </xf>
    <xf numFmtId="0" fontId="63" fillId="0" borderId="0" xfId="36">
      <alignment vertical="top"/>
    </xf>
    <xf numFmtId="0" fontId="68" fillId="0" borderId="0" xfId="36" applyFont="1" applyAlignment="1">
      <alignment horizontal="center" vertical="center"/>
    </xf>
    <xf numFmtId="0" fontId="8" fillId="0" borderId="0" xfId="0" applyFont="1" applyAlignment="1">
      <alignment horizontal="left"/>
    </xf>
    <xf numFmtId="0" fontId="10" fillId="0" borderId="0" xfId="35" applyBorder="1" applyAlignment="1">
      <alignment horizontal="right" vertical="center"/>
    </xf>
    <xf numFmtId="0" fontId="0" fillId="0" borderId="0" xfId="0" applyFont="1" applyBorder="1" applyAlignment="1">
      <alignment horizontal="center" vertical="center"/>
    </xf>
    <xf numFmtId="0" fontId="108" fillId="0" borderId="0" xfId="0" applyFont="1" applyBorder="1" applyAlignment="1">
      <alignment horizontal="center" vertical="center"/>
    </xf>
    <xf numFmtId="0" fontId="107" fillId="0" borderId="0" xfId="0" applyFont="1" applyBorder="1" applyAlignment="1">
      <alignment horizontal="center"/>
    </xf>
    <xf numFmtId="0" fontId="41" fillId="0" borderId="0" xfId="0" applyFont="1" applyBorder="1" applyAlignment="1">
      <alignment horizontal="center" vertical="top"/>
    </xf>
    <xf numFmtId="2" fontId="14" fillId="0" borderId="22" xfId="36" applyNumberFormat="1" applyFont="1" applyFill="1" applyBorder="1" applyAlignment="1">
      <alignment horizontal="center" vertical="center" wrapText="1"/>
    </xf>
    <xf numFmtId="4" fontId="14" fillId="0" borderId="22" xfId="36" applyNumberFormat="1" applyFont="1" applyFill="1" applyBorder="1" applyAlignment="1">
      <alignment horizontal="center" vertical="center"/>
    </xf>
    <xf numFmtId="4" fontId="71" fillId="0" borderId="22" xfId="36" applyNumberFormat="1" applyFont="1" applyFill="1" applyBorder="1" applyAlignment="1">
      <alignment horizontal="center" vertical="center" wrapText="1"/>
    </xf>
    <xf numFmtId="4" fontId="68" fillId="29" borderId="22" xfId="36" applyNumberFormat="1" applyFont="1" applyFill="1" applyBorder="1" applyAlignment="1">
      <alignment horizontal="center" vertical="center" wrapText="1"/>
    </xf>
    <xf numFmtId="0" fontId="68" fillId="29" borderId="22" xfId="0" applyFont="1" applyFill="1" applyBorder="1" applyAlignment="1">
      <alignment horizontal="center" vertical="center"/>
    </xf>
    <xf numFmtId="4" fontId="88" fillId="0" borderId="7" xfId="39" applyNumberFormat="1" applyFont="1" applyBorder="1" applyAlignment="1">
      <alignment vertical="center" wrapText="1"/>
    </xf>
    <xf numFmtId="4" fontId="15" fillId="0" borderId="7" xfId="39" applyNumberFormat="1" applyFont="1" applyBorder="1" applyAlignment="1">
      <alignment horizontal="right" vertical="center" wrapText="1"/>
    </xf>
    <xf numFmtId="0" fontId="0" fillId="31" borderId="0" xfId="0" applyFill="1"/>
    <xf numFmtId="0" fontId="66" fillId="0" borderId="0" xfId="35" applyFont="1"/>
    <xf numFmtId="0" fontId="34" fillId="0" borderId="22" xfId="0" applyFont="1" applyBorder="1" applyAlignment="1">
      <alignment horizontal="center" vertical="center" wrapText="1"/>
    </xf>
    <xf numFmtId="4" fontId="42" fillId="30" borderId="0" xfId="36" applyNumberFormat="1" applyFont="1" applyFill="1" applyBorder="1" applyAlignment="1">
      <alignment horizontal="center" vertical="center" wrapText="1"/>
    </xf>
    <xf numFmtId="10" fontId="54" fillId="0" borderId="0" xfId="0" applyNumberFormat="1" applyFont="1" applyAlignment="1">
      <alignment vertical="center"/>
    </xf>
    <xf numFmtId="0" fontId="41" fillId="0" borderId="0" xfId="0" applyFont="1" applyAlignment="1">
      <alignment horizontal="center" vertical="center"/>
    </xf>
    <xf numFmtId="0" fontId="34" fillId="0" borderId="22" xfId="0" applyFont="1" applyBorder="1" applyAlignment="1">
      <alignment horizontal="center" vertical="top" wrapText="1"/>
    </xf>
    <xf numFmtId="0" fontId="34" fillId="0" borderId="22" xfId="35" applyFont="1" applyBorder="1" applyAlignment="1">
      <alignment horizontal="center" vertical="top" wrapText="1"/>
    </xf>
    <xf numFmtId="0" fontId="10" fillId="31" borderId="0" xfId="35" applyFill="1" applyAlignment="1">
      <alignment horizontal="center" vertical="center"/>
    </xf>
    <xf numFmtId="0" fontId="45" fillId="31" borderId="0" xfId="35" applyFont="1" applyFill="1" applyAlignment="1">
      <alignment horizontal="center" vertical="center"/>
    </xf>
    <xf numFmtId="0" fontId="10" fillId="0" borderId="0" xfId="35" applyFill="1"/>
    <xf numFmtId="2" fontId="14" fillId="0" borderId="22" xfId="36" applyNumberFormat="1" applyFont="1" applyFill="1" applyBorder="1" applyAlignment="1">
      <alignment horizontal="center" vertical="center" wrapText="1"/>
    </xf>
    <xf numFmtId="0" fontId="0" fillId="0" borderId="0" xfId="0"/>
    <xf numFmtId="0" fontId="41" fillId="0" borderId="0" xfId="0" applyFont="1" applyAlignment="1">
      <alignment horizontal="center" vertical="top"/>
    </xf>
    <xf numFmtId="0" fontId="0" fillId="0" borderId="0" xfId="0" applyAlignment="1">
      <alignment horizontal="center"/>
    </xf>
    <xf numFmtId="0" fontId="15" fillId="0" borderId="0" xfId="0" applyFont="1" applyAlignment="1">
      <alignment horizontal="center"/>
    </xf>
    <xf numFmtId="4" fontId="33" fillId="0" borderId="22" xfId="0" applyNumberFormat="1" applyFont="1" applyBorder="1" applyAlignment="1">
      <alignment horizontal="center" vertical="center" wrapText="1"/>
    </xf>
    <xf numFmtId="0" fontId="10" fillId="0" borderId="7" xfId="37" applyFont="1" applyBorder="1" applyAlignment="1">
      <alignment horizontal="justify" vertical="top" wrapText="1"/>
    </xf>
    <xf numFmtId="0" fontId="34" fillId="0" borderId="0" xfId="0" applyFont="1" applyFill="1" applyBorder="1" applyAlignment="1">
      <alignment horizontal="center" vertical="center"/>
    </xf>
    <xf numFmtId="4" fontId="34" fillId="0" borderId="0" xfId="0" applyNumberFormat="1" applyFont="1" applyFill="1" applyBorder="1" applyAlignment="1">
      <alignment horizontal="center" vertical="center"/>
    </xf>
    <xf numFmtId="0" fontId="66" fillId="0" borderId="0" xfId="35" applyFont="1" applyFill="1"/>
    <xf numFmtId="0" fontId="68" fillId="0" borderId="0" xfId="0" applyFont="1" applyFill="1" applyBorder="1" applyAlignment="1">
      <alignment horizontal="center" vertical="center"/>
    </xf>
    <xf numFmtId="2" fontId="68" fillId="0" borderId="0" xfId="36" applyNumberFormat="1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/>
    </xf>
    <xf numFmtId="4" fontId="68" fillId="0" borderId="0" xfId="36" applyNumberFormat="1" applyFont="1" applyFill="1" applyBorder="1" applyAlignment="1">
      <alignment horizontal="center" vertical="center" wrapText="1"/>
    </xf>
    <xf numFmtId="2" fontId="63" fillId="0" borderId="0" xfId="36" applyNumberFormat="1" applyFill="1" applyAlignment="1">
      <alignment horizontal="center" vertical="top"/>
    </xf>
    <xf numFmtId="0" fontId="33" fillId="0" borderId="0" xfId="35" applyFont="1" applyAlignment="1">
      <alignment horizontal="center" vertical="center" wrapText="1"/>
    </xf>
    <xf numFmtId="0" fontId="33" fillId="0" borderId="0" xfId="0" applyFont="1" applyFill="1" applyBorder="1" applyAlignment="1">
      <alignment horizontal="center" vertical="center"/>
    </xf>
    <xf numFmtId="4" fontId="33" fillId="0" borderId="0" xfId="0" applyNumberFormat="1" applyFont="1" applyFill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4" fontId="42" fillId="0" borderId="0" xfId="0" applyNumberFormat="1" applyFont="1" applyAlignment="1">
      <alignment horizontal="left" vertical="center"/>
    </xf>
    <xf numFmtId="4" fontId="44" fillId="0" borderId="0" xfId="0" applyNumberFormat="1" applyFont="1" applyAlignment="1">
      <alignment horizontal="center" vertical="center" wrapText="1"/>
    </xf>
    <xf numFmtId="167" fontId="92" fillId="0" borderId="0" xfId="0" applyNumberFormat="1" applyFont="1" applyAlignment="1">
      <alignment vertical="center"/>
    </xf>
    <xf numFmtId="0" fontId="83" fillId="0" borderId="0" xfId="0" applyFont="1" applyAlignment="1">
      <alignment vertical="center"/>
    </xf>
    <xf numFmtId="2" fontId="98" fillId="0" borderId="0" xfId="0" applyNumberFormat="1" applyFont="1" applyAlignment="1">
      <alignment horizontal="center" vertical="center"/>
    </xf>
    <xf numFmtId="164" fontId="12" fillId="0" borderId="0" xfId="0" applyNumberFormat="1" applyFont="1" applyAlignment="1">
      <alignment horizontal="right" vertical="center" wrapText="1"/>
    </xf>
    <xf numFmtId="164" fontId="11" fillId="0" borderId="0" xfId="0" applyNumberFormat="1" applyFont="1" applyAlignment="1">
      <alignment horizontal="right" vertical="center" wrapText="1"/>
    </xf>
    <xf numFmtId="166" fontId="54" fillId="0" borderId="0" xfId="0" applyNumberFormat="1" applyFont="1" applyAlignment="1">
      <alignment vertical="center"/>
    </xf>
    <xf numFmtId="0" fontId="42" fillId="0" borderId="0" xfId="0" applyFont="1" applyAlignment="1">
      <alignment horizontal="right" vertical="center"/>
    </xf>
    <xf numFmtId="0" fontId="0" fillId="0" borderId="0" xfId="0"/>
    <xf numFmtId="0" fontId="0" fillId="0" borderId="0" xfId="0" applyAlignment="1">
      <alignment horizontal="center" vertical="center"/>
    </xf>
    <xf numFmtId="0" fontId="43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0" fontId="42" fillId="0" borderId="0" xfId="0" applyFont="1" applyAlignment="1">
      <alignment horizontal="center" vertical="center"/>
    </xf>
    <xf numFmtId="0" fontId="33" fillId="0" borderId="0" xfId="35" applyFont="1" applyAlignment="1">
      <alignment horizontal="center" vertical="center" wrapText="1"/>
    </xf>
    <xf numFmtId="0" fontId="16" fillId="0" borderId="0" xfId="35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47" fillId="0" borderId="0" xfId="35" applyFont="1" applyAlignment="1">
      <alignment horizontal="center" vertical="center" wrapText="1"/>
    </xf>
    <xf numFmtId="0" fontId="85" fillId="0" borderId="0" xfId="0" applyFont="1" applyAlignment="1">
      <alignment horizontal="left" vertical="center"/>
    </xf>
    <xf numFmtId="0" fontId="87" fillId="0" borderId="0" xfId="0" applyFont="1" applyAlignment="1">
      <alignment horizontal="left" vertical="center"/>
    </xf>
    <xf numFmtId="4" fontId="111" fillId="0" borderId="0" xfId="0" applyNumberFormat="1" applyFont="1" applyAlignment="1">
      <alignment vertical="center"/>
    </xf>
    <xf numFmtId="0" fontId="33" fillId="0" borderId="0" xfId="0" applyFont="1" applyAlignment="1">
      <alignment horizontal="left" vertical="center"/>
    </xf>
    <xf numFmtId="4" fontId="33" fillId="0" borderId="0" xfId="0" applyNumberFormat="1" applyFont="1" applyAlignment="1">
      <alignment horizontal="center" vertical="center"/>
    </xf>
    <xf numFmtId="0" fontId="0" fillId="0" borderId="0" xfId="0"/>
    <xf numFmtId="0" fontId="43" fillId="0" borderId="0" xfId="0" applyFont="1"/>
    <xf numFmtId="0" fontId="85" fillId="0" borderId="0" xfId="0" applyFont="1" applyAlignment="1">
      <alignment horizontal="left" vertical="center"/>
    </xf>
    <xf numFmtId="0" fontId="87" fillId="0" borderId="0" xfId="0" applyFont="1" applyAlignment="1">
      <alignment horizontal="left" vertical="center"/>
    </xf>
    <xf numFmtId="0" fontId="33" fillId="0" borderId="0" xfId="0" applyFont="1"/>
    <xf numFmtId="0" fontId="89" fillId="0" borderId="0" xfId="0" applyFont="1" applyAlignment="1">
      <alignment horizontal="right" vertical="center"/>
    </xf>
    <xf numFmtId="0" fontId="43" fillId="0" borderId="0" xfId="39" applyFont="1"/>
    <xf numFmtId="0" fontId="33" fillId="0" borderId="0" xfId="39" applyFont="1"/>
    <xf numFmtId="0" fontId="53" fillId="0" borderId="0" xfId="0" applyFont="1"/>
    <xf numFmtId="0" fontId="33" fillId="0" borderId="0" xfId="0" applyFont="1" applyFill="1"/>
    <xf numFmtId="0" fontId="33" fillId="0" borderId="0" xfId="39" applyFont="1" applyFill="1"/>
    <xf numFmtId="0" fontId="33" fillId="0" borderId="0" xfId="0" applyFont="1" applyFill="1" applyAlignment="1">
      <alignment horizontal="left" vertical="center"/>
    </xf>
    <xf numFmtId="0" fontId="10" fillId="0" borderId="0" xfId="35" applyFill="1" applyAlignment="1">
      <alignment horizontal="center" vertical="center"/>
    </xf>
    <xf numFmtId="0" fontId="53" fillId="0" borderId="0" xfId="0" applyFont="1" applyFill="1"/>
    <xf numFmtId="0" fontId="70" fillId="0" borderId="0" xfId="39" applyFont="1"/>
    <xf numFmtId="0" fontId="70" fillId="0" borderId="0" xfId="39" applyFont="1" applyFill="1"/>
    <xf numFmtId="0" fontId="70" fillId="0" borderId="0" xfId="35" applyFont="1" applyAlignment="1">
      <alignment horizontal="center" vertical="center"/>
    </xf>
    <xf numFmtId="0" fontId="70" fillId="0" borderId="0" xfId="35" applyFont="1" applyFill="1" applyAlignment="1">
      <alignment horizontal="center" vertical="center"/>
    </xf>
    <xf numFmtId="0" fontId="14" fillId="0" borderId="0" xfId="39" applyFont="1" applyFill="1"/>
    <xf numFmtId="0" fontId="55" fillId="0" borderId="0" xfId="39" applyFont="1" applyAlignment="1">
      <alignment vertical="center"/>
    </xf>
    <xf numFmtId="4" fontId="88" fillId="33" borderId="7" xfId="39" applyNumberFormat="1" applyFont="1" applyFill="1" applyBorder="1" applyAlignment="1">
      <alignment vertical="center" wrapText="1"/>
    </xf>
    <xf numFmtId="4" fontId="15" fillId="0" borderId="7" xfId="39" applyNumberFormat="1" applyFont="1" applyBorder="1" applyAlignment="1">
      <alignment vertical="center" wrapText="1"/>
    </xf>
    <xf numFmtId="0" fontId="18" fillId="33" borderId="7" xfId="39" applyFont="1" applyFill="1" applyBorder="1" applyAlignment="1">
      <alignment horizontal="center" vertical="center" wrapText="1"/>
    </xf>
    <xf numFmtId="0" fontId="18" fillId="33" borderId="7" xfId="39" applyFont="1" applyFill="1" applyBorder="1" applyAlignment="1">
      <alignment vertical="center" wrapText="1"/>
    </xf>
    <xf numFmtId="4" fontId="20" fillId="33" borderId="7" xfId="39" applyNumberFormat="1" applyFont="1" applyFill="1" applyBorder="1" applyAlignment="1">
      <alignment vertical="center" wrapText="1"/>
    </xf>
    <xf numFmtId="4" fontId="41" fillId="33" borderId="7" xfId="39" applyNumberFormat="1" applyFont="1" applyFill="1" applyBorder="1" applyAlignment="1">
      <alignment vertical="center" wrapText="1"/>
    </xf>
    <xf numFmtId="0" fontId="33" fillId="33" borderId="7" xfId="39" applyFont="1" applyFill="1" applyBorder="1" applyAlignment="1">
      <alignment horizontal="center" vertical="center" wrapText="1"/>
    </xf>
    <xf numFmtId="0" fontId="38" fillId="33" borderId="7" xfId="37" applyFont="1" applyFill="1" applyBorder="1" applyAlignment="1">
      <alignment horizontal="justify" vertical="top" wrapText="1"/>
    </xf>
    <xf numFmtId="4" fontId="36" fillId="33" borderId="7" xfId="39" applyNumberFormat="1" applyFont="1" applyFill="1" applyBorder="1" applyAlignment="1">
      <alignment vertical="center" wrapText="1"/>
    </xf>
    <xf numFmtId="0" fontId="34" fillId="33" borderId="0" xfId="39" applyFont="1" applyFill="1" applyAlignment="1">
      <alignment wrapText="1"/>
    </xf>
    <xf numFmtId="0" fontId="34" fillId="33" borderId="7" xfId="39" applyFont="1" applyFill="1" applyBorder="1" applyAlignment="1">
      <alignment horizontal="center" vertical="center" wrapText="1"/>
    </xf>
    <xf numFmtId="0" fontId="34" fillId="33" borderId="7" xfId="39" applyFont="1" applyFill="1" applyBorder="1" applyAlignment="1">
      <alignment horizontal="left" vertical="center" wrapText="1"/>
    </xf>
    <xf numFmtId="4" fontId="35" fillId="33" borderId="7" xfId="39" applyNumberFormat="1" applyFont="1" applyFill="1" applyBorder="1" applyAlignment="1">
      <alignment vertical="center" wrapText="1"/>
    </xf>
    <xf numFmtId="0" fontId="58" fillId="33" borderId="7" xfId="37" applyFont="1" applyFill="1" applyBorder="1" applyAlignment="1">
      <alignment horizontal="justify" vertical="top" wrapText="1"/>
    </xf>
    <xf numFmtId="4" fontId="39" fillId="33" borderId="7" xfId="39" applyNumberFormat="1" applyFont="1" applyFill="1" applyBorder="1" applyAlignment="1">
      <alignment vertical="center" wrapText="1"/>
    </xf>
    <xf numFmtId="0" fontId="39" fillId="33" borderId="7" xfId="39" applyFont="1" applyFill="1" applyBorder="1" applyAlignment="1">
      <alignment vertical="center" wrapText="1"/>
    </xf>
    <xf numFmtId="4" fontId="40" fillId="33" borderId="7" xfId="39" applyNumberFormat="1" applyFont="1" applyFill="1" applyBorder="1" applyAlignment="1">
      <alignment vertical="center" wrapText="1"/>
    </xf>
    <xf numFmtId="2" fontId="14" fillId="0" borderId="22" xfId="36" applyNumberFormat="1" applyFont="1" applyFill="1" applyBorder="1" applyAlignment="1">
      <alignment horizontal="center" vertical="center" wrapText="1"/>
    </xf>
    <xf numFmtId="4" fontId="115" fillId="32" borderId="22" xfId="38" applyNumberFormat="1" applyFont="1" applyFill="1" applyBorder="1" applyAlignment="1" applyProtection="1">
      <alignment horizontal="center" vertical="center" wrapText="1"/>
      <protection locked="0"/>
    </xf>
    <xf numFmtId="0" fontId="116" fillId="0" borderId="22" xfId="0" applyFont="1" applyBorder="1" applyAlignment="1">
      <alignment horizontal="center" vertical="center" wrapText="1"/>
    </xf>
    <xf numFmtId="4" fontId="116" fillId="31" borderId="22" xfId="0" applyNumberFormat="1" applyFont="1" applyFill="1" applyBorder="1" applyAlignment="1">
      <alignment horizontal="center" vertical="center" wrapText="1"/>
    </xf>
    <xf numFmtId="4" fontId="116" fillId="0" borderId="7" xfId="0" applyNumberFormat="1" applyFont="1" applyBorder="1" applyAlignment="1">
      <alignment horizontal="center" vertical="center" wrapText="1"/>
    </xf>
    <xf numFmtId="49" fontId="116" fillId="0" borderId="22" xfId="0" applyNumberFormat="1" applyFont="1" applyFill="1" applyBorder="1" applyAlignment="1">
      <alignment horizontal="center" vertical="center" wrapText="1"/>
    </xf>
    <xf numFmtId="0" fontId="121" fillId="0" borderId="22" xfId="18" applyFont="1" applyBorder="1" applyAlignment="1">
      <alignment horizontal="center" vertical="center" wrapText="1"/>
    </xf>
    <xf numFmtId="0" fontId="120" fillId="0" borderId="22" xfId="35" applyFont="1" applyBorder="1" applyAlignment="1">
      <alignment horizontal="center" vertical="center" wrapText="1"/>
    </xf>
    <xf numFmtId="4" fontId="120" fillId="0" borderId="22" xfId="35" applyNumberFormat="1" applyFont="1" applyBorder="1" applyAlignment="1">
      <alignment horizontal="center" vertical="center" wrapText="1"/>
    </xf>
    <xf numFmtId="4" fontId="121" fillId="0" borderId="22" xfId="0" applyNumberFormat="1" applyFont="1" applyBorder="1" applyAlignment="1">
      <alignment horizontal="center" vertical="center" wrapText="1"/>
    </xf>
    <xf numFmtId="164" fontId="121" fillId="0" borderId="22" xfId="30" applyNumberFormat="1" applyFont="1" applyBorder="1" applyAlignment="1">
      <alignment horizontal="center" vertical="center"/>
    </xf>
    <xf numFmtId="4" fontId="121" fillId="0" borderId="22" xfId="30" applyNumberFormat="1" applyFont="1" applyBorder="1" applyAlignment="1">
      <alignment horizontal="center" vertical="center"/>
    </xf>
    <xf numFmtId="9" fontId="121" fillId="0" borderId="22" xfId="0" applyNumberFormat="1" applyFont="1" applyBorder="1" applyAlignment="1">
      <alignment horizontal="center" vertical="center" wrapText="1"/>
    </xf>
    <xf numFmtId="4" fontId="121" fillId="0" borderId="22" xfId="0" applyNumberFormat="1" applyFont="1" applyFill="1" applyBorder="1" applyAlignment="1">
      <alignment horizontal="center" vertical="center" wrapText="1"/>
    </xf>
    <xf numFmtId="49" fontId="121" fillId="31" borderId="22" xfId="0" applyNumberFormat="1" applyFont="1" applyFill="1" applyBorder="1" applyAlignment="1">
      <alignment horizontal="center" vertical="center" wrapText="1"/>
    </xf>
    <xf numFmtId="164" fontId="121" fillId="31" borderId="22" xfId="30" applyNumberFormat="1" applyFont="1" applyFill="1" applyBorder="1" applyAlignment="1">
      <alignment horizontal="center" vertical="center"/>
    </xf>
    <xf numFmtId="4" fontId="121" fillId="31" borderId="22" xfId="30" applyNumberFormat="1" applyFont="1" applyFill="1" applyBorder="1" applyAlignment="1">
      <alignment horizontal="center" vertical="center"/>
    </xf>
    <xf numFmtId="9" fontId="121" fillId="31" borderId="22" xfId="0" applyNumberFormat="1" applyFont="1" applyFill="1" applyBorder="1" applyAlignment="1">
      <alignment horizontal="center" vertical="center" wrapText="1"/>
    </xf>
    <xf numFmtId="164" fontId="121" fillId="31" borderId="22" xfId="30" applyNumberFormat="1" applyFont="1" applyFill="1" applyBorder="1" applyAlignment="1">
      <alignment horizontal="center" vertical="center" wrapText="1"/>
    </xf>
    <xf numFmtId="4" fontId="122" fillId="0" borderId="22" xfId="0" applyNumberFormat="1" applyFont="1" applyFill="1" applyBorder="1" applyAlignment="1">
      <alignment horizontal="center" vertical="center" wrapText="1"/>
    </xf>
    <xf numFmtId="4" fontId="117" fillId="0" borderId="22" xfId="38" applyNumberFormat="1" applyFont="1" applyFill="1" applyBorder="1" applyAlignment="1" applyProtection="1">
      <alignment horizontal="center" vertical="center" wrapText="1"/>
      <protection locked="0"/>
    </xf>
    <xf numFmtId="4" fontId="117" fillId="0" borderId="22" xfId="0" applyNumberFormat="1" applyFont="1" applyFill="1" applyBorder="1" applyAlignment="1">
      <alignment horizontal="center" vertical="center" wrapText="1"/>
    </xf>
    <xf numFmtId="4" fontId="113" fillId="0" borderId="22" xfId="0" applyNumberFormat="1" applyFont="1" applyFill="1" applyBorder="1" applyAlignment="1">
      <alignment horizontal="center" vertical="center" wrapText="1"/>
    </xf>
    <xf numFmtId="4" fontId="122" fillId="25" borderId="22" xfId="0" applyNumberFormat="1" applyFont="1" applyFill="1" applyBorder="1" applyAlignment="1">
      <alignment horizontal="center" vertical="center" wrapText="1"/>
    </xf>
    <xf numFmtId="0" fontId="113" fillId="25" borderId="22" xfId="0" applyFont="1" applyFill="1" applyBorder="1" applyAlignment="1">
      <alignment horizontal="center" vertical="center" wrapText="1"/>
    </xf>
    <xf numFmtId="4" fontId="113" fillId="25" borderId="22" xfId="0" applyNumberFormat="1" applyFont="1" applyFill="1" applyBorder="1" applyAlignment="1">
      <alignment horizontal="center" vertical="center" wrapText="1"/>
    </xf>
    <xf numFmtId="0" fontId="113" fillId="25" borderId="22" xfId="0" applyFont="1" applyFill="1" applyBorder="1" applyAlignment="1">
      <alignment horizontal="center" vertical="center"/>
    </xf>
    <xf numFmtId="49" fontId="116" fillId="25" borderId="22" xfId="0" applyNumberFormat="1" applyFont="1" applyFill="1" applyBorder="1" applyAlignment="1">
      <alignment horizontal="center" vertical="center" wrapText="1"/>
    </xf>
    <xf numFmtId="4" fontId="117" fillId="25" borderId="22" xfId="0" applyNumberFormat="1" applyFont="1" applyFill="1" applyBorder="1" applyAlignment="1">
      <alignment horizontal="center" vertical="center" wrapText="1"/>
    </xf>
    <xf numFmtId="4" fontId="117" fillId="25" borderId="22" xfId="0" applyNumberFormat="1" applyFont="1" applyFill="1" applyBorder="1" applyAlignment="1">
      <alignment horizontal="center" vertical="center"/>
    </xf>
    <xf numFmtId="0" fontId="0" fillId="0" borderId="0" xfId="0"/>
    <xf numFmtId="0" fontId="43" fillId="0" borderId="0" xfId="0" applyFont="1" applyAlignment="1">
      <alignment horizontal="center" vertical="center"/>
    </xf>
    <xf numFmtId="0" fontId="43" fillId="0" borderId="0" xfId="0" applyFont="1" applyAlignment="1">
      <alignment vertical="center"/>
    </xf>
    <xf numFmtId="0" fontId="41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66" fillId="0" borderId="0" xfId="35" applyFont="1"/>
    <xf numFmtId="0" fontId="6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3" fillId="0" borderId="0" xfId="36">
      <alignment vertical="top"/>
    </xf>
    <xf numFmtId="0" fontId="42" fillId="0" borderId="0" xfId="0" applyFont="1" applyAlignment="1">
      <alignment horizontal="center" vertical="center"/>
    </xf>
    <xf numFmtId="4" fontId="116" fillId="0" borderId="22" xfId="0" applyNumberFormat="1" applyFont="1" applyBorder="1" applyAlignment="1">
      <alignment horizontal="center" vertical="center" wrapText="1"/>
    </xf>
    <xf numFmtId="0" fontId="0" fillId="0" borderId="0" xfId="0"/>
    <xf numFmtId="49" fontId="43" fillId="0" borderId="22" xfId="0" applyNumberFormat="1" applyFont="1" applyBorder="1" applyAlignment="1">
      <alignment horizontal="center" vertical="center" wrapText="1"/>
    </xf>
    <xf numFmtId="4" fontId="44" fillId="0" borderId="22" xfId="38" applyNumberFormat="1" applyFont="1" applyFill="1" applyBorder="1" applyAlignment="1" applyProtection="1">
      <alignment horizontal="center" vertical="center" wrapText="1"/>
      <protection locked="0"/>
    </xf>
    <xf numFmtId="4" fontId="45" fillId="0" borderId="22" xfId="38" applyNumberFormat="1" applyFont="1" applyFill="1" applyBorder="1" applyAlignment="1" applyProtection="1">
      <alignment horizontal="center" vertical="center" wrapText="1"/>
      <protection locked="0"/>
    </xf>
    <xf numFmtId="4" fontId="44" fillId="0" borderId="22" xfId="0" applyNumberFormat="1" applyFont="1" applyBorder="1" applyAlignment="1">
      <alignment horizontal="center" vertical="center" wrapText="1"/>
    </xf>
    <xf numFmtId="4" fontId="45" fillId="0" borderId="22" xfId="38" applyNumberFormat="1" applyFont="1" applyFill="1" applyBorder="1" applyAlignment="1">
      <alignment horizontal="center" vertical="center" wrapText="1"/>
    </xf>
    <xf numFmtId="4" fontId="45" fillId="0" borderId="22" xfId="0" applyNumberFormat="1" applyFont="1" applyBorder="1" applyAlignment="1">
      <alignment horizontal="center" vertical="center"/>
    </xf>
    <xf numFmtId="4" fontId="45" fillId="0" borderId="22" xfId="0" applyNumberFormat="1" applyFont="1" applyBorder="1" applyAlignment="1">
      <alignment horizontal="center" vertical="center" wrapText="1"/>
    </xf>
    <xf numFmtId="49" fontId="43" fillId="0" borderId="22" xfId="0" applyNumberFormat="1" applyFont="1" applyFill="1" applyBorder="1" applyAlignment="1">
      <alignment horizontal="center" vertical="center" wrapText="1"/>
    </xf>
    <xf numFmtId="4" fontId="44" fillId="0" borderId="22" xfId="0" applyNumberFormat="1" applyFont="1" applyFill="1" applyBorder="1" applyAlignment="1">
      <alignment horizontal="center" vertical="center" wrapText="1"/>
    </xf>
    <xf numFmtId="4" fontId="45" fillId="0" borderId="22" xfId="0" applyNumberFormat="1" applyFont="1" applyFill="1" applyBorder="1" applyAlignment="1">
      <alignment horizontal="center" vertical="center" wrapText="1"/>
    </xf>
    <xf numFmtId="4" fontId="45" fillId="0" borderId="22" xfId="0" applyNumberFormat="1" applyFont="1" applyFill="1" applyBorder="1" applyAlignment="1">
      <alignment horizontal="center" vertical="center"/>
    </xf>
    <xf numFmtId="49" fontId="33" fillId="0" borderId="22" xfId="0" applyNumberFormat="1" applyFont="1" applyBorder="1" applyAlignment="1">
      <alignment horizontal="center" vertical="center" wrapText="1"/>
    </xf>
    <xf numFmtId="0" fontId="33" fillId="0" borderId="22" xfId="18" applyFont="1" applyBorder="1" applyAlignment="1">
      <alignment horizontal="center" vertical="center" wrapText="1"/>
    </xf>
    <xf numFmtId="164" fontId="33" fillId="0" borderId="22" xfId="30" applyNumberFormat="1" applyFont="1" applyBorder="1" applyAlignment="1">
      <alignment horizontal="center" vertical="center"/>
    </xf>
    <xf numFmtId="4" fontId="33" fillId="0" borderId="22" xfId="30" applyNumberFormat="1" applyFont="1" applyBorder="1" applyAlignment="1">
      <alignment horizontal="center" vertical="center"/>
    </xf>
    <xf numFmtId="4" fontId="36" fillId="0" borderId="22" xfId="30" applyNumberFormat="1" applyFont="1" applyBorder="1" applyAlignment="1">
      <alignment horizontal="center" vertical="center"/>
    </xf>
    <xf numFmtId="9" fontId="33" fillId="0" borderId="22" xfId="0" applyNumberFormat="1" applyFont="1" applyBorder="1" applyAlignment="1">
      <alignment horizontal="center" vertical="center" wrapText="1"/>
    </xf>
    <xf numFmtId="49" fontId="127" fillId="0" borderId="22" xfId="0" applyNumberFormat="1" applyFont="1" applyBorder="1" applyAlignment="1">
      <alignment horizontal="center" vertical="center" wrapText="1"/>
    </xf>
    <xf numFmtId="0" fontId="127" fillId="0" borderId="22" xfId="0" applyFont="1" applyBorder="1" applyAlignment="1">
      <alignment horizontal="center" vertical="center" wrapText="1"/>
    </xf>
    <xf numFmtId="4" fontId="127" fillId="0" borderId="22" xfId="0" applyNumberFormat="1" applyFont="1" applyBorder="1" applyAlignment="1">
      <alignment horizontal="center" vertical="center" wrapText="1"/>
    </xf>
    <xf numFmtId="0" fontId="127" fillId="0" borderId="22" xfId="45" applyFont="1" applyBorder="1" applyAlignment="1">
      <alignment horizontal="center" vertical="center" wrapText="1"/>
    </xf>
    <xf numFmtId="49" fontId="34" fillId="0" borderId="22" xfId="0" applyNumberFormat="1" applyFont="1" applyBorder="1" applyAlignment="1">
      <alignment horizontal="center" vertical="center" wrapText="1"/>
    </xf>
    <xf numFmtId="4" fontId="33" fillId="0" borderId="27" xfId="30" applyNumberFormat="1" applyFont="1" applyBorder="1" applyAlignment="1">
      <alignment horizontal="center" vertical="center"/>
    </xf>
    <xf numFmtId="4" fontId="127" fillId="0" borderId="22" xfId="30" applyNumberFormat="1" applyFont="1" applyBorder="1" applyAlignment="1">
      <alignment horizontal="center" vertical="center"/>
    </xf>
    <xf numFmtId="4" fontId="33" fillId="0" borderId="28" xfId="30" applyNumberFormat="1" applyFont="1" applyBorder="1" applyAlignment="1">
      <alignment horizontal="center" vertical="center"/>
    </xf>
    <xf numFmtId="164" fontId="33" fillId="0" borderId="24" xfId="30" applyNumberFormat="1" applyFont="1" applyBorder="1" applyAlignment="1">
      <alignment horizontal="center" vertical="center"/>
    </xf>
    <xf numFmtId="4" fontId="33" fillId="0" borderId="24" xfId="30" applyNumberFormat="1" applyFont="1" applyBorder="1" applyAlignment="1">
      <alignment horizontal="center" vertical="center"/>
    </xf>
    <xf numFmtId="9" fontId="33" fillId="0" borderId="27" xfId="0" applyNumberFormat="1" applyFont="1" applyBorder="1" applyAlignment="1">
      <alignment horizontal="center" vertical="center" wrapText="1"/>
    </xf>
    <xf numFmtId="4" fontId="33" fillId="0" borderId="27" xfId="0" applyNumberFormat="1" applyFont="1" applyBorder="1" applyAlignment="1">
      <alignment horizontal="center" vertical="center" wrapText="1"/>
    </xf>
    <xf numFmtId="164" fontId="127" fillId="0" borderId="22" xfId="30" applyNumberFormat="1" applyFont="1" applyBorder="1" applyAlignment="1">
      <alignment horizontal="center" vertical="center"/>
    </xf>
    <xf numFmtId="9" fontId="33" fillId="0" borderId="22" xfId="30" applyNumberFormat="1" applyFont="1" applyBorder="1" applyAlignment="1">
      <alignment horizontal="center" vertical="center"/>
    </xf>
    <xf numFmtId="49" fontId="127" fillId="34" borderId="22" xfId="0" applyNumberFormat="1" applyFont="1" applyFill="1" applyBorder="1" applyAlignment="1">
      <alignment horizontal="center" vertical="center" wrapText="1"/>
    </xf>
    <xf numFmtId="0" fontId="127" fillId="34" borderId="22" xfId="45" applyFont="1" applyFill="1" applyBorder="1" applyAlignment="1">
      <alignment horizontal="center" vertical="center" wrapText="1"/>
    </xf>
    <xf numFmtId="164" fontId="33" fillId="34" borderId="22" xfId="30" applyNumberFormat="1" applyFont="1" applyFill="1" applyBorder="1" applyAlignment="1">
      <alignment horizontal="center" vertical="center"/>
    </xf>
    <xf numFmtId="4" fontId="33" fillId="34" borderId="22" xfId="30" applyNumberFormat="1" applyFont="1" applyFill="1" applyBorder="1" applyAlignment="1">
      <alignment horizontal="center" vertical="center"/>
    </xf>
    <xf numFmtId="9" fontId="33" fillId="34" borderId="22" xfId="30" applyNumberFormat="1" applyFont="1" applyFill="1" applyBorder="1" applyAlignment="1">
      <alignment horizontal="center" vertical="center"/>
    </xf>
    <xf numFmtId="4" fontId="127" fillId="34" borderId="22" xfId="30" applyNumberFormat="1" applyFont="1" applyFill="1" applyBorder="1" applyAlignment="1">
      <alignment horizontal="center" vertical="center"/>
    </xf>
    <xf numFmtId="164" fontId="127" fillId="34" borderId="22" xfId="30" applyNumberFormat="1" applyFont="1" applyFill="1" applyBorder="1" applyAlignment="1">
      <alignment horizontal="center" vertical="center"/>
    </xf>
    <xf numFmtId="0" fontId="127" fillId="0" borderId="22" xfId="100" applyFont="1" applyBorder="1" applyAlignment="1">
      <alignment horizontal="center" vertical="center" wrapText="1"/>
    </xf>
    <xf numFmtId="0" fontId="127" fillId="34" borderId="22" xfId="100" applyFont="1" applyFill="1" applyBorder="1" applyAlignment="1">
      <alignment horizontal="center" vertical="center" wrapText="1"/>
    </xf>
    <xf numFmtId="9" fontId="36" fillId="0" borderId="22" xfId="30" applyNumberFormat="1" applyFont="1" applyBorder="1" applyAlignment="1">
      <alignment horizontal="center" vertical="center"/>
    </xf>
    <xf numFmtId="49" fontId="33" fillId="0" borderId="22" xfId="18" applyNumberFormat="1" applyFont="1" applyBorder="1" applyAlignment="1">
      <alignment horizontal="center" vertical="center" wrapText="1"/>
    </xf>
    <xf numFmtId="0" fontId="33" fillId="0" borderId="22" xfId="92" applyFont="1" applyBorder="1" applyAlignment="1">
      <alignment horizontal="center" vertical="center" wrapText="1"/>
    </xf>
    <xf numFmtId="4" fontId="33" fillId="0" borderId="22" xfId="30" applyNumberFormat="1" applyFont="1" applyFill="1" applyBorder="1" applyAlignment="1">
      <alignment horizontal="center" vertical="center"/>
    </xf>
    <xf numFmtId="0" fontId="33" fillId="0" borderId="22" xfId="40" applyFont="1" applyBorder="1" applyAlignment="1">
      <alignment horizontal="center" vertical="center" wrapText="1"/>
    </xf>
    <xf numFmtId="0" fontId="33" fillId="0" borderId="22" xfId="84" applyFont="1" applyFill="1" applyBorder="1" applyAlignment="1">
      <alignment horizontal="center" vertical="center" wrapText="1"/>
    </xf>
    <xf numFmtId="49" fontId="33" fillId="0" borderId="22" xfId="18" applyNumberFormat="1" applyFont="1" applyFill="1" applyBorder="1" applyAlignment="1">
      <alignment horizontal="center" vertical="center" wrapText="1"/>
    </xf>
    <xf numFmtId="9" fontId="33" fillId="0" borderId="22" xfId="30" applyNumberFormat="1" applyFont="1" applyFill="1" applyBorder="1" applyAlignment="1">
      <alignment horizontal="center" vertical="center"/>
    </xf>
    <xf numFmtId="0" fontId="34" fillId="0" borderId="22" xfId="35" applyFont="1" applyBorder="1" applyAlignment="1">
      <alignment horizontal="center" vertical="center" wrapText="1"/>
    </xf>
    <xf numFmtId="4" fontId="34" fillId="0" borderId="22" xfId="35" applyNumberFormat="1" applyFont="1" applyBorder="1" applyAlignment="1">
      <alignment horizontal="center" vertical="center" wrapText="1"/>
    </xf>
    <xf numFmtId="164" fontId="36" fillId="0" borderId="22" xfId="30" applyNumberFormat="1" applyFont="1" applyBorder="1" applyAlignment="1">
      <alignment horizontal="center" vertical="center"/>
    </xf>
    <xf numFmtId="164" fontId="43" fillId="0" borderId="22" xfId="30" applyNumberFormat="1" applyFont="1" applyBorder="1" applyAlignment="1">
      <alignment horizontal="center" vertical="center" wrapText="1"/>
    </xf>
    <xf numFmtId="164" fontId="99" fillId="0" borderId="22" xfId="30" applyNumberFormat="1" applyFont="1" applyBorder="1" applyAlignment="1">
      <alignment horizontal="center" vertical="center" wrapText="1"/>
    </xf>
    <xf numFmtId="0" fontId="43" fillId="0" borderId="22" xfId="0" applyFont="1" applyBorder="1" applyAlignment="1">
      <alignment horizontal="center" vertical="center" wrapText="1"/>
    </xf>
    <xf numFmtId="4" fontId="44" fillId="0" borderId="23" xfId="0" applyNumberFormat="1" applyFont="1" applyBorder="1" applyAlignment="1">
      <alignment horizontal="center" vertical="center" wrapText="1"/>
    </xf>
    <xf numFmtId="0" fontId="43" fillId="0" borderId="22" xfId="38" applyFont="1" applyFill="1" applyBorder="1" applyAlignment="1" applyProtection="1">
      <alignment horizontal="center" vertical="center" wrapText="1"/>
      <protection locked="0"/>
    </xf>
    <xf numFmtId="0" fontId="43" fillId="0" borderId="0" xfId="38" applyFont="1" applyFill="1" applyBorder="1" applyAlignment="1" applyProtection="1">
      <alignment horizontal="center" wrapText="1"/>
      <protection locked="0"/>
    </xf>
    <xf numFmtId="0" fontId="43" fillId="0" borderId="24" xfId="38" applyFont="1" applyFill="1" applyBorder="1" applyAlignment="1" applyProtection="1">
      <alignment horizontal="center" vertical="top" wrapText="1"/>
      <protection locked="0"/>
    </xf>
    <xf numFmtId="0" fontId="42" fillId="0" borderId="22" xfId="0" applyFont="1" applyBorder="1" applyAlignment="1">
      <alignment horizontal="center" vertical="top" wrapText="1"/>
    </xf>
    <xf numFmtId="49" fontId="42" fillId="0" borderId="22" xfId="0" applyNumberFormat="1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top" wrapText="1"/>
    </xf>
    <xf numFmtId="0" fontId="15" fillId="0" borderId="22" xfId="35" applyFont="1" applyBorder="1" applyAlignment="1">
      <alignment horizontal="center" vertical="top" wrapText="1"/>
    </xf>
    <xf numFmtId="0" fontId="15" fillId="0" borderId="22" xfId="0" applyFont="1" applyBorder="1" applyAlignment="1">
      <alignment horizontal="center" vertical="top"/>
    </xf>
    <xf numFmtId="2" fontId="68" fillId="0" borderId="22" xfId="36" applyNumberFormat="1" applyFont="1" applyBorder="1" applyAlignment="1">
      <alignment horizontal="center" vertical="center" wrapText="1"/>
    </xf>
    <xf numFmtId="0" fontId="129" fillId="0" borderId="22" xfId="35" applyFont="1" applyBorder="1" applyAlignment="1">
      <alignment horizontal="center" vertical="top" wrapText="1"/>
    </xf>
    <xf numFmtId="0" fontId="18" fillId="0" borderId="22" xfId="35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49" fontId="14" fillId="0" borderId="22" xfId="0" applyNumberFormat="1" applyFont="1" applyBorder="1" applyAlignment="1">
      <alignment horizontal="center" vertical="center" wrapText="1"/>
    </xf>
    <xf numFmtId="4" fontId="14" fillId="0" borderId="22" xfId="94" applyNumberFormat="1" applyFont="1" applyBorder="1" applyAlignment="1">
      <alignment horizontal="center" vertical="center"/>
    </xf>
    <xf numFmtId="4" fontId="14" fillId="0" borderId="22" xfId="0" applyNumberFormat="1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22" xfId="94" applyFont="1" applyBorder="1" applyAlignment="1">
      <alignment horizontal="center" vertical="center"/>
    </xf>
    <xf numFmtId="0" fontId="15" fillId="29" borderId="22" xfId="0" applyFont="1" applyFill="1" applyBorder="1" applyAlignment="1">
      <alignment horizontal="center" vertical="center"/>
    </xf>
    <xf numFmtId="2" fontId="15" fillId="29" borderId="22" xfId="36" applyNumberFormat="1" applyFont="1" applyFill="1" applyBorder="1" applyAlignment="1">
      <alignment horizontal="left" vertical="center" wrapText="1"/>
    </xf>
    <xf numFmtId="4" fontId="15" fillId="29" borderId="22" xfId="36" applyNumberFormat="1" applyFont="1" applyFill="1" applyBorder="1" applyAlignment="1">
      <alignment horizontal="center" vertical="center" wrapText="1"/>
    </xf>
    <xf numFmtId="0" fontId="0" fillId="0" borderId="0" xfId="0"/>
    <xf numFmtId="49" fontId="116" fillId="0" borderId="22" xfId="0" applyNumberFormat="1" applyFont="1" applyBorder="1" applyAlignment="1">
      <alignment horizontal="center" vertical="center" wrapText="1"/>
    </xf>
    <xf numFmtId="4" fontId="44" fillId="0" borderId="22" xfId="38" applyNumberFormat="1" applyFont="1" applyFill="1" applyBorder="1" applyAlignment="1">
      <alignment horizontal="center" vertical="center" wrapText="1"/>
    </xf>
    <xf numFmtId="0" fontId="113" fillId="0" borderId="0" xfId="0" applyFont="1"/>
    <xf numFmtId="49" fontId="116" fillId="0" borderId="0" xfId="0" applyNumberFormat="1" applyFont="1" applyAlignment="1">
      <alignment horizontal="center" vertical="center" wrapText="1"/>
    </xf>
    <xf numFmtId="0" fontId="116" fillId="0" borderId="0" xfId="38" applyFont="1" applyFill="1" applyBorder="1" applyAlignment="1" applyProtection="1">
      <alignment horizontal="center" vertical="center" wrapText="1"/>
      <protection locked="0"/>
    </xf>
    <xf numFmtId="0" fontId="114" fillId="0" borderId="0" xfId="0" applyFont="1"/>
    <xf numFmtId="4" fontId="112" fillId="0" borderId="0" xfId="0" applyNumberFormat="1" applyFont="1" applyAlignment="1">
      <alignment horizontal="left" vertical="center"/>
    </xf>
    <xf numFmtId="0" fontId="130" fillId="0" borderId="0" xfId="0" applyFont="1"/>
    <xf numFmtId="4" fontId="131" fillId="0" borderId="0" xfId="0" applyNumberFormat="1" applyFont="1" applyAlignment="1">
      <alignment horizontal="center" vertical="center"/>
    </xf>
    <xf numFmtId="0" fontId="132" fillId="0" borderId="0" xfId="0" applyFont="1"/>
    <xf numFmtId="4" fontId="133" fillId="0" borderId="0" xfId="0" applyNumberFormat="1" applyFont="1"/>
    <xf numFmtId="4" fontId="134" fillId="0" borderId="0" xfId="0" applyNumberFormat="1" applyFont="1" applyAlignment="1">
      <alignment horizontal="left" vertical="center"/>
    </xf>
    <xf numFmtId="4" fontId="122" fillId="0" borderId="0" xfId="0" applyNumberFormat="1" applyFont="1" applyAlignment="1">
      <alignment horizontal="center" vertical="center" wrapText="1"/>
    </xf>
    <xf numFmtId="4" fontId="122" fillId="0" borderId="0" xfId="0" applyNumberFormat="1" applyFont="1" applyAlignment="1">
      <alignment horizontal="left" vertical="center" wrapText="1"/>
    </xf>
    <xf numFmtId="4" fontId="135" fillId="0" borderId="0" xfId="0" applyNumberFormat="1" applyFont="1" applyAlignment="1">
      <alignment vertical="center"/>
    </xf>
    <xf numFmtId="0" fontId="118" fillId="0" borderId="0" xfId="0" applyFont="1"/>
    <xf numFmtId="0" fontId="113" fillId="31" borderId="0" xfId="0" applyFont="1" applyFill="1"/>
    <xf numFmtId="4" fontId="136" fillId="0" borderId="0" xfId="0" applyNumberFormat="1" applyFont="1" applyAlignment="1">
      <alignment vertical="center"/>
    </xf>
    <xf numFmtId="4" fontId="116" fillId="0" borderId="0" xfId="0" applyNumberFormat="1" applyFont="1" applyAlignment="1">
      <alignment horizontal="center" vertical="center"/>
    </xf>
    <xf numFmtId="0" fontId="133" fillId="0" borderId="0" xfId="0" applyFont="1"/>
    <xf numFmtId="4" fontId="137" fillId="0" borderId="0" xfId="0" applyNumberFormat="1" applyFont="1" applyAlignment="1">
      <alignment horizontal="left" vertical="center"/>
    </xf>
    <xf numFmtId="0" fontId="118" fillId="0" borderId="0" xfId="35" applyFont="1"/>
    <xf numFmtId="0" fontId="138" fillId="0" borderId="0" xfId="35" applyFont="1"/>
    <xf numFmtId="0" fontId="138" fillId="0" borderId="0" xfId="35" applyFont="1" applyAlignment="1">
      <alignment horizontal="left" vertical="center"/>
    </xf>
    <xf numFmtId="4" fontId="138" fillId="0" borderId="0" xfId="35" applyNumberFormat="1" applyFont="1" applyAlignment="1">
      <alignment horizontal="left" vertical="center"/>
    </xf>
    <xf numFmtId="164" fontId="121" fillId="0" borderId="0" xfId="30" applyNumberFormat="1" applyFont="1" applyAlignment="1">
      <alignment horizontal="center" vertical="center" wrapText="1"/>
    </xf>
    <xf numFmtId="0" fontId="139" fillId="0" borderId="0" xfId="35" applyFont="1"/>
    <xf numFmtId="0" fontId="140" fillId="0" borderId="0" xfId="35" applyFont="1" applyAlignment="1">
      <alignment vertical="center"/>
    </xf>
    <xf numFmtId="4" fontId="118" fillId="0" borderId="0" xfId="35" applyNumberFormat="1" applyFont="1" applyAlignment="1">
      <alignment horizontal="center" vertical="center"/>
    </xf>
    <xf numFmtId="4" fontId="138" fillId="0" borderId="0" xfId="35" applyNumberFormat="1" applyFont="1"/>
    <xf numFmtId="0" fontId="141" fillId="0" borderId="0" xfId="35" applyFont="1"/>
    <xf numFmtId="0" fontId="142" fillId="0" borderId="0" xfId="35" applyFont="1"/>
    <xf numFmtId="0" fontId="143" fillId="0" borderId="0" xfId="35" applyFont="1" applyAlignment="1">
      <alignment horizontal="center" vertical="center"/>
    </xf>
    <xf numFmtId="0" fontId="142" fillId="0" borderId="0" xfId="35" applyFont="1" applyFill="1"/>
    <xf numFmtId="0" fontId="113" fillId="0" borderId="0" xfId="0" applyFont="1"/>
    <xf numFmtId="0" fontId="117" fillId="0" borderId="0" xfId="0" applyFont="1"/>
    <xf numFmtId="0" fontId="144" fillId="0" borderId="0" xfId="36" applyFont="1">
      <alignment vertical="top"/>
    </xf>
    <xf numFmtId="0" fontId="145" fillId="0" borderId="0" xfId="36" applyFont="1">
      <alignment vertical="top"/>
    </xf>
    <xf numFmtId="0" fontId="119" fillId="0" borderId="0" xfId="36" applyFont="1" applyAlignment="1">
      <alignment horizontal="center"/>
    </xf>
    <xf numFmtId="0" fontId="119" fillId="0" borderId="0" xfId="0" applyFont="1" applyAlignment="1">
      <alignment horizontal="center"/>
    </xf>
    <xf numFmtId="0" fontId="119" fillId="0" borderId="0" xfId="36" applyFont="1" applyAlignment="1">
      <alignment horizontal="center" vertical="top"/>
    </xf>
    <xf numFmtId="2" fontId="145" fillId="0" borderId="0" xfId="36" applyNumberFormat="1" applyFont="1" applyAlignment="1">
      <alignment horizontal="center" vertical="top"/>
    </xf>
    <xf numFmtId="2" fontId="146" fillId="0" borderId="0" xfId="36" applyNumberFormat="1" applyFont="1" applyFill="1" applyAlignment="1">
      <alignment horizontal="center" vertical="top"/>
    </xf>
    <xf numFmtId="0" fontId="121" fillId="0" borderId="0" xfId="39" applyFont="1" applyFill="1"/>
    <xf numFmtId="0" fontId="138" fillId="0" borderId="0" xfId="35" applyFont="1" applyFill="1" applyAlignment="1">
      <alignment horizontal="center" vertical="center"/>
    </xf>
    <xf numFmtId="0" fontId="117" fillId="0" borderId="0" xfId="36" applyFont="1">
      <alignment vertical="top"/>
    </xf>
    <xf numFmtId="4" fontId="147" fillId="27" borderId="21" xfId="0" applyNumberFormat="1" applyFont="1" applyFill="1" applyBorder="1" applyAlignment="1">
      <alignment horizontal="center" vertical="center" wrapText="1"/>
    </xf>
    <xf numFmtId="4" fontId="148" fillId="0" borderId="0" xfId="0" applyNumberFormat="1" applyFont="1" applyAlignment="1">
      <alignment horizontal="center" vertical="center" wrapText="1"/>
    </xf>
    <xf numFmtId="4" fontId="117" fillId="0" borderId="0" xfId="0" applyNumberFormat="1" applyFont="1" applyAlignment="1">
      <alignment horizontal="center" vertical="center" wrapText="1"/>
    </xf>
    <xf numFmtId="4" fontId="147" fillId="27" borderId="9" xfId="0" applyNumberFormat="1" applyFont="1" applyFill="1" applyBorder="1" applyAlignment="1">
      <alignment horizontal="center" vertical="center" wrapText="1"/>
    </xf>
    <xf numFmtId="0" fontId="149" fillId="0" borderId="0" xfId="0" applyFont="1" applyAlignment="1">
      <alignment horizontal="center" vertical="center"/>
    </xf>
    <xf numFmtId="4" fontId="122" fillId="26" borderId="0" xfId="0" applyNumberFormat="1" applyFont="1" applyFill="1" applyAlignment="1">
      <alignment horizontal="center" vertical="center" wrapText="1"/>
    </xf>
    <xf numFmtId="0" fontId="150" fillId="0" borderId="0" xfId="0" applyFont="1" applyAlignment="1">
      <alignment horizontal="center" vertical="center"/>
    </xf>
    <xf numFmtId="49" fontId="151" fillId="0" borderId="22" xfId="0" applyNumberFormat="1" applyFont="1" applyBorder="1" applyAlignment="1">
      <alignment horizontal="center" vertical="center" wrapText="1"/>
    </xf>
    <xf numFmtId="164" fontId="151" fillId="0" borderId="22" xfId="30" applyNumberFormat="1" applyFont="1" applyBorder="1" applyAlignment="1">
      <alignment horizontal="center" vertical="center" wrapText="1"/>
    </xf>
    <xf numFmtId="4" fontId="151" fillId="0" borderId="22" xfId="0" applyNumberFormat="1" applyFont="1" applyBorder="1" applyAlignment="1">
      <alignment horizontal="center" vertical="center" wrapText="1"/>
    </xf>
    <xf numFmtId="4" fontId="151" fillId="0" borderId="22" xfId="38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/>
    <xf numFmtId="0" fontId="113" fillId="0" borderId="0" xfId="0" applyFont="1"/>
    <xf numFmtId="4" fontId="152" fillId="27" borderId="21" xfId="0" applyNumberFormat="1" applyFont="1" applyFill="1" applyBorder="1" applyAlignment="1">
      <alignment horizontal="center" vertical="center" wrapText="1"/>
    </xf>
    <xf numFmtId="4" fontId="152" fillId="27" borderId="9" xfId="0" applyNumberFormat="1" applyFont="1" applyFill="1" applyBorder="1" applyAlignment="1">
      <alignment horizontal="center" vertical="center" wrapText="1"/>
    </xf>
    <xf numFmtId="0" fontId="153" fillId="0" borderId="0" xfId="0" applyFont="1" applyAlignment="1">
      <alignment horizontal="center" vertical="center"/>
    </xf>
    <xf numFmtId="49" fontId="43" fillId="0" borderId="22" xfId="0" applyNumberFormat="1" applyFont="1" applyBorder="1" applyAlignment="1">
      <alignment horizontal="center" vertical="center"/>
    </xf>
    <xf numFmtId="49" fontId="43" fillId="0" borderId="22" xfId="0" applyNumberFormat="1" applyFont="1" applyFill="1" applyBorder="1" applyAlignment="1">
      <alignment horizontal="center" vertical="center" wrapText="1"/>
    </xf>
    <xf numFmtId="0" fontId="43" fillId="0" borderId="23" xfId="38" applyFont="1" applyFill="1" applyBorder="1" applyAlignment="1" applyProtection="1">
      <alignment horizontal="center" wrapText="1"/>
      <protection locked="0"/>
    </xf>
    <xf numFmtId="4" fontId="44" fillId="0" borderId="22" xfId="0" applyNumberFormat="1" applyFont="1" applyFill="1" applyBorder="1" applyAlignment="1">
      <alignment horizontal="center" vertical="center" wrapText="1"/>
    </xf>
    <xf numFmtId="0" fontId="43" fillId="0" borderId="0" xfId="38" applyFont="1" applyFill="1" applyBorder="1" applyAlignment="1" applyProtection="1">
      <alignment horizontal="center" vertical="top" wrapText="1"/>
      <protection locked="0"/>
    </xf>
    <xf numFmtId="49" fontId="123" fillId="35" borderId="22" xfId="0" applyNumberFormat="1" applyFont="1" applyFill="1" applyBorder="1" applyAlignment="1">
      <alignment horizontal="center" vertical="center" wrapText="1"/>
    </xf>
    <xf numFmtId="0" fontId="123" fillId="35" borderId="22" xfId="38" applyFont="1" applyFill="1" applyBorder="1" applyAlignment="1" applyProtection="1">
      <alignment horizontal="center" vertical="center" wrapText="1"/>
      <protection locked="0"/>
    </xf>
    <xf numFmtId="4" fontId="123" fillId="35" borderId="22" xfId="38" applyNumberFormat="1" applyFont="1" applyFill="1" applyBorder="1" applyAlignment="1" applyProtection="1">
      <alignment horizontal="center" vertical="center" wrapText="1"/>
      <protection locked="0"/>
    </xf>
    <xf numFmtId="4" fontId="123" fillId="35" borderId="22" xfId="0" applyNumberFormat="1" applyFont="1" applyFill="1" applyBorder="1" applyAlignment="1">
      <alignment horizontal="center" vertical="center" wrapText="1"/>
    </xf>
    <xf numFmtId="49" fontId="42" fillId="36" borderId="22" xfId="0" applyNumberFormat="1" applyFont="1" applyFill="1" applyBorder="1" applyAlignment="1">
      <alignment horizontal="center" vertical="center" wrapText="1"/>
    </xf>
    <xf numFmtId="0" fontId="42" fillId="36" borderId="22" xfId="38" applyFont="1" applyFill="1" applyBorder="1" applyAlignment="1" applyProtection="1">
      <alignment horizontal="center" vertical="center" wrapText="1"/>
      <protection locked="0"/>
    </xf>
    <xf numFmtId="4" fontId="42" fillId="36" borderId="22" xfId="38" applyNumberFormat="1" applyFont="1" applyFill="1" applyBorder="1" applyAlignment="1" applyProtection="1">
      <alignment horizontal="center" vertical="center" wrapText="1"/>
      <protection locked="0"/>
    </xf>
    <xf numFmtId="4" fontId="42" fillId="36" borderId="22" xfId="0" applyNumberFormat="1" applyFont="1" applyFill="1" applyBorder="1" applyAlignment="1">
      <alignment horizontal="center" vertical="center" wrapText="1"/>
    </xf>
    <xf numFmtId="49" fontId="49" fillId="35" borderId="22" xfId="0" applyNumberFormat="1" applyFont="1" applyFill="1" applyBorder="1" applyAlignment="1">
      <alignment horizontal="center" vertical="center" wrapText="1"/>
    </xf>
    <xf numFmtId="0" fontId="49" fillId="35" borderId="22" xfId="38" applyFont="1" applyFill="1" applyBorder="1" applyAlignment="1" applyProtection="1">
      <alignment horizontal="center" vertical="center" wrapText="1"/>
      <protection locked="0"/>
    </xf>
    <xf numFmtId="4" fontId="49" fillId="35" borderId="22" xfId="38" applyNumberFormat="1" applyFont="1" applyFill="1" applyBorder="1" applyAlignment="1" applyProtection="1">
      <alignment horizontal="center" vertical="center" wrapText="1"/>
      <protection locked="0"/>
    </xf>
    <xf numFmtId="4" fontId="49" fillId="35" borderId="22" xfId="0" applyNumberFormat="1" applyFont="1" applyFill="1" applyBorder="1" applyAlignment="1">
      <alignment horizontal="center" vertical="center" wrapText="1"/>
    </xf>
    <xf numFmtId="49" fontId="34" fillId="36" borderId="22" xfId="0" applyNumberFormat="1" applyFont="1" applyFill="1" applyBorder="1" applyAlignment="1">
      <alignment horizontal="center" vertical="center" wrapText="1"/>
    </xf>
    <xf numFmtId="0" fontId="34" fillId="36" borderId="22" xfId="38" applyFont="1" applyFill="1" applyBorder="1" applyAlignment="1" applyProtection="1">
      <alignment horizontal="center" vertical="center" wrapText="1"/>
      <protection locked="0"/>
    </xf>
    <xf numFmtId="4" fontId="34" fillId="36" borderId="22" xfId="38" applyNumberFormat="1" applyFont="1" applyFill="1" applyBorder="1" applyAlignment="1" applyProtection="1">
      <alignment horizontal="center" vertical="center" wrapText="1"/>
      <protection locked="0"/>
    </xf>
    <xf numFmtId="49" fontId="33" fillId="0" borderId="22" xfId="0" applyNumberFormat="1" applyFont="1" applyFill="1" applyBorder="1" applyAlignment="1">
      <alignment horizontal="center" vertical="center" wrapText="1"/>
    </xf>
    <xf numFmtId="0" fontId="33" fillId="0" borderId="22" xfId="18" applyFont="1" applyFill="1" applyBorder="1" applyAlignment="1">
      <alignment horizontal="center" vertical="center" wrapText="1"/>
    </xf>
    <xf numFmtId="164" fontId="33" fillId="0" borderId="22" xfId="30" applyNumberFormat="1" applyFont="1" applyFill="1" applyBorder="1" applyAlignment="1">
      <alignment horizontal="center" vertical="center"/>
    </xf>
    <xf numFmtId="9" fontId="33" fillId="0" borderId="22" xfId="0" applyNumberFormat="1" applyFont="1" applyFill="1" applyBorder="1" applyAlignment="1">
      <alignment horizontal="center" vertical="center" wrapText="1"/>
    </xf>
    <xf numFmtId="4" fontId="33" fillId="0" borderId="22" xfId="0" applyNumberFormat="1" applyFont="1" applyFill="1" applyBorder="1" applyAlignment="1">
      <alignment horizontal="center" vertical="center" wrapText="1"/>
    </xf>
    <xf numFmtId="164" fontId="33" fillId="0" borderId="22" xfId="30" applyNumberFormat="1" applyFont="1" applyBorder="1" applyAlignment="1">
      <alignment horizontal="center" vertical="center" wrapText="1"/>
    </xf>
    <xf numFmtId="0" fontId="10" fillId="0" borderId="0" xfId="35" applyFont="1"/>
    <xf numFmtId="4" fontId="45" fillId="0" borderId="22" xfId="0" applyNumberFormat="1" applyFont="1" applyFill="1" applyBorder="1" applyAlignment="1">
      <alignment horizontal="center" vertical="center"/>
    </xf>
    <xf numFmtId="49" fontId="43" fillId="0" borderId="22" xfId="0" applyNumberFormat="1" applyFont="1" applyFill="1" applyBorder="1" applyAlignment="1">
      <alignment horizontal="center" vertical="center" wrapText="1"/>
    </xf>
    <xf numFmtId="4" fontId="44" fillId="0" borderId="22" xfId="0" applyNumberFormat="1" applyFont="1" applyFill="1" applyBorder="1" applyAlignment="1">
      <alignment horizontal="center" vertical="center" wrapText="1"/>
    </xf>
    <xf numFmtId="4" fontId="73" fillId="0" borderId="0" xfId="0" applyNumberFormat="1" applyFont="1"/>
    <xf numFmtId="0" fontId="0" fillId="0" borderId="0" xfId="0"/>
    <xf numFmtId="4" fontId="44" fillId="0" borderId="22" xfId="0" applyNumberFormat="1" applyFont="1" applyFill="1" applyBorder="1" applyAlignment="1">
      <alignment horizontal="center" vertical="center" wrapText="1"/>
    </xf>
    <xf numFmtId="49" fontId="43" fillId="0" borderId="22" xfId="0" applyNumberFormat="1" applyFont="1" applyFill="1" applyBorder="1" applyAlignment="1">
      <alignment horizontal="center" vertical="center" wrapText="1"/>
    </xf>
    <xf numFmtId="164" fontId="33" fillId="0" borderId="22" xfId="30" applyNumberFormat="1" applyFont="1" applyFill="1" applyBorder="1" applyAlignment="1">
      <alignment horizontal="center" vertical="center" wrapText="1"/>
    </xf>
    <xf numFmtId="0" fontId="33" fillId="0" borderId="22" xfId="100" applyFont="1" applyBorder="1" applyAlignment="1">
      <alignment horizontal="center" vertical="center" wrapText="1"/>
    </xf>
    <xf numFmtId="0" fontId="33" fillId="0" borderId="22" xfId="100" applyFont="1" applyFill="1" applyBorder="1" applyAlignment="1">
      <alignment horizontal="center" vertical="center" wrapText="1"/>
    </xf>
    <xf numFmtId="164" fontId="43" fillId="0" borderId="22" xfId="30" applyNumberFormat="1" applyFont="1" applyFill="1" applyBorder="1" applyAlignment="1">
      <alignment horizontal="center" vertical="center" wrapText="1"/>
    </xf>
    <xf numFmtId="0" fontId="33" fillId="0" borderId="22" xfId="38" applyFont="1" applyFill="1" applyBorder="1" applyAlignment="1" applyProtection="1">
      <alignment horizontal="center" vertical="center" wrapText="1"/>
      <protection locked="0"/>
    </xf>
    <xf numFmtId="164" fontId="33" fillId="0" borderId="22" xfId="0" applyNumberFormat="1" applyFont="1" applyBorder="1" applyAlignment="1">
      <alignment horizontal="center" vertical="center" wrapText="1"/>
    </xf>
    <xf numFmtId="0" fontId="33" fillId="0" borderId="22" xfId="0" applyFont="1" applyBorder="1" applyAlignment="1">
      <alignment horizontal="center" vertical="center" wrapText="1"/>
    </xf>
    <xf numFmtId="4" fontId="53" fillId="0" borderId="22" xfId="0" applyNumberFormat="1" applyFont="1" applyBorder="1" applyAlignment="1">
      <alignment horizontal="center" vertical="center" wrapText="1"/>
    </xf>
    <xf numFmtId="0" fontId="53" fillId="0" borderId="22" xfId="0" applyFont="1" applyBorder="1" applyAlignment="1">
      <alignment horizontal="center" vertical="center" wrapText="1"/>
    </xf>
    <xf numFmtId="4" fontId="44" fillId="0" borderId="0" xfId="0" applyNumberFormat="1" applyFont="1" applyAlignment="1">
      <alignment horizontal="left" vertical="center" wrapText="1"/>
    </xf>
    <xf numFmtId="4" fontId="45" fillId="0" borderId="22" xfId="0" applyNumberFormat="1" applyFont="1" applyFill="1" applyBorder="1" applyAlignment="1">
      <alignment horizontal="center" vertical="center"/>
    </xf>
    <xf numFmtId="49" fontId="43" fillId="0" borderId="22" xfId="0" applyNumberFormat="1" applyFont="1" applyFill="1" applyBorder="1" applyAlignment="1">
      <alignment horizontal="center" vertical="center" wrapText="1"/>
    </xf>
    <xf numFmtId="4" fontId="44" fillId="0" borderId="22" xfId="0" applyNumberFormat="1" applyFont="1" applyFill="1" applyBorder="1" applyAlignment="1">
      <alignment horizontal="center" vertical="center" wrapText="1"/>
    </xf>
    <xf numFmtId="0" fontId="99" fillId="0" borderId="22" xfId="0" applyFont="1" applyBorder="1" applyAlignment="1">
      <alignment horizontal="center" vertical="center" wrapText="1"/>
    </xf>
    <xf numFmtId="0" fontId="0" fillId="0" borderId="0" xfId="0"/>
    <xf numFmtId="4" fontId="44" fillId="0" borderId="22" xfId="0" applyNumberFormat="1" applyFont="1" applyFill="1" applyBorder="1" applyAlignment="1">
      <alignment horizontal="center" vertical="center" wrapText="1"/>
    </xf>
    <xf numFmtId="49" fontId="43" fillId="0" borderId="22" xfId="0" applyNumberFormat="1" applyFont="1" applyFill="1" applyBorder="1" applyAlignment="1">
      <alignment horizontal="center" vertical="center" wrapText="1"/>
    </xf>
    <xf numFmtId="4" fontId="45" fillId="0" borderId="22" xfId="0" applyNumberFormat="1" applyFont="1" applyFill="1" applyBorder="1" applyAlignment="1">
      <alignment horizontal="center" vertical="center"/>
    </xf>
    <xf numFmtId="0" fontId="113" fillId="0" borderId="0" xfId="0" applyFont="1"/>
    <xf numFmtId="0" fontId="0" fillId="0" borderId="0" xfId="0"/>
    <xf numFmtId="4" fontId="44" fillId="0" borderId="22" xfId="0" applyNumberFormat="1" applyFont="1" applyBorder="1" applyAlignment="1">
      <alignment horizontal="center" vertical="center" wrapText="1"/>
    </xf>
    <xf numFmtId="4" fontId="45" fillId="0" borderId="22" xfId="0" applyNumberFormat="1" applyFont="1" applyBorder="1" applyAlignment="1">
      <alignment horizontal="center" vertical="center"/>
    </xf>
    <xf numFmtId="0" fontId="113" fillId="0" borderId="0" xfId="0" applyFont="1"/>
    <xf numFmtId="0" fontId="10" fillId="28" borderId="0" xfId="35" applyFont="1" applyFill="1"/>
    <xf numFmtId="4" fontId="115" fillId="32" borderId="0" xfId="38" applyNumberFormat="1" applyFont="1" applyFill="1" applyBorder="1" applyAlignment="1" applyProtection="1">
      <alignment horizontal="center" vertical="center" wrapText="1"/>
      <protection locked="0"/>
    </xf>
    <xf numFmtId="0" fontId="43" fillId="0" borderId="22" xfId="0" applyFont="1" applyBorder="1" applyAlignment="1">
      <alignment horizontal="center" vertical="top" wrapText="1"/>
    </xf>
    <xf numFmtId="0" fontId="43" fillId="0" borderId="22" xfId="0" applyFont="1" applyFill="1" applyBorder="1" applyAlignment="1">
      <alignment horizontal="center" vertical="center" wrapText="1"/>
    </xf>
    <xf numFmtId="0" fontId="42" fillId="29" borderId="22" xfId="0" applyFont="1" applyFill="1" applyBorder="1" applyAlignment="1">
      <alignment horizontal="center" vertical="center"/>
    </xf>
    <xf numFmtId="0" fontId="42" fillId="29" borderId="22" xfId="0" applyFont="1" applyFill="1" applyBorder="1" applyAlignment="1">
      <alignment horizontal="left" vertical="center"/>
    </xf>
    <xf numFmtId="4" fontId="42" fillId="29" borderId="22" xfId="0" applyNumberFormat="1" applyFont="1" applyFill="1" applyBorder="1" applyAlignment="1">
      <alignment horizontal="center" vertical="center"/>
    </xf>
    <xf numFmtId="49" fontId="43" fillId="0" borderId="22" xfId="0" applyNumberFormat="1" applyFont="1" applyFill="1" applyBorder="1" applyAlignment="1">
      <alignment horizontal="center" vertical="center"/>
    </xf>
    <xf numFmtId="4" fontId="34" fillId="29" borderId="22" xfId="0" applyNumberFormat="1" applyFont="1" applyFill="1" applyBorder="1" applyAlignment="1">
      <alignment horizontal="center" vertical="center"/>
    </xf>
    <xf numFmtId="4" fontId="34" fillId="36" borderId="22" xfId="0" applyNumberFormat="1" applyFont="1" applyFill="1" applyBorder="1" applyAlignment="1">
      <alignment horizontal="center" vertical="center" wrapText="1"/>
    </xf>
    <xf numFmtId="49" fontId="33" fillId="0" borderId="22" xfId="35" applyNumberFormat="1" applyFont="1" applyFill="1" applyBorder="1" applyAlignment="1">
      <alignment horizontal="center" vertical="center" wrapText="1"/>
    </xf>
    <xf numFmtId="0" fontId="33" fillId="0" borderId="22" xfId="35" applyFont="1" applyFill="1" applyBorder="1" applyAlignment="1">
      <alignment horizontal="center" vertical="center" wrapText="1"/>
    </xf>
    <xf numFmtId="4" fontId="33" fillId="0" borderId="22" xfId="35" applyNumberFormat="1" applyFont="1" applyFill="1" applyBorder="1" applyAlignment="1">
      <alignment horizontal="center" vertical="center"/>
    </xf>
    <xf numFmtId="0" fontId="34" fillId="29" borderId="22" xfId="0" applyFont="1" applyFill="1" applyBorder="1" applyAlignment="1">
      <alignment horizontal="center" vertical="center"/>
    </xf>
    <xf numFmtId="0" fontId="34" fillId="29" borderId="22" xfId="0" applyFont="1" applyFill="1" applyBorder="1" applyAlignment="1">
      <alignment horizontal="left" vertical="center"/>
    </xf>
    <xf numFmtId="49" fontId="33" fillId="0" borderId="22" xfId="0" applyNumberFormat="1" applyFont="1" applyFill="1" applyBorder="1" applyAlignment="1">
      <alignment horizontal="center" vertical="center"/>
    </xf>
    <xf numFmtId="0" fontId="0" fillId="0" borderId="0" xfId="0"/>
    <xf numFmtId="4" fontId="45" fillId="0" borderId="22" xfId="0" applyNumberFormat="1" applyFont="1" applyBorder="1" applyAlignment="1">
      <alignment horizontal="center" vertical="center"/>
    </xf>
    <xf numFmtId="0" fontId="113" fillId="0" borderId="0" xfId="0" applyFont="1"/>
    <xf numFmtId="4" fontId="151" fillId="0" borderId="22" xfId="38" applyNumberFormat="1" applyFont="1" applyFill="1" applyBorder="1" applyAlignment="1">
      <alignment horizontal="center" vertical="center" wrapText="1"/>
    </xf>
    <xf numFmtId="4" fontId="151" fillId="0" borderId="27" xfId="38" applyNumberFormat="1" applyFont="1" applyFill="1" applyBorder="1" applyAlignment="1" applyProtection="1">
      <alignment horizontal="center" vertical="center" wrapText="1"/>
      <protection locked="0"/>
    </xf>
    <xf numFmtId="4" fontId="151" fillId="0" borderId="30" xfId="38" applyNumberFormat="1" applyFont="1" applyFill="1" applyBorder="1" applyAlignment="1" applyProtection="1">
      <alignment horizontal="center" vertical="center" wrapText="1"/>
      <protection locked="0"/>
    </xf>
    <xf numFmtId="164" fontId="151" fillId="0" borderId="22" xfId="30" applyNumberFormat="1" applyFont="1" applyFill="1" applyBorder="1" applyAlignment="1">
      <alignment horizontal="center" vertical="center" wrapText="1"/>
    </xf>
    <xf numFmtId="0" fontId="151" fillId="0" borderId="27" xfId="0" applyFont="1" applyFill="1" applyBorder="1" applyAlignment="1">
      <alignment horizontal="center" vertical="center" wrapText="1"/>
    </xf>
    <xf numFmtId="4" fontId="155" fillId="0" borderId="0" xfId="0" applyNumberFormat="1" applyFont="1" applyAlignment="1">
      <alignment horizontal="center" vertical="center" wrapText="1"/>
    </xf>
    <xf numFmtId="4" fontId="156" fillId="35" borderId="22" xfId="0" applyNumberFormat="1" applyFont="1" applyFill="1" applyBorder="1" applyAlignment="1">
      <alignment horizontal="center" vertical="center" wrapText="1"/>
    </xf>
    <xf numFmtId="4" fontId="156" fillId="35" borderId="22" xfId="38" applyNumberFormat="1" applyFont="1" applyFill="1" applyBorder="1" applyAlignment="1" applyProtection="1">
      <alignment horizontal="center" vertical="center" wrapText="1"/>
      <protection locked="0"/>
    </xf>
    <xf numFmtId="4" fontId="137" fillId="36" borderId="22" xfId="38" applyNumberFormat="1" applyFont="1" applyFill="1" applyBorder="1" applyAlignment="1" applyProtection="1">
      <alignment horizontal="center" vertical="center" wrapText="1"/>
      <protection locked="0"/>
    </xf>
    <xf numFmtId="4" fontId="44" fillId="31" borderId="0" xfId="0" applyNumberFormat="1" applyFont="1" applyFill="1" applyAlignment="1">
      <alignment horizontal="center" vertical="center" wrapText="1"/>
    </xf>
    <xf numFmtId="4" fontId="45" fillId="0" borderId="22" xfId="0" applyNumberFormat="1" applyFont="1" applyFill="1" applyBorder="1" applyAlignment="1">
      <alignment horizontal="center" vertical="center"/>
    </xf>
    <xf numFmtId="49" fontId="43" fillId="0" borderId="22" xfId="0" applyNumberFormat="1" applyFont="1" applyFill="1" applyBorder="1" applyAlignment="1">
      <alignment horizontal="center" vertical="center" wrapText="1"/>
    </xf>
    <xf numFmtId="4" fontId="44" fillId="0" borderId="22" xfId="0" applyNumberFormat="1" applyFont="1" applyFill="1" applyBorder="1" applyAlignment="1">
      <alignment horizontal="center" vertical="center" wrapText="1"/>
    </xf>
    <xf numFmtId="4" fontId="43" fillId="0" borderId="22" xfId="0" applyNumberFormat="1" applyFont="1" applyBorder="1" applyAlignment="1">
      <alignment horizontal="center" vertical="center" wrapText="1"/>
    </xf>
    <xf numFmtId="49" fontId="43" fillId="0" borderId="22" xfId="0" applyNumberFormat="1" applyFont="1" applyBorder="1" applyAlignment="1">
      <alignment horizontal="center" vertical="center" wrapText="1"/>
    </xf>
    <xf numFmtId="49" fontId="43" fillId="0" borderId="22" xfId="0" applyNumberFormat="1" applyFont="1" applyFill="1" applyBorder="1" applyAlignment="1">
      <alignment horizontal="center" vertical="center" wrapText="1"/>
    </xf>
    <xf numFmtId="4" fontId="43" fillId="0" borderId="22" xfId="0" applyNumberFormat="1" applyFont="1" applyFill="1" applyBorder="1" applyAlignment="1">
      <alignment horizontal="center" vertical="center" wrapText="1"/>
    </xf>
    <xf numFmtId="4" fontId="43" fillId="0" borderId="22" xfId="38" applyNumberFormat="1" applyFont="1" applyFill="1" applyBorder="1" applyAlignment="1" applyProtection="1">
      <alignment horizontal="center" vertical="center" wrapText="1"/>
      <protection locked="0"/>
    </xf>
    <xf numFmtId="4" fontId="43" fillId="0" borderId="22" xfId="38" applyNumberFormat="1" applyFont="1" applyFill="1" applyBorder="1" applyAlignment="1">
      <alignment horizontal="center" vertical="center" wrapText="1"/>
    </xf>
    <xf numFmtId="0" fontId="43" fillId="0" borderId="22" xfId="0" applyFont="1" applyBorder="1" applyAlignment="1">
      <alignment horizontal="center" vertical="center" wrapText="1"/>
    </xf>
    <xf numFmtId="4" fontId="44" fillId="29" borderId="22" xfId="0" applyNumberFormat="1" applyFont="1" applyFill="1" applyBorder="1" applyAlignment="1">
      <alignment horizontal="center" vertical="center"/>
    </xf>
    <xf numFmtId="4" fontId="34" fillId="29" borderId="22" xfId="0" applyNumberFormat="1" applyFont="1" applyFill="1" applyBorder="1" applyAlignment="1">
      <alignment horizontal="left" vertical="center"/>
    </xf>
    <xf numFmtId="0" fontId="55" fillId="0" borderId="0" xfId="35" applyFont="1" applyAlignment="1">
      <alignment horizontal="left" vertical="center"/>
    </xf>
    <xf numFmtId="0" fontId="154" fillId="0" borderId="0" xfId="0" applyFont="1"/>
    <xf numFmtId="4" fontId="15" fillId="25" borderId="14" xfId="0" applyNumberFormat="1" applyFont="1" applyFill="1" applyBorder="1" applyAlignment="1">
      <alignment horizontal="center" vertical="center"/>
    </xf>
    <xf numFmtId="2" fontId="16" fillId="0" borderId="0" xfId="36" applyNumberFormat="1" applyFont="1" applyAlignment="1">
      <alignment horizontal="center" vertical="top"/>
    </xf>
    <xf numFmtId="0" fontId="33" fillId="0" borderId="7" xfId="92" applyFont="1" applyFill="1" applyBorder="1" applyAlignment="1">
      <alignment vertical="center" wrapText="1"/>
    </xf>
    <xf numFmtId="4" fontId="45" fillId="0" borderId="22" xfId="0" applyNumberFormat="1" applyFont="1" applyFill="1" applyBorder="1" applyAlignment="1">
      <alignment horizontal="center" vertical="center"/>
    </xf>
    <xf numFmtId="49" fontId="43" fillId="0" borderId="22" xfId="0" applyNumberFormat="1" applyFont="1" applyFill="1" applyBorder="1" applyAlignment="1">
      <alignment horizontal="center" vertical="center" wrapText="1"/>
    </xf>
    <xf numFmtId="4" fontId="44" fillId="0" borderId="22" xfId="0" applyNumberFormat="1" applyFont="1" applyFill="1" applyBorder="1" applyAlignment="1">
      <alignment horizontal="center" vertical="center" wrapText="1"/>
    </xf>
    <xf numFmtId="4" fontId="157" fillId="0" borderId="0" xfId="0" applyNumberFormat="1" applyFont="1" applyAlignment="1">
      <alignment vertical="center"/>
    </xf>
    <xf numFmtId="0" fontId="56" fillId="0" borderId="0" xfId="0" applyFont="1" applyAlignment="1">
      <alignment horizontal="justify" vertical="center"/>
    </xf>
    <xf numFmtId="0" fontId="56" fillId="0" borderId="7" xfId="39" applyFont="1" applyBorder="1" applyAlignment="1">
      <alignment wrapText="1"/>
    </xf>
    <xf numFmtId="0" fontId="0" fillId="0" borderId="0" xfId="0"/>
    <xf numFmtId="0" fontId="43" fillId="0" borderId="0" xfId="0" applyFont="1" applyAlignment="1">
      <alignment vertical="center"/>
    </xf>
    <xf numFmtId="0" fontId="42" fillId="0" borderId="0" xfId="0" applyFont="1" applyAlignment="1">
      <alignment horizontal="center" vertical="center"/>
    </xf>
    <xf numFmtId="0" fontId="85" fillId="0" borderId="0" xfId="0" applyFont="1" applyAlignment="1">
      <alignment horizontal="left" vertical="center"/>
    </xf>
    <xf numFmtId="0" fontId="0" fillId="0" borderId="0" xfId="0"/>
    <xf numFmtId="0" fontId="0" fillId="0" borderId="0" xfId="0" applyAlignment="1">
      <alignment horizontal="center"/>
    </xf>
    <xf numFmtId="0" fontId="85" fillId="0" borderId="0" xfId="0" applyFont="1" applyAlignment="1">
      <alignment horizontal="left" vertical="center"/>
    </xf>
    <xf numFmtId="0" fontId="8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43" fillId="0" borderId="0" xfId="0" applyFont="1" applyAlignment="1">
      <alignment vertical="center"/>
    </xf>
    <xf numFmtId="0" fontId="42" fillId="0" borderId="0" xfId="0" applyFont="1" applyAlignment="1">
      <alignment horizontal="center" vertical="center"/>
    </xf>
    <xf numFmtId="0" fontId="99" fillId="0" borderId="0" xfId="0" applyFont="1" applyAlignment="1">
      <alignment horizontal="center" vertical="top"/>
    </xf>
    <xf numFmtId="4" fontId="43" fillId="0" borderId="22" xfId="0" applyNumberFormat="1" applyFont="1" applyBorder="1" applyAlignment="1">
      <alignment horizontal="center" vertical="center" wrapText="1"/>
    </xf>
    <xf numFmtId="4" fontId="42" fillId="0" borderId="22" xfId="0" applyNumberFormat="1" applyFont="1" applyBorder="1" applyAlignment="1">
      <alignment horizontal="center" vertical="center" wrapText="1"/>
    </xf>
    <xf numFmtId="49" fontId="43" fillId="0" borderId="22" xfId="0" applyNumberFormat="1" applyFont="1" applyBorder="1" applyAlignment="1">
      <alignment horizontal="center" vertical="center" wrapText="1"/>
    </xf>
    <xf numFmtId="0" fontId="43" fillId="0" borderId="22" xfId="0" applyFont="1" applyBorder="1" applyAlignment="1">
      <alignment horizontal="center" vertical="center" wrapText="1"/>
    </xf>
    <xf numFmtId="0" fontId="98" fillId="0" borderId="0" xfId="0" applyFont="1" applyAlignment="1">
      <alignment vertical="center"/>
    </xf>
    <xf numFmtId="0" fontId="158" fillId="0" borderId="0" xfId="0" applyFont="1"/>
    <xf numFmtId="49" fontId="43" fillId="36" borderId="27" xfId="0" applyNumberFormat="1" applyFont="1" applyFill="1" applyBorder="1" applyAlignment="1">
      <alignment horizontal="center" vertical="center" wrapText="1"/>
    </xf>
    <xf numFmtId="49" fontId="43" fillId="36" borderId="27" xfId="0" applyNumberFormat="1" applyFont="1" applyFill="1" applyBorder="1" applyAlignment="1">
      <alignment horizontal="left" vertical="center" wrapText="1"/>
    </xf>
    <xf numFmtId="49" fontId="151" fillId="0" borderId="22" xfId="0" applyNumberFormat="1" applyFont="1" applyBorder="1" applyAlignment="1">
      <alignment horizontal="left" vertical="center" wrapText="1"/>
    </xf>
    <xf numFmtId="49" fontId="43" fillId="0" borderId="22" xfId="0" applyNumberFormat="1" applyFont="1" applyBorder="1" applyAlignment="1">
      <alignment horizontal="left" vertical="center" wrapText="1"/>
    </xf>
    <xf numFmtId="49" fontId="159" fillId="0" borderId="22" xfId="0" applyNumberFormat="1" applyFont="1" applyBorder="1" applyAlignment="1">
      <alignment horizontal="center" vertical="center" wrapText="1"/>
    </xf>
    <xf numFmtId="49" fontId="159" fillId="0" borderId="22" xfId="0" applyNumberFormat="1" applyFont="1" applyBorder="1" applyAlignment="1">
      <alignment horizontal="left" vertical="center" wrapText="1"/>
    </xf>
    <xf numFmtId="4" fontId="159" fillId="0" borderId="22" xfId="0" applyNumberFormat="1" applyFont="1" applyBorder="1" applyAlignment="1">
      <alignment horizontal="center" vertical="center" wrapText="1"/>
    </xf>
    <xf numFmtId="4" fontId="43" fillId="36" borderId="27" xfId="0" applyNumberFormat="1" applyFont="1" applyFill="1" applyBorder="1" applyAlignment="1">
      <alignment horizontal="center" vertical="center" wrapText="1"/>
    </xf>
    <xf numFmtId="0" fontId="98" fillId="0" borderId="0" xfId="0" applyFont="1" applyAlignment="1">
      <alignment horizontal="center" vertical="center"/>
    </xf>
    <xf numFmtId="4" fontId="43" fillId="0" borderId="22" xfId="0" applyNumberFormat="1" applyFont="1" applyBorder="1" applyAlignment="1">
      <alignment horizontal="center" vertical="center" wrapText="1"/>
    </xf>
    <xf numFmtId="0" fontId="0" fillId="0" borderId="0" xfId="0"/>
    <xf numFmtId="4" fontId="43" fillId="0" borderId="22" xfId="0" applyNumberFormat="1" applyFont="1" applyBorder="1" applyAlignment="1">
      <alignment horizontal="center" vertical="center" wrapText="1"/>
    </xf>
    <xf numFmtId="49" fontId="43" fillId="0" borderId="22" xfId="0" applyNumberFormat="1" applyFont="1" applyBorder="1" applyAlignment="1">
      <alignment horizontal="center" vertical="center" wrapText="1"/>
    </xf>
    <xf numFmtId="4" fontId="45" fillId="0" borderId="22" xfId="0" applyNumberFormat="1" applyFont="1" applyFill="1" applyBorder="1" applyAlignment="1">
      <alignment horizontal="center" vertical="center"/>
    </xf>
    <xf numFmtId="49" fontId="43" fillId="0" borderId="22" xfId="0" applyNumberFormat="1" applyFont="1" applyFill="1" applyBorder="1" applyAlignment="1">
      <alignment horizontal="center" vertical="center" wrapText="1"/>
    </xf>
    <xf numFmtId="4" fontId="44" fillId="0" borderId="22" xfId="0" applyNumberFormat="1" applyFont="1" applyFill="1" applyBorder="1" applyAlignment="1">
      <alignment horizontal="center" vertical="center" wrapText="1"/>
    </xf>
    <xf numFmtId="4" fontId="43" fillId="0" borderId="22" xfId="0" applyNumberFormat="1" applyFont="1" applyFill="1" applyBorder="1" applyAlignment="1">
      <alignment horizontal="center" vertical="center" wrapText="1"/>
    </xf>
    <xf numFmtId="0" fontId="113" fillId="0" borderId="0" xfId="0" applyFont="1"/>
    <xf numFmtId="4" fontId="43" fillId="0" borderId="22" xfId="0" applyNumberFormat="1" applyFont="1" applyBorder="1" applyAlignment="1">
      <alignment horizontal="center" vertical="center" wrapText="1"/>
    </xf>
    <xf numFmtId="0" fontId="0" fillId="0" borderId="0" xfId="0"/>
    <xf numFmtId="4" fontId="43" fillId="0" borderId="22" xfId="0" applyNumberFormat="1" applyFont="1" applyBorder="1" applyAlignment="1">
      <alignment horizontal="center" vertical="center" wrapText="1"/>
    </xf>
    <xf numFmtId="49" fontId="43" fillId="0" borderId="22" xfId="0" applyNumberFormat="1" applyFont="1" applyFill="1" applyBorder="1" applyAlignment="1">
      <alignment horizontal="center" vertical="center" wrapText="1"/>
    </xf>
    <xf numFmtId="4" fontId="43" fillId="0" borderId="22" xfId="38" applyNumberFormat="1" applyFont="1" applyFill="1" applyBorder="1" applyAlignment="1">
      <alignment horizontal="center" vertical="center" wrapText="1"/>
    </xf>
    <xf numFmtId="0" fontId="113" fillId="0" borderId="0" xfId="0" applyFont="1"/>
    <xf numFmtId="0" fontId="160" fillId="0" borderId="0" xfId="0" applyFont="1" applyAlignment="1">
      <alignment vertical="center"/>
    </xf>
    <xf numFmtId="4" fontId="159" fillId="0" borderId="30" xfId="0" applyNumberFormat="1" applyFont="1" applyBorder="1" applyAlignment="1">
      <alignment horizontal="center" vertical="center" wrapText="1"/>
    </xf>
    <xf numFmtId="0" fontId="55" fillId="0" borderId="0" xfId="39" applyFont="1" applyAlignment="1">
      <alignment horizontal="center" vertical="center"/>
    </xf>
    <xf numFmtId="0" fontId="15" fillId="0" borderId="7" xfId="39" applyFont="1" applyBorder="1" applyAlignment="1">
      <alignment horizontal="center" vertical="center" wrapText="1"/>
    </xf>
    <xf numFmtId="0" fontId="57" fillId="0" borderId="7" xfId="0" applyFont="1" applyBorder="1" applyAlignment="1">
      <alignment horizontal="center" vertical="center" wrapText="1"/>
    </xf>
    <xf numFmtId="0" fontId="43" fillId="0" borderId="0" xfId="0" applyFont="1"/>
    <xf numFmtId="0" fontId="64" fillId="0" borderId="0" xfId="0" applyFont="1" applyAlignment="1">
      <alignment horizontal="center" vertical="center" wrapText="1"/>
    </xf>
    <xf numFmtId="0" fontId="162" fillId="0" borderId="0" xfId="0" applyFont="1" applyAlignment="1">
      <alignment vertical="center"/>
    </xf>
    <xf numFmtId="164" fontId="84" fillId="0" borderId="0" xfId="0" applyNumberFormat="1" applyFont="1" applyAlignment="1">
      <alignment horizontal="right" vertical="center" wrapText="1"/>
    </xf>
    <xf numFmtId="4" fontId="10" fillId="33" borderId="7" xfId="39" applyNumberFormat="1" applyFill="1" applyBorder="1" applyAlignment="1">
      <alignment vertical="center" wrapText="1"/>
    </xf>
    <xf numFmtId="4" fontId="10" fillId="0" borderId="7" xfId="39" applyNumberFormat="1" applyBorder="1" applyAlignment="1">
      <alignment horizontal="right" vertical="center" wrapText="1"/>
    </xf>
    <xf numFmtId="4" fontId="10" fillId="0" borderId="0" xfId="39" applyNumberFormat="1"/>
    <xf numFmtId="0" fontId="14" fillId="0" borderId="0" xfId="0" applyFont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/>
    </xf>
    <xf numFmtId="0" fontId="55" fillId="0" borderId="0" xfId="39" applyFont="1" applyAlignment="1">
      <alignment horizontal="center" vertical="center"/>
    </xf>
    <xf numFmtId="0" fontId="15" fillId="0" borderId="7" xfId="39" applyFont="1" applyBorder="1" applyAlignment="1">
      <alignment horizontal="center" vertical="center" wrapText="1"/>
    </xf>
    <xf numFmtId="0" fontId="18" fillId="0" borderId="17" xfId="0" applyFont="1" applyBorder="1" applyAlignment="1">
      <alignment horizontal="left" vertical="center" wrapText="1"/>
    </xf>
    <xf numFmtId="0" fontId="18" fillId="0" borderId="14" xfId="0" applyFont="1" applyBorder="1" applyAlignment="1">
      <alignment horizontal="left" vertical="center" wrapText="1"/>
    </xf>
    <xf numFmtId="0" fontId="13" fillId="0" borderId="14" xfId="0" applyFont="1" applyBorder="1" applyAlignment="1">
      <alignment horizontal="left" vertical="center" wrapText="1"/>
    </xf>
    <xf numFmtId="0" fontId="43" fillId="0" borderId="0" xfId="0" applyFont="1"/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wrapText="1"/>
    </xf>
    <xf numFmtId="0" fontId="64" fillId="0" borderId="0" xfId="0" applyFont="1" applyAlignment="1">
      <alignment horizontal="center" vertical="center" wrapText="1"/>
    </xf>
    <xf numFmtId="0" fontId="103" fillId="0" borderId="0" xfId="0" applyFont="1" applyAlignment="1">
      <alignment horizontal="center"/>
    </xf>
    <xf numFmtId="0" fontId="10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8" fillId="0" borderId="0" xfId="0" applyFont="1" applyAlignment="1">
      <alignment horizontal="center" vertical="top"/>
    </xf>
    <xf numFmtId="0" fontId="102" fillId="0" borderId="0" xfId="0" applyFont="1" applyAlignment="1">
      <alignment horizontal="center" vertical="top"/>
    </xf>
    <xf numFmtId="0" fontId="57" fillId="0" borderId="7" xfId="0" applyFont="1" applyBorder="1" applyAlignment="1">
      <alignment horizontal="center" vertical="center" wrapText="1"/>
    </xf>
    <xf numFmtId="0" fontId="57" fillId="0" borderId="8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" fontId="43" fillId="0" borderId="22" xfId="0" applyNumberFormat="1" applyFont="1" applyBorder="1" applyAlignment="1">
      <alignment horizontal="center" vertical="center" wrapText="1"/>
    </xf>
    <xf numFmtId="4" fontId="0" fillId="0" borderId="22" xfId="0" applyNumberFormat="1" applyBorder="1" applyAlignment="1">
      <alignment horizontal="center" vertical="center" wrapText="1"/>
    </xf>
    <xf numFmtId="49" fontId="43" fillId="0" borderId="22" xfId="0" applyNumberFormat="1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46" fillId="0" borderId="22" xfId="0" applyFont="1" applyBorder="1" applyAlignment="1">
      <alignment horizontal="center" vertical="center" wrapText="1"/>
    </xf>
    <xf numFmtId="4" fontId="44" fillId="0" borderId="22" xfId="0" applyNumberFormat="1" applyFont="1" applyBorder="1" applyAlignment="1">
      <alignment horizontal="center" vertical="center" wrapText="1"/>
    </xf>
    <xf numFmtId="4" fontId="45" fillId="0" borderId="22" xfId="0" applyNumberFormat="1" applyFont="1" applyFill="1" applyBorder="1" applyAlignment="1">
      <alignment horizontal="center" vertical="center"/>
    </xf>
    <xf numFmtId="4" fontId="42" fillId="0" borderId="22" xfId="0" applyNumberFormat="1" applyFont="1" applyFill="1" applyBorder="1" applyAlignment="1">
      <alignment horizontal="center" vertical="center" wrapText="1"/>
    </xf>
    <xf numFmtId="4" fontId="45" fillId="0" borderId="22" xfId="0" applyNumberFormat="1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4" fontId="42" fillId="0" borderId="22" xfId="0" applyNumberFormat="1" applyFont="1" applyBorder="1" applyAlignment="1">
      <alignment horizontal="center" vertical="center" wrapText="1"/>
    </xf>
    <xf numFmtId="4" fontId="13" fillId="0" borderId="22" xfId="0" applyNumberFormat="1" applyFont="1" applyBorder="1" applyAlignment="1">
      <alignment horizontal="center" vertical="center" wrapText="1"/>
    </xf>
    <xf numFmtId="49" fontId="43" fillId="0" borderId="22" xfId="0" applyNumberFormat="1" applyFont="1" applyFill="1" applyBorder="1" applyAlignment="1">
      <alignment horizontal="center" vertical="center" wrapText="1"/>
    </xf>
    <xf numFmtId="4" fontId="44" fillId="0" borderId="22" xfId="0" applyNumberFormat="1" applyFont="1" applyFill="1" applyBorder="1" applyAlignment="1">
      <alignment horizontal="center" vertical="center" wrapText="1"/>
    </xf>
    <xf numFmtId="4" fontId="43" fillId="0" borderId="22" xfId="0" applyNumberFormat="1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 wrapText="1"/>
    </xf>
    <xf numFmtId="4" fontId="43" fillId="0" borderId="23" xfId="0" applyNumberFormat="1" applyFont="1" applyFill="1" applyBorder="1" applyAlignment="1">
      <alignment horizontal="center" vertical="center" wrapText="1"/>
    </xf>
    <xf numFmtId="4" fontId="43" fillId="0" borderId="24" xfId="0" applyNumberFormat="1" applyFont="1" applyFill="1" applyBorder="1" applyAlignment="1">
      <alignment horizontal="center" vertical="center" wrapText="1"/>
    </xf>
    <xf numFmtId="4" fontId="0" fillId="0" borderId="22" xfId="0" applyNumberFormat="1" applyFont="1" applyFill="1" applyBorder="1" applyAlignment="1">
      <alignment horizontal="center" vertical="center" wrapText="1"/>
    </xf>
    <xf numFmtId="0" fontId="42" fillId="0" borderId="22" xfId="0" applyFont="1" applyBorder="1" applyAlignment="1">
      <alignment horizontal="center" vertical="top" wrapText="1"/>
    </xf>
    <xf numFmtId="0" fontId="99" fillId="0" borderId="0" xfId="0" applyFont="1" applyAlignment="1">
      <alignment horizontal="center" vertical="top"/>
    </xf>
    <xf numFmtId="0" fontId="46" fillId="0" borderId="0" xfId="0" applyFont="1" applyAlignment="1">
      <alignment horizontal="center" vertical="top"/>
    </xf>
    <xf numFmtId="0" fontId="42" fillId="0" borderId="22" xfId="0" applyFont="1" applyBorder="1" applyAlignment="1">
      <alignment horizontal="center" vertical="top"/>
    </xf>
    <xf numFmtId="0" fontId="13" fillId="0" borderId="22" xfId="0" applyFont="1" applyBorder="1" applyAlignment="1">
      <alignment horizontal="center" vertical="top"/>
    </xf>
    <xf numFmtId="0" fontId="46" fillId="0" borderId="22" xfId="0" applyFont="1" applyFill="1" applyBorder="1" applyAlignment="1">
      <alignment horizontal="center" vertical="center" wrapText="1"/>
    </xf>
    <xf numFmtId="0" fontId="4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3" fillId="0" borderId="0" xfId="0" applyFont="1" applyAlignment="1">
      <alignment vertical="center"/>
    </xf>
    <xf numFmtId="0" fontId="42" fillId="0" borderId="0" xfId="0" applyFont="1" applyAlignment="1">
      <alignment horizontal="center" vertical="center"/>
    </xf>
    <xf numFmtId="0" fontId="105" fillId="0" borderId="0" xfId="0" applyFont="1" applyAlignment="1">
      <alignment horizontal="center"/>
    </xf>
    <xf numFmtId="0" fontId="106" fillId="0" borderId="0" xfId="0" applyFont="1" applyAlignment="1">
      <alignment horizontal="center"/>
    </xf>
    <xf numFmtId="0" fontId="0" fillId="0" borderId="22" xfId="0" applyFont="1" applyBorder="1" applyAlignment="1">
      <alignment horizontal="center" vertical="top"/>
    </xf>
    <xf numFmtId="0" fontId="85" fillId="0" borderId="0" xfId="0" applyFont="1" applyAlignment="1">
      <alignment horizontal="left" vertical="center"/>
    </xf>
    <xf numFmtId="0" fontId="87" fillId="0" borderId="0" xfId="0" applyFont="1" applyAlignment="1">
      <alignment horizontal="left" vertical="center"/>
    </xf>
    <xf numFmtId="0" fontId="0" fillId="0" borderId="22" xfId="0" applyFont="1" applyFill="1" applyBorder="1" applyAlignment="1">
      <alignment horizontal="center" vertical="center"/>
    </xf>
    <xf numFmtId="4" fontId="13" fillId="0" borderId="22" xfId="0" applyNumberFormat="1" applyFont="1" applyFill="1" applyBorder="1" applyAlignment="1">
      <alignment horizontal="center" vertical="center" wrapText="1"/>
    </xf>
    <xf numFmtId="0" fontId="129" fillId="0" borderId="22" xfId="35" applyFont="1" applyBorder="1" applyAlignment="1">
      <alignment horizontal="center" vertical="top" wrapText="1"/>
    </xf>
    <xf numFmtId="0" fontId="13" fillId="0" borderId="22" xfId="0" applyFont="1" applyBorder="1" applyAlignment="1">
      <alignment horizontal="center" vertical="top" wrapText="1"/>
    </xf>
    <xf numFmtId="0" fontId="33" fillId="0" borderId="0" xfId="0" applyFont="1"/>
    <xf numFmtId="0" fontId="33" fillId="0" borderId="0" xfId="35" applyFont="1" applyAlignment="1">
      <alignment horizontal="center" vertical="center" wrapText="1"/>
    </xf>
    <xf numFmtId="0" fontId="16" fillId="0" borderId="0" xfId="35" applyFont="1" applyAlignment="1">
      <alignment horizontal="center" vertical="center" wrapText="1"/>
    </xf>
    <xf numFmtId="0" fontId="18" fillId="0" borderId="22" xfId="35" applyFont="1" applyBorder="1" applyAlignment="1">
      <alignment horizontal="center" vertical="top" wrapText="1"/>
    </xf>
    <xf numFmtId="0" fontId="107" fillId="0" borderId="0" xfId="0" applyFont="1" applyBorder="1" applyAlignment="1">
      <alignment horizontal="center" vertical="center"/>
    </xf>
    <xf numFmtId="0" fontId="107" fillId="0" borderId="0" xfId="0" applyFont="1" applyBorder="1" applyAlignment="1">
      <alignment horizontal="center"/>
    </xf>
    <xf numFmtId="0" fontId="108" fillId="0" borderId="0" xfId="0" applyFont="1" applyBorder="1" applyAlignment="1">
      <alignment horizontal="center"/>
    </xf>
    <xf numFmtId="0" fontId="41" fillId="0" borderId="0" xfId="0" applyFont="1" applyBorder="1" applyAlignment="1">
      <alignment horizontal="center" vertical="top"/>
    </xf>
    <xf numFmtId="0" fontId="0" fillId="0" borderId="0" xfId="0" applyFont="1" applyBorder="1" applyAlignment="1">
      <alignment horizontal="center" vertical="top"/>
    </xf>
    <xf numFmtId="0" fontId="66" fillId="0" borderId="0" xfId="35" applyFont="1"/>
    <xf numFmtId="0" fontId="18" fillId="0" borderId="22" xfId="0" applyFont="1" applyBorder="1" applyAlignment="1">
      <alignment horizontal="center" vertical="top" wrapText="1"/>
    </xf>
    <xf numFmtId="0" fontId="18" fillId="0" borderId="22" xfId="0" applyFont="1" applyBorder="1" applyAlignment="1">
      <alignment horizontal="center" vertical="top"/>
    </xf>
    <xf numFmtId="0" fontId="0" fillId="0" borderId="0" xfId="0" applyAlignment="1">
      <alignment horizontal="center" vertical="center" wrapText="1"/>
    </xf>
    <xf numFmtId="49" fontId="43" fillId="36" borderId="27" xfId="0" applyNumberFormat="1" applyFont="1" applyFill="1" applyBorder="1" applyAlignment="1">
      <alignment horizontal="center" vertical="center" wrapText="1"/>
    </xf>
    <xf numFmtId="0" fontId="0" fillId="0" borderId="29" xfId="0" applyFont="1" applyBorder="1" applyAlignment="1">
      <alignment horizontal="center" vertical="center" wrapText="1"/>
    </xf>
    <xf numFmtId="0" fontId="0" fillId="0" borderId="30" xfId="0" applyFont="1" applyBorder="1" applyAlignment="1">
      <alignment horizontal="center" vertical="center" wrapText="1"/>
    </xf>
    <xf numFmtId="49" fontId="151" fillId="0" borderId="27" xfId="0" applyNumberFormat="1" applyFont="1" applyBorder="1" applyAlignment="1">
      <alignment horizontal="left" vertical="center" wrapText="1"/>
    </xf>
    <xf numFmtId="0" fontId="0" fillId="0" borderId="30" xfId="0" applyBorder="1" applyAlignment="1">
      <alignment horizontal="left" vertical="center" wrapText="1"/>
    </xf>
    <xf numFmtId="49" fontId="43" fillId="36" borderId="27" xfId="0" applyNumberFormat="1" applyFont="1" applyFill="1" applyBorder="1" applyAlignment="1">
      <alignment horizontal="left" vertical="center" wrapText="1"/>
    </xf>
    <xf numFmtId="0" fontId="43" fillId="0" borderId="27" xfId="0" applyFont="1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49" fontId="43" fillId="0" borderId="27" xfId="0" applyNumberFormat="1" applyFont="1" applyBorder="1" applyAlignment="1">
      <alignment horizontal="center" vertical="center" wrapText="1"/>
    </xf>
    <xf numFmtId="49" fontId="159" fillId="0" borderId="27" xfId="0" applyNumberFormat="1" applyFont="1" applyBorder="1" applyAlignment="1">
      <alignment horizontal="left" vertical="center" wrapText="1"/>
    </xf>
    <xf numFmtId="49" fontId="159" fillId="0" borderId="30" xfId="0" applyNumberFormat="1" applyFont="1" applyBorder="1" applyAlignment="1">
      <alignment horizontal="left" vertical="center" wrapText="1"/>
    </xf>
    <xf numFmtId="0" fontId="161" fillId="0" borderId="30" xfId="0" applyFont="1" applyBorder="1" applyAlignment="1">
      <alignment horizontal="left" vertical="center" wrapText="1"/>
    </xf>
    <xf numFmtId="0" fontId="90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4" fillId="0" borderId="0" xfId="35" applyFont="1" applyAlignment="1">
      <alignment horizontal="center" vertical="center"/>
    </xf>
    <xf numFmtId="0" fontId="47" fillId="0" borderId="0" xfId="35" applyFont="1" applyAlignment="1">
      <alignment horizontal="center" vertical="center" wrapText="1"/>
    </xf>
    <xf numFmtId="0" fontId="107" fillId="0" borderId="0" xfId="0" applyFont="1" applyAlignment="1">
      <alignment horizontal="center"/>
    </xf>
    <xf numFmtId="0" fontId="108" fillId="0" borderId="0" xfId="0" applyFont="1" applyAlignment="1">
      <alignment horizontal="center"/>
    </xf>
    <xf numFmtId="0" fontId="41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4" fontId="43" fillId="0" borderId="22" xfId="38" applyNumberFormat="1" applyFont="1" applyFill="1" applyBorder="1" applyAlignment="1" applyProtection="1">
      <alignment horizontal="center" vertical="center" wrapText="1"/>
      <protection locked="0"/>
    </xf>
    <xf numFmtId="4" fontId="43" fillId="0" borderId="22" xfId="38" applyNumberFormat="1" applyFont="1" applyFill="1" applyBorder="1" applyAlignment="1">
      <alignment horizontal="center" vertical="center" wrapText="1"/>
    </xf>
    <xf numFmtId="164" fontId="43" fillId="0" borderId="23" xfId="30" applyNumberFormat="1" applyFont="1" applyBorder="1" applyAlignment="1">
      <alignment horizontal="center" vertical="center" wrapText="1"/>
    </xf>
    <xf numFmtId="0" fontId="46" fillId="0" borderId="24" xfId="0" applyFont="1" applyBorder="1" applyAlignment="1">
      <alignment horizontal="center" vertical="center" wrapText="1"/>
    </xf>
    <xf numFmtId="0" fontId="43" fillId="0" borderId="22" xfId="0" applyFont="1" applyBorder="1" applyAlignment="1">
      <alignment horizontal="center" vertical="center" wrapText="1"/>
    </xf>
    <xf numFmtId="4" fontId="46" fillId="0" borderId="22" xfId="0" applyNumberFormat="1" applyFont="1" applyBorder="1" applyAlignment="1">
      <alignment horizontal="center" vertical="center" wrapText="1"/>
    </xf>
    <xf numFmtId="49" fontId="43" fillId="0" borderId="23" xfId="0" applyNumberFormat="1" applyFont="1" applyBorder="1" applyAlignment="1">
      <alignment horizontal="center" vertical="center" wrapText="1"/>
    </xf>
    <xf numFmtId="49" fontId="43" fillId="0" borderId="25" xfId="0" applyNumberFormat="1" applyFont="1" applyBorder="1" applyAlignment="1">
      <alignment horizontal="center" vertical="center" wrapText="1"/>
    </xf>
    <xf numFmtId="49" fontId="43" fillId="0" borderId="24" xfId="0" applyNumberFormat="1" applyFont="1" applyBorder="1" applyAlignment="1">
      <alignment horizontal="center" vertical="center" wrapText="1"/>
    </xf>
    <xf numFmtId="4" fontId="152" fillId="27" borderId="31" xfId="0" applyNumberFormat="1" applyFont="1" applyFill="1" applyBorder="1" applyAlignment="1">
      <alignment horizontal="center" vertical="center" wrapText="1"/>
    </xf>
    <xf numFmtId="0" fontId="0" fillId="0" borderId="31" xfId="0" applyBorder="1" applyAlignment="1"/>
    <xf numFmtId="4" fontId="43" fillId="0" borderId="23" xfId="0" applyNumberFormat="1" applyFont="1" applyBorder="1" applyAlignment="1">
      <alignment horizontal="center" vertical="center" wrapText="1"/>
    </xf>
    <xf numFmtId="4" fontId="43" fillId="0" borderId="24" xfId="0" applyNumberFormat="1" applyFont="1" applyBorder="1" applyAlignment="1">
      <alignment horizontal="center" vertical="center" wrapText="1"/>
    </xf>
    <xf numFmtId="0" fontId="69" fillId="0" borderId="0" xfId="0" applyFont="1" applyAlignment="1">
      <alignment horizontal="center" vertical="center"/>
    </xf>
    <xf numFmtId="2" fontId="70" fillId="0" borderId="22" xfId="36" applyNumberFormat="1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/>
    </xf>
    <xf numFmtId="2" fontId="15" fillId="0" borderId="22" xfId="36" applyNumberFormat="1" applyFont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2" fontId="68" fillId="0" borderId="22" xfId="36" applyNumberFormat="1" applyFont="1" applyBorder="1" applyAlignment="1">
      <alignment horizontal="center" vertical="center"/>
    </xf>
    <xf numFmtId="2" fontId="68" fillId="29" borderId="22" xfId="36" applyNumberFormat="1" applyFont="1" applyFill="1" applyBorder="1" applyAlignment="1">
      <alignment horizontal="left" vertical="center" wrapText="1"/>
    </xf>
    <xf numFmtId="0" fontId="0" fillId="29" borderId="22" xfId="0" applyFill="1" applyBorder="1" applyAlignment="1">
      <alignment horizontal="left"/>
    </xf>
    <xf numFmtId="0" fontId="14" fillId="0" borderId="0" xfId="0" applyFont="1" applyAlignment="1">
      <alignment horizontal="left" vertical="center"/>
    </xf>
    <xf numFmtId="0" fontId="69" fillId="0" borderId="0" xfId="0" applyFont="1" applyAlignment="1">
      <alignment horizontal="left" vertical="center"/>
    </xf>
    <xf numFmtId="0" fontId="68" fillId="0" borderId="0" xfId="36" applyFont="1" applyAlignment="1">
      <alignment horizontal="center"/>
    </xf>
    <xf numFmtId="0" fontId="68" fillId="0" borderId="0" xfId="0" applyFont="1" applyAlignment="1">
      <alignment horizontal="center"/>
    </xf>
    <xf numFmtId="0" fontId="68" fillId="0" borderId="0" xfId="36" applyFont="1" applyAlignment="1">
      <alignment horizontal="center" vertical="top"/>
    </xf>
    <xf numFmtId="0" fontId="0" fillId="0" borderId="0" xfId="0" applyAlignment="1">
      <alignment vertical="top"/>
    </xf>
    <xf numFmtId="0" fontId="0" fillId="0" borderId="22" xfId="0" applyFill="1" applyBorder="1" applyAlignment="1">
      <alignment horizontal="center"/>
    </xf>
    <xf numFmtId="0" fontId="68" fillId="0" borderId="0" xfId="36" applyFont="1" applyAlignment="1">
      <alignment horizontal="center" vertical="center"/>
    </xf>
    <xf numFmtId="0" fontId="145" fillId="0" borderId="0" xfId="36" applyFont="1">
      <alignment vertical="top"/>
    </xf>
    <xf numFmtId="0" fontId="113" fillId="0" borderId="0" xfId="0" applyFont="1"/>
    <xf numFmtId="0" fontId="14" fillId="0" borderId="0" xfId="36" applyFont="1" applyAlignment="1">
      <alignment horizontal="center" vertical="center" wrapText="1"/>
    </xf>
    <xf numFmtId="0" fontId="17" fillId="0" borderId="0" xfId="36" applyFont="1" applyAlignment="1">
      <alignment horizontal="left" vertical="top" wrapText="1"/>
    </xf>
    <xf numFmtId="2" fontId="68" fillId="0" borderId="22" xfId="36" applyNumberFormat="1" applyFont="1" applyFill="1" applyBorder="1" applyAlignment="1">
      <alignment horizontal="center" vertical="center" wrapText="1"/>
    </xf>
    <xf numFmtId="2" fontId="70" fillId="0" borderId="26" xfId="36" applyNumberFormat="1" applyFont="1" applyFill="1" applyBorder="1" applyAlignment="1">
      <alignment horizontal="center" vertical="top" wrapText="1"/>
    </xf>
    <xf numFmtId="0" fontId="8" fillId="0" borderId="24" xfId="0" applyFont="1" applyFill="1" applyBorder="1" applyAlignment="1">
      <alignment horizontal="center" vertical="top"/>
    </xf>
    <xf numFmtId="0" fontId="0" fillId="29" borderId="22" xfId="0" applyFont="1" applyFill="1" applyBorder="1" applyAlignment="1">
      <alignment horizontal="left"/>
    </xf>
    <xf numFmtId="2" fontId="70" fillId="0" borderId="0" xfId="36" applyNumberFormat="1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/>
    </xf>
    <xf numFmtId="2" fontId="14" fillId="0" borderId="22" xfId="36" applyNumberFormat="1" applyFont="1" applyFill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4" fontId="14" fillId="0" borderId="22" xfId="36" applyNumberFormat="1" applyFont="1" applyFill="1" applyBorder="1" applyAlignment="1">
      <alignment horizontal="center" vertical="center" wrapText="1"/>
    </xf>
    <xf numFmtId="4" fontId="8" fillId="0" borderId="22" xfId="0" applyNumberFormat="1" applyFont="1" applyFill="1" applyBorder="1" applyAlignment="1">
      <alignment horizontal="center" vertical="center" wrapText="1"/>
    </xf>
    <xf numFmtId="0" fontId="68" fillId="0" borderId="0" xfId="0" applyFont="1" applyAlignment="1">
      <alignment horizontal="center" vertical="center"/>
    </xf>
    <xf numFmtId="0" fontId="89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0" fontId="14" fillId="0" borderId="0" xfId="36" applyFont="1" applyAlignment="1">
      <alignment horizontal="left" vertical="top" wrapText="1"/>
    </xf>
    <xf numFmtId="0" fontId="14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15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41" fillId="0" borderId="0" xfId="0" applyFont="1"/>
  </cellXfs>
  <cellStyles count="102">
    <cellStyle name="20% - Акцент1" xfId="46"/>
    <cellStyle name="20% - Акцент2" xfId="47"/>
    <cellStyle name="20% - Акцент3" xfId="48"/>
    <cellStyle name="20% - Акцент4" xfId="49"/>
    <cellStyle name="20% - Акцент5" xfId="50"/>
    <cellStyle name="20% - Акцент6" xfId="51"/>
    <cellStyle name="40% - Акцент1" xfId="52"/>
    <cellStyle name="40% - Акцент2" xfId="53"/>
    <cellStyle name="40% - Акцент3" xfId="54"/>
    <cellStyle name="40% - Акцент4" xfId="55"/>
    <cellStyle name="40% - Акцент5" xfId="56"/>
    <cellStyle name="40% - Акцент6" xfId="57"/>
    <cellStyle name="60% - Акцент1" xfId="58"/>
    <cellStyle name="60% - Акцент2" xfId="59"/>
    <cellStyle name="60% - Акцент3" xfId="60"/>
    <cellStyle name="60% - Акцент4" xfId="61"/>
    <cellStyle name="60% - Акцент5" xfId="62"/>
    <cellStyle name="60% - Акцент6" xfId="63"/>
    <cellStyle name="Excel Built-in Обычный_УКБ до бюджету 2016р ост" xfId="84"/>
    <cellStyle name="Normal_meresha_07" xfId="1"/>
    <cellStyle name="Акцент1" xfId="64"/>
    <cellStyle name="Акцент2" xfId="65"/>
    <cellStyle name="Акцент3" xfId="66"/>
    <cellStyle name="Акцент4" xfId="67"/>
    <cellStyle name="Акцент5" xfId="68"/>
    <cellStyle name="Акцент6" xfId="69"/>
    <cellStyle name="Ввід" xfId="2"/>
    <cellStyle name="Ввод " xfId="70"/>
    <cellStyle name="Вывод" xfId="71"/>
    <cellStyle name="Вычисление" xfId="72"/>
    <cellStyle name="Гіперпосилання 2" xfId="73"/>
    <cellStyle name="Добре" xfId="3"/>
    <cellStyle name="Заголовок 1" xfId="4" builtinId="16" customBuiltin="1"/>
    <cellStyle name="Заголовок 2" xfId="5" builtinId="17" customBuiltin="1"/>
    <cellStyle name="Заголовок 3" xfId="6" builtinId="18" customBuiltin="1"/>
    <cellStyle name="Заголовок 4" xfId="7" builtinId="19" customBuiltin="1"/>
    <cellStyle name="Звичайний" xfId="0" builtinId="0"/>
    <cellStyle name="Звичайний 10" xfId="8"/>
    <cellStyle name="Звичайний 11" xfId="9"/>
    <cellStyle name="Звичайний 12" xfId="10"/>
    <cellStyle name="Звичайний 13" xfId="11"/>
    <cellStyle name="Звичайний 14" xfId="12"/>
    <cellStyle name="Звичайний 15" xfId="13"/>
    <cellStyle name="Звичайний 16" xfId="14"/>
    <cellStyle name="Звичайний 17" xfId="15"/>
    <cellStyle name="Звичайний 18" xfId="16"/>
    <cellStyle name="Звичайний 19" xfId="17"/>
    <cellStyle name="Звичайний 2" xfId="18"/>
    <cellStyle name="Звичайний 2 2" xfId="19"/>
    <cellStyle name="Звичайний 2 2 2" xfId="88"/>
    <cellStyle name="Звичайний 2 3" xfId="94"/>
    <cellStyle name="Звичайний 20" xfId="20"/>
    <cellStyle name="Звичайний 21" xfId="86"/>
    <cellStyle name="Звичайний 21 2" xfId="93"/>
    <cellStyle name="Звичайний 21 2 2" xfId="96"/>
    <cellStyle name="Звичайний 21 2 3" xfId="98"/>
    <cellStyle name="Звичайний 21 2 3 2" xfId="100"/>
    <cellStyle name="Звичайний 27 3 2" xfId="87"/>
    <cellStyle name="Звичайний 3" xfId="21"/>
    <cellStyle name="Звичайний 3 2" xfId="22"/>
    <cellStyle name="Звичайний 3 2 2" xfId="89"/>
    <cellStyle name="Звичайний 30 2" xfId="95"/>
    <cellStyle name="Звичайний 30 2 2" xfId="97"/>
    <cellStyle name="Звичайний 30 2 3" xfId="99"/>
    <cellStyle name="Звичайний 30 2 3 2" xfId="101"/>
    <cellStyle name="Звичайний 4" xfId="23"/>
    <cellStyle name="Звичайний 4 2" xfId="24"/>
    <cellStyle name="Звичайний 4 2 2" xfId="90"/>
    <cellStyle name="Звичайний 5" xfId="25"/>
    <cellStyle name="Звичайний 6" xfId="26"/>
    <cellStyle name="Звичайний 7" xfId="27"/>
    <cellStyle name="Звичайний 8" xfId="28"/>
    <cellStyle name="Звичайний 9" xfId="29"/>
    <cellStyle name="Звичайний_Додаток _ 3 зм_ни 4575" xfId="30"/>
    <cellStyle name="Зв'язана клітинка" xfId="41"/>
    <cellStyle name="Итог" xfId="74"/>
    <cellStyle name="Контрольна клітинка" xfId="31"/>
    <cellStyle name="Контрольная ячейка" xfId="75"/>
    <cellStyle name="Назва" xfId="32"/>
    <cellStyle name="Название" xfId="76"/>
    <cellStyle name="Нейтральный" xfId="77"/>
    <cellStyle name="Обычный 2" xfId="33"/>
    <cellStyle name="Обычный 2 2" xfId="34"/>
    <cellStyle name="Обычный 2 2 2" xfId="91"/>
    <cellStyle name="Обычный 3" xfId="35"/>
    <cellStyle name="Обычный 4 3" xfId="85"/>
    <cellStyle name="Обычный_Plan_kapbud_2006 уточн." xfId="36"/>
    <cellStyle name="Обычный_дод.1" xfId="37"/>
    <cellStyle name="Обычный_Додаток 2 до бюджету 2000 року" xfId="38"/>
    <cellStyle name="Обычный_Додаток №1" xfId="39"/>
    <cellStyle name="Обычный_КАПІТАЛЬНІ  ВКЛАДЕННЯ 2015 2 2" xfId="45"/>
    <cellStyle name="Обычный_УЖКГ бюджет 2016 Після Ямчука 2" xfId="40"/>
    <cellStyle name="Обычный_УКБ до бюджету 2016р ост 2" xfId="92"/>
    <cellStyle name="Плохой" xfId="78"/>
    <cellStyle name="Пояснение" xfId="79"/>
    <cellStyle name="Примечание" xfId="80"/>
    <cellStyle name="Связанная ячейка" xfId="81"/>
    <cellStyle name="Середній" xfId="42"/>
    <cellStyle name="Стиль 1" xfId="43"/>
    <cellStyle name="Текст попередження" xfId="44"/>
    <cellStyle name="Текст предупреждения" xfId="82"/>
    <cellStyle name="Хороший" xfId="83"/>
  </cellStyles>
  <dxfs count="0"/>
  <tableStyles count="0" defaultTableStyle="TableStyleMedium2" defaultPivotStyle="PivotStyleLight16"/>
  <colors>
    <mruColors>
      <color rgb="FF000099"/>
      <color rgb="FF3366CC"/>
      <color rgb="FF99FF99"/>
      <color rgb="FF66FFFF"/>
      <color rgb="FF66FF99"/>
      <color rgb="FF66FFCC"/>
      <color rgb="FFFFCCCC"/>
      <color rgb="FFFFCC99"/>
      <color rgb="FFFFCC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8"/>
  <sheetViews>
    <sheetView showZeros="0" view="pageBreakPreview" zoomScaleSheetLayoutView="100" workbookViewId="0">
      <selection activeCell="F5" sqref="F5"/>
    </sheetView>
  </sheetViews>
  <sheetFormatPr defaultColWidth="6.85546875" defaultRowHeight="12.75" x14ac:dyDescent="0.2"/>
  <cols>
    <col min="1" max="1" width="10.140625" style="12" customWidth="1"/>
    <col min="2" max="2" width="40.42578125" style="12" customWidth="1"/>
    <col min="3" max="4" width="17.28515625" style="12" customWidth="1"/>
    <col min="5" max="5" width="15.7109375" style="12" customWidth="1"/>
    <col min="6" max="6" width="14.5703125" style="12" customWidth="1"/>
    <col min="7" max="252" width="7.85546875" style="12" customWidth="1"/>
    <col min="253" max="16384" width="6.85546875" style="12"/>
  </cols>
  <sheetData>
    <row r="1" spans="1:7" ht="15.75" x14ac:dyDescent="0.2">
      <c r="D1" s="593" t="s">
        <v>64</v>
      </c>
      <c r="E1" s="594"/>
      <c r="F1" s="594"/>
      <c r="G1" s="594"/>
    </row>
    <row r="2" spans="1:7" ht="15.75" x14ac:dyDescent="0.2">
      <c r="C2" s="13"/>
      <c r="D2" s="593" t="s">
        <v>908</v>
      </c>
      <c r="E2" s="595"/>
      <c r="F2" s="595"/>
      <c r="G2" s="595"/>
    </row>
    <row r="3" spans="1:7" ht="6" customHeight="1" x14ac:dyDescent="0.2">
      <c r="C3" s="13"/>
      <c r="D3" s="593"/>
      <c r="E3" s="595"/>
      <c r="F3" s="595"/>
      <c r="G3" s="595"/>
    </row>
    <row r="4" spans="1:7" ht="12.75" customHeight="1" x14ac:dyDescent="0.2">
      <c r="A4" s="596"/>
      <c r="B4" s="596"/>
      <c r="C4" s="596"/>
      <c r="D4" s="596"/>
      <c r="E4" s="596"/>
    </row>
    <row r="5" spans="1:7" ht="20.25" x14ac:dyDescent="0.2">
      <c r="A5" s="230" t="s">
        <v>661</v>
      </c>
      <c r="B5" s="230"/>
      <c r="C5" s="230"/>
      <c r="D5" s="230"/>
      <c r="E5" s="230"/>
    </row>
    <row r="6" spans="1:7" ht="20.25" x14ac:dyDescent="0.2">
      <c r="A6" s="583"/>
      <c r="B6" s="137" t="s">
        <v>680</v>
      </c>
      <c r="C6" s="583"/>
      <c r="D6" s="583"/>
      <c r="E6" s="583"/>
    </row>
    <row r="7" spans="1:7" x14ac:dyDescent="0.2">
      <c r="B7" s="14"/>
      <c r="C7" s="14"/>
      <c r="D7" s="14"/>
      <c r="E7" s="14"/>
      <c r="F7" s="14" t="s">
        <v>65</v>
      </c>
    </row>
    <row r="8" spans="1:7" ht="15.75" x14ac:dyDescent="0.2">
      <c r="A8" s="597" t="s">
        <v>66</v>
      </c>
      <c r="B8" s="597" t="s">
        <v>67</v>
      </c>
      <c r="C8" s="597" t="s">
        <v>433</v>
      </c>
      <c r="D8" s="597" t="s">
        <v>12</v>
      </c>
      <c r="E8" s="597" t="s">
        <v>59</v>
      </c>
      <c r="F8" s="597"/>
      <c r="G8" s="15"/>
    </row>
    <row r="9" spans="1:7" ht="38.25" x14ac:dyDescent="0.25">
      <c r="A9" s="597"/>
      <c r="B9" s="597"/>
      <c r="C9" s="597"/>
      <c r="D9" s="597"/>
      <c r="E9" s="584" t="s">
        <v>433</v>
      </c>
      <c r="F9" s="16" t="s">
        <v>477</v>
      </c>
      <c r="G9" s="17"/>
    </row>
    <row r="10" spans="1:7" ht="15.75" x14ac:dyDescent="0.25">
      <c r="A10" s="584">
        <v>1</v>
      </c>
      <c r="B10" s="584">
        <v>2</v>
      </c>
      <c r="C10" s="584">
        <v>3</v>
      </c>
      <c r="D10" s="584">
        <v>4</v>
      </c>
      <c r="E10" s="584">
        <v>5</v>
      </c>
      <c r="F10" s="16">
        <v>6</v>
      </c>
      <c r="G10" s="17"/>
    </row>
    <row r="11" spans="1:7" ht="14.25" x14ac:dyDescent="0.2">
      <c r="A11" s="18">
        <v>10000000</v>
      </c>
      <c r="B11" s="19" t="s">
        <v>68</v>
      </c>
      <c r="C11" s="20">
        <f>SUM(D11,E11)</f>
        <v>2111555875</v>
      </c>
      <c r="D11" s="20">
        <f>SUM(D12,D26,D27,D47,D20)</f>
        <v>2110924975</v>
      </c>
      <c r="E11" s="20">
        <f>SUM(E12:E46)</f>
        <v>630900</v>
      </c>
      <c r="F11" s="20"/>
      <c r="G11" s="21"/>
    </row>
    <row r="12" spans="1:7" ht="25.5" x14ac:dyDescent="0.2">
      <c r="A12" s="22">
        <v>11000000</v>
      </c>
      <c r="B12" s="23" t="s">
        <v>69</v>
      </c>
      <c r="C12" s="24">
        <f t="shared" ref="C12:C88" si="0">SUM(D12,E12)</f>
        <v>1469989035</v>
      </c>
      <c r="D12" s="24">
        <f>SUM(D13,D18)</f>
        <v>1469989035</v>
      </c>
      <c r="E12" s="25"/>
      <c r="F12" s="25"/>
      <c r="G12" s="26"/>
    </row>
    <row r="13" spans="1:7" ht="14.25" x14ac:dyDescent="0.2">
      <c r="A13" s="18">
        <v>11010000</v>
      </c>
      <c r="B13" s="27" t="s">
        <v>70</v>
      </c>
      <c r="C13" s="24">
        <f t="shared" si="0"/>
        <v>1468487035</v>
      </c>
      <c r="D13" s="28">
        <f>SUM(D14:D17)</f>
        <v>1468487035</v>
      </c>
      <c r="E13" s="20"/>
      <c r="F13" s="20"/>
      <c r="G13" s="26"/>
    </row>
    <row r="14" spans="1:7" ht="36" x14ac:dyDescent="0.2">
      <c r="A14" s="29">
        <v>11010100</v>
      </c>
      <c r="B14" s="30" t="s">
        <v>71</v>
      </c>
      <c r="C14" s="24">
        <f t="shared" si="0"/>
        <v>1212888305</v>
      </c>
      <c r="D14" s="36">
        <v>1212888305</v>
      </c>
      <c r="E14" s="31"/>
      <c r="F14" s="31"/>
      <c r="G14" s="26"/>
    </row>
    <row r="15" spans="1:7" ht="60" x14ac:dyDescent="0.2">
      <c r="A15" s="29">
        <v>11010200</v>
      </c>
      <c r="B15" s="30" t="s">
        <v>72</v>
      </c>
      <c r="C15" s="24">
        <f t="shared" si="0"/>
        <v>202378000</v>
      </c>
      <c r="D15" s="36">
        <v>202378000</v>
      </c>
      <c r="E15" s="31"/>
      <c r="F15" s="31"/>
      <c r="G15" s="26"/>
    </row>
    <row r="16" spans="1:7" ht="36" x14ac:dyDescent="0.2">
      <c r="A16" s="29">
        <v>11010400</v>
      </c>
      <c r="B16" s="30" t="s">
        <v>73</v>
      </c>
      <c r="C16" s="24">
        <f t="shared" si="0"/>
        <v>31686300</v>
      </c>
      <c r="D16" s="36">
        <v>31686300</v>
      </c>
      <c r="E16" s="31"/>
      <c r="F16" s="31"/>
      <c r="G16" s="26"/>
    </row>
    <row r="17" spans="1:7" ht="36" x14ac:dyDescent="0.25">
      <c r="A17" s="29">
        <v>11010500</v>
      </c>
      <c r="B17" s="30" t="s">
        <v>74</v>
      </c>
      <c r="C17" s="24">
        <f t="shared" si="0"/>
        <v>21534430</v>
      </c>
      <c r="D17" s="36">
        <v>21534430</v>
      </c>
      <c r="E17" s="31"/>
      <c r="F17" s="31"/>
      <c r="G17" s="17"/>
    </row>
    <row r="18" spans="1:7" ht="15" x14ac:dyDescent="0.2">
      <c r="A18" s="22">
        <v>11020000</v>
      </c>
      <c r="B18" s="27" t="s">
        <v>75</v>
      </c>
      <c r="C18" s="24">
        <f t="shared" si="0"/>
        <v>1502000</v>
      </c>
      <c r="D18" s="134">
        <v>1502000</v>
      </c>
      <c r="E18" s="33"/>
      <c r="F18" s="33"/>
      <c r="G18" s="21"/>
    </row>
    <row r="19" spans="1:7" ht="24" x14ac:dyDescent="0.25">
      <c r="A19" s="29">
        <v>11020200</v>
      </c>
      <c r="B19" s="34" t="s">
        <v>76</v>
      </c>
      <c r="C19" s="24">
        <f t="shared" si="0"/>
        <v>1502000</v>
      </c>
      <c r="D19" s="36">
        <v>1502000</v>
      </c>
      <c r="E19" s="35"/>
      <c r="F19" s="25"/>
      <c r="G19" s="17"/>
    </row>
    <row r="20" spans="1:7" ht="24" x14ac:dyDescent="0.25">
      <c r="A20" s="49">
        <v>13000000</v>
      </c>
      <c r="B20" s="44" t="s">
        <v>662</v>
      </c>
      <c r="C20" s="24">
        <f>D20+E20</f>
        <v>431120</v>
      </c>
      <c r="D20" s="24">
        <f>SUM(D21,D23)</f>
        <v>431120</v>
      </c>
      <c r="E20" s="35"/>
      <c r="F20" s="25"/>
      <c r="G20" s="17"/>
    </row>
    <row r="21" spans="1:7" ht="24" x14ac:dyDescent="0.25">
      <c r="A21" s="29">
        <v>13010000</v>
      </c>
      <c r="B21" s="34" t="s">
        <v>663</v>
      </c>
      <c r="C21" s="24">
        <f t="shared" ref="C21:C25" si="1">D21+E21</f>
        <v>430520</v>
      </c>
      <c r="D21" s="36">
        <f>SUM(D22)</f>
        <v>430520</v>
      </c>
      <c r="E21" s="35"/>
      <c r="F21" s="25"/>
      <c r="G21" s="17"/>
    </row>
    <row r="22" spans="1:7" ht="48" x14ac:dyDescent="0.25">
      <c r="A22" s="29">
        <v>13010200</v>
      </c>
      <c r="B22" s="34" t="s">
        <v>664</v>
      </c>
      <c r="C22" s="24">
        <f t="shared" si="1"/>
        <v>430520</v>
      </c>
      <c r="D22" s="36">
        <v>430520</v>
      </c>
      <c r="E22" s="35"/>
      <c r="F22" s="25"/>
      <c r="G22" s="17"/>
    </row>
    <row r="23" spans="1:7" ht="15" x14ac:dyDescent="0.25">
      <c r="A23" s="29">
        <v>13030000</v>
      </c>
      <c r="B23" s="34" t="s">
        <v>665</v>
      </c>
      <c r="C23" s="24">
        <f t="shared" si="1"/>
        <v>600</v>
      </c>
      <c r="D23" s="36">
        <f>SUM(D24)</f>
        <v>600</v>
      </c>
      <c r="E23" s="35"/>
      <c r="F23" s="25"/>
      <c r="G23" s="17"/>
    </row>
    <row r="24" spans="1:7" ht="36" x14ac:dyDescent="0.25">
      <c r="A24" s="29">
        <v>13030100</v>
      </c>
      <c r="B24" s="34" t="s">
        <v>666</v>
      </c>
      <c r="C24" s="24">
        <f t="shared" si="1"/>
        <v>600</v>
      </c>
      <c r="D24" s="36">
        <v>600</v>
      </c>
      <c r="E24" s="35"/>
      <c r="F24" s="25"/>
      <c r="G24" s="17"/>
    </row>
    <row r="25" spans="1:7" ht="31.5" x14ac:dyDescent="0.25">
      <c r="A25" s="584">
        <v>14000000</v>
      </c>
      <c r="B25" s="93" t="s">
        <v>669</v>
      </c>
      <c r="C25" s="24">
        <f t="shared" si="1"/>
        <v>85785920</v>
      </c>
      <c r="D25" s="231">
        <f>SUM(D26)</f>
        <v>85785920</v>
      </c>
      <c r="E25" s="232"/>
      <c r="F25" s="25"/>
      <c r="G25" s="17"/>
    </row>
    <row r="26" spans="1:7" ht="38.25" x14ac:dyDescent="0.2">
      <c r="A26" s="233">
        <v>14040000</v>
      </c>
      <c r="B26" s="234" t="s">
        <v>77</v>
      </c>
      <c r="C26" s="235">
        <f>SUM(D26,E26)</f>
        <v>85785920</v>
      </c>
      <c r="D26" s="235">
        <v>85785920</v>
      </c>
      <c r="E26" s="236"/>
      <c r="F26" s="36"/>
      <c r="G26" s="37"/>
    </row>
    <row r="27" spans="1:7" ht="15" x14ac:dyDescent="0.25">
      <c r="A27" s="18">
        <v>18000000</v>
      </c>
      <c r="B27" s="38" t="s">
        <v>78</v>
      </c>
      <c r="C27" s="24">
        <f t="shared" si="0"/>
        <v>554718900</v>
      </c>
      <c r="D27" s="24">
        <f>SUM(D28,D39,D42)</f>
        <v>554718900</v>
      </c>
      <c r="E27" s="20"/>
      <c r="F27" s="20"/>
      <c r="G27" s="17"/>
    </row>
    <row r="28" spans="1:7" ht="15" x14ac:dyDescent="0.25">
      <c r="A28" s="22">
        <v>18010000</v>
      </c>
      <c r="B28" s="39" t="s">
        <v>79</v>
      </c>
      <c r="C28" s="24">
        <f t="shared" si="0"/>
        <v>198070220</v>
      </c>
      <c r="D28" s="28">
        <f>SUM(D29:D38)</f>
        <v>198070220</v>
      </c>
      <c r="E28" s="25"/>
      <c r="F28" s="25"/>
      <c r="G28" s="17"/>
    </row>
    <row r="29" spans="1:7" ht="36" x14ac:dyDescent="0.25">
      <c r="A29" s="22">
        <v>18010100</v>
      </c>
      <c r="B29" s="41" t="s">
        <v>80</v>
      </c>
      <c r="C29" s="24">
        <f t="shared" si="0"/>
        <v>253400</v>
      </c>
      <c r="D29" s="36">
        <v>253400</v>
      </c>
      <c r="E29" s="25"/>
      <c r="F29" s="25"/>
      <c r="G29" s="17"/>
    </row>
    <row r="30" spans="1:7" ht="36" x14ac:dyDescent="0.25">
      <c r="A30" s="22">
        <v>18010200</v>
      </c>
      <c r="B30" s="41" t="s">
        <v>81</v>
      </c>
      <c r="C30" s="24">
        <f t="shared" si="0"/>
        <v>14364650</v>
      </c>
      <c r="D30" s="36">
        <v>14364650</v>
      </c>
      <c r="E30" s="25"/>
      <c r="F30" s="25"/>
      <c r="G30" s="17"/>
    </row>
    <row r="31" spans="1:7" ht="36" x14ac:dyDescent="0.25">
      <c r="A31" s="22">
        <v>18010300</v>
      </c>
      <c r="B31" s="41" t="s">
        <v>82</v>
      </c>
      <c r="C31" s="24">
        <f t="shared" si="0"/>
        <v>2316000</v>
      </c>
      <c r="D31" s="36">
        <v>2316000</v>
      </c>
      <c r="E31" s="25"/>
      <c r="F31" s="25"/>
      <c r="G31" s="17"/>
    </row>
    <row r="32" spans="1:7" ht="36" x14ac:dyDescent="0.25">
      <c r="A32" s="22">
        <v>18010400</v>
      </c>
      <c r="B32" s="41" t="s">
        <v>83</v>
      </c>
      <c r="C32" s="24">
        <f t="shared" si="0"/>
        <v>12860800</v>
      </c>
      <c r="D32" s="36">
        <v>12860800</v>
      </c>
      <c r="E32" s="25"/>
      <c r="F32" s="25"/>
      <c r="G32" s="17"/>
    </row>
    <row r="33" spans="1:7" ht="15" x14ac:dyDescent="0.25">
      <c r="A33" s="22">
        <v>18010500</v>
      </c>
      <c r="B33" s="42" t="s">
        <v>84</v>
      </c>
      <c r="C33" s="24">
        <f t="shared" si="0"/>
        <v>35197900</v>
      </c>
      <c r="D33" s="36">
        <v>35197900</v>
      </c>
      <c r="E33" s="25"/>
      <c r="F33" s="25"/>
      <c r="G33" s="17"/>
    </row>
    <row r="34" spans="1:7" ht="15" x14ac:dyDescent="0.25">
      <c r="A34" s="22">
        <v>18010600</v>
      </c>
      <c r="B34" s="41" t="s">
        <v>85</v>
      </c>
      <c r="C34" s="24">
        <f t="shared" si="0"/>
        <v>99604000</v>
      </c>
      <c r="D34" s="36">
        <v>99604000</v>
      </c>
      <c r="E34" s="25"/>
      <c r="F34" s="25"/>
      <c r="G34" s="17"/>
    </row>
    <row r="35" spans="1:7" ht="15" x14ac:dyDescent="0.25">
      <c r="A35" s="22">
        <v>18010700</v>
      </c>
      <c r="B35" s="41" t="s">
        <v>86</v>
      </c>
      <c r="C35" s="24">
        <f t="shared" si="0"/>
        <v>2433200</v>
      </c>
      <c r="D35" s="36">
        <v>2433200</v>
      </c>
      <c r="E35" s="25"/>
      <c r="F35" s="25"/>
      <c r="G35" s="17"/>
    </row>
    <row r="36" spans="1:7" ht="15" x14ac:dyDescent="0.25">
      <c r="A36" s="22">
        <v>18010900</v>
      </c>
      <c r="B36" s="41" t="s">
        <v>87</v>
      </c>
      <c r="C36" s="24">
        <f t="shared" si="0"/>
        <v>27696570</v>
      </c>
      <c r="D36" s="36">
        <v>27696570</v>
      </c>
      <c r="E36" s="25"/>
      <c r="F36" s="25"/>
      <c r="G36" s="17"/>
    </row>
    <row r="37" spans="1:7" ht="15" x14ac:dyDescent="0.2">
      <c r="A37" s="22">
        <v>18011000</v>
      </c>
      <c r="B37" s="41" t="s">
        <v>88</v>
      </c>
      <c r="C37" s="24">
        <f t="shared" si="0"/>
        <v>1643700</v>
      </c>
      <c r="D37" s="36">
        <v>1643700</v>
      </c>
      <c r="E37" s="25"/>
      <c r="F37" s="25"/>
      <c r="G37" s="21"/>
    </row>
    <row r="38" spans="1:7" ht="15" x14ac:dyDescent="0.25">
      <c r="A38" s="22">
        <v>18011100</v>
      </c>
      <c r="B38" s="41" t="s">
        <v>89</v>
      </c>
      <c r="C38" s="24">
        <f t="shared" si="0"/>
        <v>1700000</v>
      </c>
      <c r="D38" s="36">
        <v>1700000</v>
      </c>
      <c r="E38" s="25"/>
      <c r="F38" s="25"/>
      <c r="G38" s="17"/>
    </row>
    <row r="39" spans="1:7" ht="15" x14ac:dyDescent="0.25">
      <c r="A39" s="18">
        <v>18030000</v>
      </c>
      <c r="B39" s="43" t="s">
        <v>90</v>
      </c>
      <c r="C39" s="24">
        <f t="shared" si="0"/>
        <v>410000</v>
      </c>
      <c r="D39" s="24">
        <f>SUM(D40:D41)</f>
        <v>410000</v>
      </c>
      <c r="E39" s="20"/>
      <c r="F39" s="20"/>
      <c r="G39" s="17"/>
    </row>
    <row r="40" spans="1:7" ht="15" x14ac:dyDescent="0.25">
      <c r="A40" s="22">
        <v>18030100</v>
      </c>
      <c r="B40" s="41" t="s">
        <v>91</v>
      </c>
      <c r="C40" s="24">
        <f t="shared" si="0"/>
        <v>275000</v>
      </c>
      <c r="D40" s="36">
        <v>275000</v>
      </c>
      <c r="E40" s="25"/>
      <c r="F40" s="25"/>
      <c r="G40" s="17"/>
    </row>
    <row r="41" spans="1:7" ht="15" x14ac:dyDescent="0.25">
      <c r="A41" s="22">
        <v>18030200</v>
      </c>
      <c r="B41" s="41" t="s">
        <v>92</v>
      </c>
      <c r="C41" s="24">
        <f t="shared" si="0"/>
        <v>135000</v>
      </c>
      <c r="D41" s="36">
        <v>135000</v>
      </c>
      <c r="E41" s="25"/>
      <c r="F41" s="25"/>
      <c r="G41" s="17"/>
    </row>
    <row r="42" spans="1:7" ht="15" x14ac:dyDescent="0.25">
      <c r="A42" s="18">
        <v>18050000</v>
      </c>
      <c r="B42" s="39" t="s">
        <v>93</v>
      </c>
      <c r="C42" s="24">
        <f t="shared" si="0"/>
        <v>356238680</v>
      </c>
      <c r="D42" s="24">
        <f>SUM(D43:D45)</f>
        <v>356238680</v>
      </c>
      <c r="E42" s="25"/>
      <c r="F42" s="25"/>
      <c r="G42" s="17"/>
    </row>
    <row r="43" spans="1:7" ht="24" x14ac:dyDescent="0.25">
      <c r="A43" s="22">
        <v>18050300</v>
      </c>
      <c r="B43" s="30" t="s">
        <v>94</v>
      </c>
      <c r="C43" s="24">
        <f t="shared" si="0"/>
        <v>65570000</v>
      </c>
      <c r="D43" s="36">
        <v>65570000</v>
      </c>
      <c r="E43" s="25"/>
      <c r="F43" s="25"/>
      <c r="G43" s="17"/>
    </row>
    <row r="44" spans="1:7" ht="15" x14ac:dyDescent="0.2">
      <c r="A44" s="22">
        <v>18050400</v>
      </c>
      <c r="B44" s="41" t="s">
        <v>95</v>
      </c>
      <c r="C44" s="24">
        <f t="shared" si="0"/>
        <v>286657510</v>
      </c>
      <c r="D44" s="36">
        <v>286657510</v>
      </c>
      <c r="E44" s="25"/>
      <c r="F44" s="25"/>
      <c r="G44" s="21"/>
    </row>
    <row r="45" spans="1:7" ht="60" x14ac:dyDescent="0.2">
      <c r="A45" s="237">
        <v>18050500</v>
      </c>
      <c r="B45" s="238" t="s">
        <v>679</v>
      </c>
      <c r="C45" s="235">
        <f t="shared" si="0"/>
        <v>4011170</v>
      </c>
      <c r="D45" s="236">
        <v>4011170</v>
      </c>
      <c r="E45" s="239"/>
      <c r="F45" s="239"/>
      <c r="G45" s="240"/>
    </row>
    <row r="46" spans="1:7" ht="15" x14ac:dyDescent="0.2">
      <c r="A46" s="18">
        <v>19000000</v>
      </c>
      <c r="B46" s="39" t="s">
        <v>670</v>
      </c>
      <c r="C46" s="20">
        <f t="shared" si="0"/>
        <v>630900</v>
      </c>
      <c r="D46" s="20"/>
      <c r="E46" s="20">
        <f>SUM(E48:E50)</f>
        <v>630900</v>
      </c>
      <c r="F46" s="25"/>
      <c r="G46" s="21"/>
    </row>
    <row r="47" spans="1:7" ht="15" x14ac:dyDescent="0.25">
      <c r="A47" s="18">
        <v>1901000</v>
      </c>
      <c r="B47" s="38" t="s">
        <v>96</v>
      </c>
      <c r="C47" s="24">
        <f>SUM(D47,E47)</f>
        <v>630900</v>
      </c>
      <c r="D47" s="24">
        <f>SUM(D48:D50)</f>
        <v>0</v>
      </c>
      <c r="E47" s="20">
        <f>SUM(E48:E50)</f>
        <v>630900</v>
      </c>
      <c r="F47" s="20"/>
      <c r="G47" s="17"/>
    </row>
    <row r="48" spans="1:7" ht="48" x14ac:dyDescent="0.25">
      <c r="A48" s="22">
        <v>19010100</v>
      </c>
      <c r="B48" s="30" t="s">
        <v>671</v>
      </c>
      <c r="C48" s="24">
        <f t="shared" si="0"/>
        <v>255750</v>
      </c>
      <c r="D48" s="36"/>
      <c r="E48" s="25">
        <v>255750</v>
      </c>
      <c r="F48" s="25"/>
      <c r="G48" s="17"/>
    </row>
    <row r="49" spans="1:7" ht="24" x14ac:dyDescent="0.2">
      <c r="A49" s="22">
        <v>19010200</v>
      </c>
      <c r="B49" s="30" t="s">
        <v>97</v>
      </c>
      <c r="C49" s="24">
        <f t="shared" si="0"/>
        <v>120000</v>
      </c>
      <c r="D49" s="36"/>
      <c r="E49" s="25">
        <v>120000</v>
      </c>
      <c r="F49" s="25"/>
      <c r="G49" s="37"/>
    </row>
    <row r="50" spans="1:7" ht="36" x14ac:dyDescent="0.25">
      <c r="A50" s="22">
        <v>19010300</v>
      </c>
      <c r="B50" s="30" t="s">
        <v>98</v>
      </c>
      <c r="C50" s="24">
        <f t="shared" si="0"/>
        <v>255150</v>
      </c>
      <c r="D50" s="36"/>
      <c r="E50" s="25">
        <v>255150</v>
      </c>
      <c r="F50" s="25"/>
      <c r="G50" s="17"/>
    </row>
    <row r="51" spans="1:7" ht="15" x14ac:dyDescent="0.25">
      <c r="A51" s="18">
        <v>20000000</v>
      </c>
      <c r="B51" s="19" t="s">
        <v>99</v>
      </c>
      <c r="C51" s="20">
        <f>SUM(D51,E51)</f>
        <v>203135064</v>
      </c>
      <c r="D51" s="20">
        <f>SUM(D52,D60,D70)</f>
        <v>42281167</v>
      </c>
      <c r="E51" s="20">
        <f>SUM(E52:E70)+E75</f>
        <v>160853897</v>
      </c>
      <c r="F51" s="20">
        <f>SUM(F54,F60,F70,F67)</f>
        <v>5000012</v>
      </c>
      <c r="G51" s="17"/>
    </row>
    <row r="52" spans="1:7" ht="28.5" x14ac:dyDescent="0.25">
      <c r="A52" s="241">
        <v>21000000</v>
      </c>
      <c r="B52" s="242" t="s">
        <v>672</v>
      </c>
      <c r="C52" s="243">
        <f t="shared" si="0"/>
        <v>13289204</v>
      </c>
      <c r="D52" s="243">
        <f>SUM(D53,D56,D55)</f>
        <v>13289204</v>
      </c>
      <c r="E52" s="20"/>
      <c r="F52" s="20"/>
      <c r="G52" s="17"/>
    </row>
    <row r="53" spans="1:7" ht="48" x14ac:dyDescent="0.25">
      <c r="A53" s="241">
        <v>21010000</v>
      </c>
      <c r="B53" s="244" t="s">
        <v>673</v>
      </c>
      <c r="C53" s="243">
        <f t="shared" si="0"/>
        <v>1502000</v>
      </c>
      <c r="D53" s="236">
        <v>1502000</v>
      </c>
      <c r="E53" s="20"/>
      <c r="F53" s="20"/>
      <c r="G53" s="17"/>
    </row>
    <row r="54" spans="1:7" ht="48" x14ac:dyDescent="0.25">
      <c r="A54" s="22">
        <v>21010300</v>
      </c>
      <c r="B54" s="44" t="s">
        <v>100</v>
      </c>
      <c r="C54" s="24">
        <f t="shared" si="0"/>
        <v>1502000</v>
      </c>
      <c r="D54" s="36">
        <v>1502000</v>
      </c>
      <c r="E54" s="25"/>
      <c r="F54" s="25"/>
      <c r="G54" s="17"/>
    </row>
    <row r="55" spans="1:7" ht="15" x14ac:dyDescent="0.25">
      <c r="A55" s="22">
        <v>21050000</v>
      </c>
      <c r="B55" s="44" t="s">
        <v>101</v>
      </c>
      <c r="C55" s="24">
        <f t="shared" si="0"/>
        <v>1500000</v>
      </c>
      <c r="D55" s="236">
        <v>1500000</v>
      </c>
      <c r="E55" s="25"/>
      <c r="F55" s="25"/>
      <c r="G55" s="17"/>
    </row>
    <row r="56" spans="1:7" ht="27" x14ac:dyDescent="0.2">
      <c r="A56" s="45">
        <v>21800000</v>
      </c>
      <c r="B56" s="46" t="s">
        <v>102</v>
      </c>
      <c r="C56" s="24">
        <f>SUM(D56,E56)</f>
        <v>10287204</v>
      </c>
      <c r="D56" s="245">
        <f>SUM(D57:D59)</f>
        <v>10287204</v>
      </c>
      <c r="E56" s="28"/>
      <c r="F56" s="28"/>
      <c r="G56" s="37"/>
    </row>
    <row r="57" spans="1:7" ht="15" x14ac:dyDescent="0.25">
      <c r="A57" s="29">
        <v>21081100</v>
      </c>
      <c r="B57" s="47" t="s">
        <v>103</v>
      </c>
      <c r="C57" s="24">
        <f>SUM(D57,E57)</f>
        <v>507204</v>
      </c>
      <c r="D57" s="590">
        <v>507204</v>
      </c>
      <c r="E57" s="25"/>
      <c r="F57" s="25"/>
      <c r="G57" s="17"/>
    </row>
    <row r="58" spans="1:7" ht="36" x14ac:dyDescent="0.25">
      <c r="A58" s="22">
        <v>21081500</v>
      </c>
      <c r="B58" s="30" t="s">
        <v>104</v>
      </c>
      <c r="C58" s="24">
        <f>SUM(D58,E58)</f>
        <v>800000</v>
      </c>
      <c r="D58" s="590">
        <v>800000</v>
      </c>
      <c r="E58" s="25"/>
      <c r="F58" s="25"/>
      <c r="G58" s="17"/>
    </row>
    <row r="59" spans="1:7" ht="15" x14ac:dyDescent="0.25">
      <c r="A59" s="100">
        <v>21081700</v>
      </c>
      <c r="B59" s="119" t="s">
        <v>424</v>
      </c>
      <c r="C59" s="28">
        <f>SUM(D59,E59)</f>
        <v>8980000</v>
      </c>
      <c r="D59" s="245">
        <v>8980000</v>
      </c>
      <c r="E59" s="40"/>
      <c r="F59" s="40"/>
      <c r="G59" s="101"/>
    </row>
    <row r="60" spans="1:7" ht="27" x14ac:dyDescent="0.25">
      <c r="A60" s="18">
        <v>22000000</v>
      </c>
      <c r="B60" s="27" t="s">
        <v>105</v>
      </c>
      <c r="C60" s="24">
        <f t="shared" si="0"/>
        <v>26991975</v>
      </c>
      <c r="D60" s="236">
        <f>SUM(D61,D65,D67)</f>
        <v>26991975</v>
      </c>
      <c r="E60" s="25"/>
      <c r="F60" s="25"/>
      <c r="G60" s="17"/>
    </row>
    <row r="61" spans="1:7" ht="15" x14ac:dyDescent="0.25">
      <c r="A61" s="241">
        <v>22010000</v>
      </c>
      <c r="B61" s="246" t="s">
        <v>674</v>
      </c>
      <c r="C61" s="235">
        <f t="shared" si="0"/>
        <v>17980115</v>
      </c>
      <c r="D61" s="236">
        <f>SUM(D62:D64)</f>
        <v>17980115</v>
      </c>
      <c r="E61" s="25"/>
      <c r="F61" s="25"/>
      <c r="G61" s="17"/>
    </row>
    <row r="62" spans="1:7" ht="38.25" x14ac:dyDescent="0.25">
      <c r="A62" s="22">
        <v>22010300</v>
      </c>
      <c r="B62" s="48" t="s">
        <v>169</v>
      </c>
      <c r="C62" s="24">
        <f t="shared" si="0"/>
        <v>1000000</v>
      </c>
      <c r="D62" s="236">
        <v>1000000</v>
      </c>
      <c r="E62" s="25"/>
      <c r="F62" s="25"/>
      <c r="G62" s="17"/>
    </row>
    <row r="63" spans="1:7" ht="15" x14ac:dyDescent="0.25">
      <c r="A63" s="22">
        <v>22012500</v>
      </c>
      <c r="B63" s="30" t="s">
        <v>107</v>
      </c>
      <c r="C63" s="24">
        <f t="shared" si="0"/>
        <v>15452415</v>
      </c>
      <c r="D63" s="236">
        <v>15452415</v>
      </c>
      <c r="E63" s="25"/>
      <c r="F63" s="36"/>
      <c r="G63" s="17"/>
    </row>
    <row r="64" spans="1:7" ht="25.5" x14ac:dyDescent="0.25">
      <c r="A64" s="22">
        <v>22012600</v>
      </c>
      <c r="B64" s="48" t="s">
        <v>106</v>
      </c>
      <c r="C64" s="24">
        <f>SUM(D64,E64)</f>
        <v>1527700</v>
      </c>
      <c r="D64" s="236">
        <v>1527700</v>
      </c>
      <c r="E64" s="25"/>
      <c r="F64" s="25"/>
      <c r="G64" s="17"/>
    </row>
    <row r="65" spans="1:7" ht="38.25" x14ac:dyDescent="0.25">
      <c r="A65" s="18">
        <v>2208000</v>
      </c>
      <c r="B65" s="48" t="s">
        <v>675</v>
      </c>
      <c r="C65" s="24">
        <f t="shared" si="0"/>
        <v>8500000</v>
      </c>
      <c r="D65" s="236">
        <v>8500000</v>
      </c>
      <c r="E65" s="25"/>
      <c r="F65" s="25"/>
      <c r="G65" s="17"/>
    </row>
    <row r="66" spans="1:7" ht="36" x14ac:dyDescent="0.25">
      <c r="A66" s="29">
        <v>22080400</v>
      </c>
      <c r="B66" s="47" t="s">
        <v>108</v>
      </c>
      <c r="C66" s="24">
        <f t="shared" si="0"/>
        <v>8500000</v>
      </c>
      <c r="D66" s="36">
        <v>8500000</v>
      </c>
      <c r="E66" s="25"/>
      <c r="F66" s="25"/>
      <c r="G66" s="17"/>
    </row>
    <row r="67" spans="1:7" ht="15" x14ac:dyDescent="0.25">
      <c r="A67" s="49">
        <v>22090000</v>
      </c>
      <c r="B67" s="50" t="s">
        <v>109</v>
      </c>
      <c r="C67" s="24">
        <f t="shared" si="0"/>
        <v>511860</v>
      </c>
      <c r="D67" s="24">
        <f>SUM(D68:D69)</f>
        <v>511860</v>
      </c>
      <c r="E67" s="51"/>
      <c r="F67" s="51"/>
      <c r="G67" s="17"/>
    </row>
    <row r="68" spans="1:7" ht="36" x14ac:dyDescent="0.25">
      <c r="A68" s="29">
        <v>22090100</v>
      </c>
      <c r="B68" s="41" t="s">
        <v>110</v>
      </c>
      <c r="C68" s="24">
        <f t="shared" si="0"/>
        <v>400260</v>
      </c>
      <c r="D68" s="36">
        <v>400260</v>
      </c>
      <c r="E68" s="25"/>
      <c r="F68" s="25"/>
      <c r="G68" s="17"/>
    </row>
    <row r="69" spans="1:7" ht="36" x14ac:dyDescent="0.2">
      <c r="A69" s="29">
        <v>22090400</v>
      </c>
      <c r="B69" s="41" t="s">
        <v>111</v>
      </c>
      <c r="C69" s="24">
        <f t="shared" si="0"/>
        <v>111600</v>
      </c>
      <c r="D69" s="36">
        <v>111600</v>
      </c>
      <c r="E69" s="25"/>
      <c r="F69" s="25"/>
      <c r="G69" s="26"/>
    </row>
    <row r="70" spans="1:7" ht="15" x14ac:dyDescent="0.25">
      <c r="A70" s="18">
        <v>24000000</v>
      </c>
      <c r="B70" s="50" t="s">
        <v>112</v>
      </c>
      <c r="C70" s="20">
        <f t="shared" si="0"/>
        <v>7000000</v>
      </c>
      <c r="D70" s="32">
        <f>D71+D72+D74</f>
        <v>1999988</v>
      </c>
      <c r="E70" s="32">
        <f>E71+E74+E73</f>
        <v>5000012</v>
      </c>
      <c r="F70" s="20">
        <f>SUM(F74+E73)</f>
        <v>5000012</v>
      </c>
      <c r="G70" s="17"/>
    </row>
    <row r="71" spans="1:7" ht="15" x14ac:dyDescent="0.25">
      <c r="A71" s="29">
        <v>24060300</v>
      </c>
      <c r="B71" s="30" t="s">
        <v>113</v>
      </c>
      <c r="C71" s="24">
        <f t="shared" si="0"/>
        <v>999988</v>
      </c>
      <c r="D71" s="591">
        <v>999988</v>
      </c>
      <c r="E71" s="591"/>
      <c r="F71" s="591"/>
      <c r="G71" s="17"/>
    </row>
    <row r="72" spans="1:7" ht="60.75" x14ac:dyDescent="0.25">
      <c r="A72" s="29">
        <v>24062200</v>
      </c>
      <c r="B72" s="538" t="s">
        <v>425</v>
      </c>
      <c r="C72" s="24">
        <f t="shared" si="0"/>
        <v>1000000</v>
      </c>
      <c r="D72" s="591">
        <v>1000000</v>
      </c>
      <c r="E72" s="591"/>
      <c r="F72" s="591"/>
      <c r="G72" s="17"/>
    </row>
    <row r="73" spans="1:7" ht="24" x14ac:dyDescent="0.25">
      <c r="A73" s="29">
        <v>24110700</v>
      </c>
      <c r="B73" s="537" t="s">
        <v>839</v>
      </c>
      <c r="C73" s="24">
        <v>12</v>
      </c>
      <c r="D73" s="591"/>
      <c r="E73" s="591">
        <v>12</v>
      </c>
      <c r="F73" s="591">
        <v>12</v>
      </c>
      <c r="G73" s="17"/>
    </row>
    <row r="74" spans="1:7" ht="24" x14ac:dyDescent="0.2">
      <c r="A74" s="29">
        <v>24170000</v>
      </c>
      <c r="B74" s="34" t="s">
        <v>114</v>
      </c>
      <c r="C74" s="24">
        <f>SUM(D74,E74)</f>
        <v>5000000</v>
      </c>
      <c r="D74" s="591"/>
      <c r="E74" s="591">
        <v>5000000</v>
      </c>
      <c r="F74" s="591">
        <v>5000000</v>
      </c>
      <c r="G74" s="21"/>
    </row>
    <row r="75" spans="1:7" ht="15" x14ac:dyDescent="0.25">
      <c r="A75" s="18">
        <v>25000000</v>
      </c>
      <c r="B75" s="23" t="s">
        <v>115</v>
      </c>
      <c r="C75" s="24">
        <f>SUM(D75,E75)</f>
        <v>155853885</v>
      </c>
      <c r="D75" s="134">
        <f>SUM(D76:D80,)</f>
        <v>0</v>
      </c>
      <c r="E75" s="134">
        <f>SUM(E76)</f>
        <v>155853885</v>
      </c>
      <c r="F75" s="134"/>
      <c r="G75" s="17"/>
    </row>
    <row r="76" spans="1:7" ht="38.25" x14ac:dyDescent="0.25">
      <c r="A76" s="22">
        <v>25010000</v>
      </c>
      <c r="B76" s="52" t="s">
        <v>116</v>
      </c>
      <c r="C76" s="24">
        <f>SUM(D76,E76)</f>
        <v>155853885</v>
      </c>
      <c r="D76" s="591">
        <v>0</v>
      </c>
      <c r="E76" s="591">
        <f>SUM(E77:E80)</f>
        <v>155853885</v>
      </c>
      <c r="F76" s="591"/>
      <c r="G76" s="17"/>
    </row>
    <row r="77" spans="1:7" ht="25.5" x14ac:dyDescent="0.25">
      <c r="A77" s="22">
        <v>25010100</v>
      </c>
      <c r="B77" s="53" t="s">
        <v>117</v>
      </c>
      <c r="C77" s="24">
        <f>SUM(D77,E77)</f>
        <v>143837455</v>
      </c>
      <c r="D77" s="591"/>
      <c r="E77" s="591">
        <v>143837455</v>
      </c>
      <c r="F77" s="591"/>
      <c r="G77" s="17"/>
    </row>
    <row r="78" spans="1:7" ht="25.5" x14ac:dyDescent="0.25">
      <c r="A78" s="22">
        <v>25010200</v>
      </c>
      <c r="B78" s="53" t="s">
        <v>118</v>
      </c>
      <c r="C78" s="24">
        <f t="shared" si="0"/>
        <v>9765664</v>
      </c>
      <c r="D78" s="591"/>
      <c r="E78" s="591">
        <v>9765664</v>
      </c>
      <c r="F78" s="591"/>
      <c r="G78" s="17"/>
    </row>
    <row r="79" spans="1:7" ht="15" x14ac:dyDescent="0.25">
      <c r="A79" s="22">
        <v>25010300</v>
      </c>
      <c r="B79" s="53" t="s">
        <v>119</v>
      </c>
      <c r="C79" s="24">
        <f t="shared" si="0"/>
        <v>2197266</v>
      </c>
      <c r="D79" s="591"/>
      <c r="E79" s="591">
        <v>2197266</v>
      </c>
      <c r="F79" s="591"/>
      <c r="G79" s="17"/>
    </row>
    <row r="80" spans="1:7" ht="38.25" x14ac:dyDescent="0.25">
      <c r="A80" s="22">
        <v>25010400</v>
      </c>
      <c r="B80" s="53" t="s">
        <v>120</v>
      </c>
      <c r="C80" s="24">
        <f t="shared" si="0"/>
        <v>53500</v>
      </c>
      <c r="D80" s="591"/>
      <c r="E80" s="591">
        <v>53500</v>
      </c>
      <c r="F80" s="591"/>
      <c r="G80" s="17"/>
    </row>
    <row r="81" spans="1:7" ht="14.25" x14ac:dyDescent="0.2">
      <c r="A81" s="18">
        <v>30000000</v>
      </c>
      <c r="B81" s="19" t="s">
        <v>121</v>
      </c>
      <c r="C81" s="20">
        <f t="shared" si="0"/>
        <v>5997343</v>
      </c>
      <c r="D81" s="32">
        <f>SUM(D82)</f>
        <v>25000</v>
      </c>
      <c r="E81" s="32">
        <f>SUM(E82,E86)</f>
        <v>5972343</v>
      </c>
      <c r="F81" s="32">
        <f>SUM(F85:F86)</f>
        <v>5972343</v>
      </c>
      <c r="G81" s="26"/>
    </row>
    <row r="82" spans="1:7" ht="30" x14ac:dyDescent="0.25">
      <c r="A82" s="22">
        <v>31000000</v>
      </c>
      <c r="B82" s="54" t="s">
        <v>122</v>
      </c>
      <c r="C82" s="24">
        <f t="shared" si="0"/>
        <v>460000</v>
      </c>
      <c r="D82" s="28">
        <f>D83</f>
        <v>25000</v>
      </c>
      <c r="E82" s="28">
        <f>SUM(E85)</f>
        <v>435000</v>
      </c>
      <c r="F82" s="247">
        <v>435000</v>
      </c>
      <c r="G82" s="17"/>
    </row>
    <row r="83" spans="1:7" ht="60" x14ac:dyDescent="0.25">
      <c r="A83" s="22">
        <v>3101000</v>
      </c>
      <c r="B83" s="30" t="s">
        <v>676</v>
      </c>
      <c r="C83" s="24">
        <f t="shared" si="0"/>
        <v>25000</v>
      </c>
      <c r="D83" s="591">
        <v>25000</v>
      </c>
      <c r="E83" s="28"/>
      <c r="F83" s="28"/>
      <c r="G83" s="17"/>
    </row>
    <row r="84" spans="1:7" ht="60" x14ac:dyDescent="0.25">
      <c r="A84" s="29">
        <v>31010200</v>
      </c>
      <c r="B84" s="34" t="s">
        <v>123</v>
      </c>
      <c r="C84" s="24">
        <f>SUM(D84,E84)</f>
        <v>25000</v>
      </c>
      <c r="D84" s="591">
        <v>25000</v>
      </c>
      <c r="E84" s="591"/>
      <c r="F84" s="591"/>
      <c r="G84" s="17"/>
    </row>
    <row r="85" spans="1:7" ht="36" x14ac:dyDescent="0.25">
      <c r="A85" s="29">
        <v>31030000</v>
      </c>
      <c r="B85" s="55" t="s">
        <v>124</v>
      </c>
      <c r="C85" s="24">
        <f t="shared" si="0"/>
        <v>435000</v>
      </c>
      <c r="D85" s="36"/>
      <c r="E85" s="36">
        <v>435000</v>
      </c>
      <c r="F85" s="36">
        <v>435000</v>
      </c>
      <c r="G85" s="17"/>
    </row>
    <row r="86" spans="1:7" ht="30" x14ac:dyDescent="0.25">
      <c r="A86" s="22">
        <v>33000000</v>
      </c>
      <c r="B86" s="54" t="s">
        <v>125</v>
      </c>
      <c r="C86" s="24">
        <f t="shared" si="0"/>
        <v>5537343</v>
      </c>
      <c r="D86" s="28"/>
      <c r="E86" s="28">
        <f>SUM(E87)</f>
        <v>5537343</v>
      </c>
      <c r="F86" s="28">
        <f>SUM(F87)</f>
        <v>5537343</v>
      </c>
      <c r="G86" s="17"/>
    </row>
    <row r="87" spans="1:7" ht="15" x14ac:dyDescent="0.25">
      <c r="A87" s="22">
        <v>33010000</v>
      </c>
      <c r="B87" s="54" t="s">
        <v>126</v>
      </c>
      <c r="C87" s="24">
        <f t="shared" si="0"/>
        <v>5537343</v>
      </c>
      <c r="D87" s="36"/>
      <c r="E87" s="36">
        <f>SUM(E88,E89)</f>
        <v>5537343</v>
      </c>
      <c r="F87" s="36">
        <f>SUM(F88,F89)</f>
        <v>5537343</v>
      </c>
      <c r="G87" s="17"/>
    </row>
    <row r="88" spans="1:7" ht="48" x14ac:dyDescent="0.25">
      <c r="A88" s="22">
        <v>33010100</v>
      </c>
      <c r="B88" s="55" t="s">
        <v>387</v>
      </c>
      <c r="C88" s="24">
        <f t="shared" si="0"/>
        <v>4277846</v>
      </c>
      <c r="D88" s="36"/>
      <c r="E88" s="36">
        <v>4277846</v>
      </c>
      <c r="F88" s="36">
        <v>4277846</v>
      </c>
      <c r="G88" s="17"/>
    </row>
    <row r="89" spans="1:7" ht="48" x14ac:dyDescent="0.25">
      <c r="A89" s="22">
        <v>33010200</v>
      </c>
      <c r="B89" s="55" t="s">
        <v>127</v>
      </c>
      <c r="C89" s="24">
        <f t="shared" ref="C89" si="2">SUM(D89,E89)</f>
        <v>1259497</v>
      </c>
      <c r="D89" s="36"/>
      <c r="E89" s="36">
        <v>1259497</v>
      </c>
      <c r="F89" s="36">
        <v>1259497</v>
      </c>
      <c r="G89" s="17"/>
    </row>
    <row r="90" spans="1:7" ht="18.75" x14ac:dyDescent="0.25">
      <c r="A90" s="18">
        <v>50000000</v>
      </c>
      <c r="B90" s="57" t="s">
        <v>565</v>
      </c>
      <c r="C90" s="24">
        <f>SUM(D90,E90)</f>
        <v>4201200</v>
      </c>
      <c r="D90" s="36"/>
      <c r="E90" s="24">
        <f>SUM(E91)</f>
        <v>4201200</v>
      </c>
      <c r="F90" s="36"/>
      <c r="G90" s="17"/>
    </row>
    <row r="91" spans="1:7" ht="51" x14ac:dyDescent="0.25">
      <c r="A91" s="18">
        <v>50110000</v>
      </c>
      <c r="B91" s="56" t="s">
        <v>128</v>
      </c>
      <c r="C91" s="24">
        <f>SUM(D91,E91)</f>
        <v>4201200</v>
      </c>
      <c r="D91" s="36"/>
      <c r="E91" s="24">
        <v>4201200</v>
      </c>
      <c r="F91" s="36"/>
      <c r="G91" s="17"/>
    </row>
    <row r="92" spans="1:7" ht="31.5" x14ac:dyDescent="0.2">
      <c r="A92" s="18"/>
      <c r="B92" s="93" t="s">
        <v>566</v>
      </c>
      <c r="C92" s="156">
        <f>SUM(D92,E92)</f>
        <v>2324889482</v>
      </c>
      <c r="D92" s="157">
        <f>D11+D51+D81</f>
        <v>2153231142</v>
      </c>
      <c r="E92" s="157">
        <f>E11+E51+E81+E91</f>
        <v>171658340</v>
      </c>
      <c r="F92" s="157">
        <f>F11+F51+F75+F81</f>
        <v>10972355</v>
      </c>
      <c r="G92" s="21"/>
    </row>
    <row r="93" spans="1:7" ht="15.75" x14ac:dyDescent="0.2">
      <c r="A93" s="18">
        <v>40000000</v>
      </c>
      <c r="B93" s="93" t="s">
        <v>478</v>
      </c>
      <c r="C93" s="156">
        <f>SUM(D93,E93)</f>
        <v>652767307</v>
      </c>
      <c r="D93" s="157">
        <f>SUM(D96,D94)</f>
        <v>652767307</v>
      </c>
      <c r="E93" s="32">
        <v>0</v>
      </c>
      <c r="F93" s="32">
        <v>0</v>
      </c>
      <c r="G93" s="21"/>
    </row>
    <row r="94" spans="1:7" ht="25.5" x14ac:dyDescent="0.2">
      <c r="A94" s="16">
        <v>41040000</v>
      </c>
      <c r="B94" s="56" t="s">
        <v>389</v>
      </c>
      <c r="C94" s="156">
        <f t="shared" ref="C94:C95" si="3">SUM(D94,E94)</f>
        <v>6058967</v>
      </c>
      <c r="D94" s="157">
        <f>SUM(D95)</f>
        <v>6058967</v>
      </c>
      <c r="E94" s="32"/>
      <c r="F94" s="32"/>
      <c r="G94" s="21"/>
    </row>
    <row r="95" spans="1:7" ht="63.75" x14ac:dyDescent="0.2">
      <c r="A95" s="22">
        <v>41040200</v>
      </c>
      <c r="B95" s="175" t="s">
        <v>388</v>
      </c>
      <c r="C95" s="156">
        <f t="shared" si="3"/>
        <v>6058967</v>
      </c>
      <c r="D95" s="157">
        <v>6058967</v>
      </c>
      <c r="E95" s="32"/>
      <c r="F95" s="32"/>
      <c r="G95" s="21"/>
    </row>
    <row r="96" spans="1:7" ht="14.25" x14ac:dyDescent="0.2">
      <c r="A96" s="18">
        <v>41000000</v>
      </c>
      <c r="B96" s="38" t="s">
        <v>129</v>
      </c>
      <c r="C96" s="20">
        <f>SUM(D96,CE4980)</f>
        <v>646708340</v>
      </c>
      <c r="D96" s="32">
        <f>SUM(D97,D99)</f>
        <v>646708340</v>
      </c>
      <c r="E96" s="32">
        <v>0</v>
      </c>
      <c r="F96" s="20">
        <v>0</v>
      </c>
      <c r="G96" s="21"/>
    </row>
    <row r="97" spans="1:7" ht="25.5" x14ac:dyDescent="0.25">
      <c r="A97" s="16">
        <v>41030000</v>
      </c>
      <c r="B97" s="23" t="s">
        <v>497</v>
      </c>
      <c r="C97" s="24">
        <f>SUM(D97)</f>
        <v>623112400</v>
      </c>
      <c r="D97" s="134">
        <f>SUM(D98:D98)</f>
        <v>623112400</v>
      </c>
      <c r="E97" s="33"/>
      <c r="F97" s="33"/>
      <c r="G97" s="17"/>
    </row>
    <row r="98" spans="1:7" ht="25.5" x14ac:dyDescent="0.25">
      <c r="A98" s="22">
        <v>41033900</v>
      </c>
      <c r="B98" s="48" t="s">
        <v>130</v>
      </c>
      <c r="C98" s="20">
        <f>SUM(D98)</f>
        <v>623112400</v>
      </c>
      <c r="D98" s="25">
        <v>623112400</v>
      </c>
      <c r="E98" s="33"/>
      <c r="F98" s="33"/>
      <c r="G98" s="17"/>
    </row>
    <row r="99" spans="1:7" ht="36.75" customHeight="1" x14ac:dyDescent="0.25">
      <c r="A99" s="16">
        <v>41050000</v>
      </c>
      <c r="B99" s="23" t="s">
        <v>550</v>
      </c>
      <c r="C99" s="24">
        <f>SUM(D99,E99)</f>
        <v>23595940</v>
      </c>
      <c r="D99" s="24">
        <f>SUM(D100:D102)</f>
        <v>23595940</v>
      </c>
      <c r="E99" s="24">
        <v>0</v>
      </c>
      <c r="F99" s="24">
        <v>0</v>
      </c>
      <c r="G99" s="17"/>
    </row>
    <row r="100" spans="1:7" ht="38.25" x14ac:dyDescent="0.25">
      <c r="A100" s="22">
        <v>41051000</v>
      </c>
      <c r="B100" s="48" t="s">
        <v>551</v>
      </c>
      <c r="C100" s="592">
        <f>SUM(D100,E100)</f>
        <v>7340558</v>
      </c>
      <c r="D100" s="25">
        <v>7340558</v>
      </c>
      <c r="E100" s="33"/>
      <c r="F100" s="33"/>
      <c r="G100" s="17"/>
    </row>
    <row r="101" spans="1:7" ht="51" x14ac:dyDescent="0.25">
      <c r="A101" s="22">
        <v>41051200</v>
      </c>
      <c r="B101" s="48" t="s">
        <v>902</v>
      </c>
      <c r="C101" s="24">
        <f>SUM(D101,E101)</f>
        <v>7118182</v>
      </c>
      <c r="D101" s="25">
        <v>7118182</v>
      </c>
      <c r="E101" s="33"/>
      <c r="F101" s="33"/>
      <c r="G101" s="17"/>
    </row>
    <row r="102" spans="1:7" ht="51" x14ac:dyDescent="0.2">
      <c r="A102" s="22">
        <v>41055000</v>
      </c>
      <c r="B102" s="48" t="s">
        <v>899</v>
      </c>
      <c r="C102" s="24">
        <f>SUM(D102,E102)</f>
        <v>9137200</v>
      </c>
      <c r="D102" s="25">
        <v>9137200</v>
      </c>
      <c r="E102" s="33"/>
      <c r="F102" s="33"/>
      <c r="G102" s="21"/>
    </row>
    <row r="103" spans="1:7" ht="41.25" customHeight="1" x14ac:dyDescent="0.25">
      <c r="A103" s="58"/>
      <c r="B103" s="59" t="s">
        <v>900</v>
      </c>
      <c r="C103" s="20">
        <f t="shared" ref="C103" si="4">SUM(D103,E103)</f>
        <v>2977656789</v>
      </c>
      <c r="D103" s="32">
        <f>SUM(D92,D93)</f>
        <v>2805998449</v>
      </c>
      <c r="E103" s="32">
        <f>E92</f>
        <v>171658340</v>
      </c>
      <c r="F103" s="32">
        <f>SUM(F92,F96)</f>
        <v>10972355</v>
      </c>
      <c r="G103" s="60"/>
    </row>
    <row r="105" spans="1:7" ht="15.75" x14ac:dyDescent="0.25">
      <c r="B105" s="118"/>
      <c r="E105" s="118"/>
    </row>
    <row r="106" spans="1:7" ht="15.75" x14ac:dyDescent="0.25">
      <c r="B106" s="118" t="s">
        <v>677</v>
      </c>
      <c r="E106" s="118" t="s">
        <v>678</v>
      </c>
    </row>
    <row r="107" spans="1:7" ht="15.75" x14ac:dyDescent="0.25">
      <c r="B107" s="118"/>
      <c r="E107" s="118"/>
    </row>
    <row r="108" spans="1:7" ht="15.75" x14ac:dyDescent="0.25">
      <c r="A108" s="60"/>
      <c r="B108" s="118" t="s">
        <v>648</v>
      </c>
      <c r="C108" s="118"/>
      <c r="D108" s="118"/>
      <c r="E108" s="118" t="s">
        <v>649</v>
      </c>
      <c r="F108" s="60"/>
    </row>
  </sheetData>
  <mergeCells count="9">
    <mergeCell ref="D1:G1"/>
    <mergeCell ref="D2:G2"/>
    <mergeCell ref="D3:G3"/>
    <mergeCell ref="A4:E4"/>
    <mergeCell ref="A8:A9"/>
    <mergeCell ref="B8:B9"/>
    <mergeCell ref="C8:C9"/>
    <mergeCell ref="D8:D9"/>
    <mergeCell ref="E8:F8"/>
  </mergeCells>
  <hyperlinks>
    <hyperlink ref="B82" location="_ftn1" display="_ftn1"/>
    <hyperlink ref="B81" location="_ftn1" display="_ftn1"/>
    <hyperlink ref="B69" location="_ftn1" display="_ftn1"/>
    <hyperlink ref="B16" location="_ftn1" display="_ftn1"/>
    <hyperlink ref="B15" location="_ftn1" display="_ftn1"/>
    <hyperlink ref="B49" location="_ftn1" display="_ftn1"/>
    <hyperlink ref="B86" location="_ftn1" display="_ftn1"/>
    <hyperlink ref="B87" location="_ftn1" display="_ftn1"/>
    <hyperlink ref="B56" location="_ftn1" display="_ftn1"/>
    <hyperlink ref="B57" location="_ftn1" display="_ftn1"/>
  </hyperlinks>
  <printOptions horizontalCentered="1"/>
  <pageMargins left="0.35433070866141736" right="0.15748031496062992" top="0.59055118110236227" bottom="0.51181102362204722" header="0.51181102362204722" footer="0.51181102362204722"/>
  <pageSetup paperSize="9" scale="78" fitToHeight="0" orientation="portrait" verticalDpi="300" r:id="rId1"/>
  <headerFooter alignWithMargins="0"/>
  <rowBreaks count="2" manualBreakCount="2">
    <brk id="72" max="5" man="1"/>
    <brk id="101" max="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view="pageBreakPreview" zoomScaleSheetLayoutView="100" workbookViewId="0">
      <selection activeCell="F1" sqref="F1"/>
    </sheetView>
  </sheetViews>
  <sheetFormatPr defaultColWidth="9.140625" defaultRowHeight="12.75" x14ac:dyDescent="0.2"/>
  <cols>
    <col min="1" max="1" width="9.7109375" style="123" customWidth="1"/>
    <col min="2" max="3" width="22.140625" style="123" customWidth="1"/>
    <col min="4" max="4" width="14.140625" style="123" customWidth="1"/>
    <col min="5" max="5" width="14" style="123" customWidth="1"/>
    <col min="6" max="6" width="15.42578125" style="123" customWidth="1"/>
    <col min="7" max="7" width="15.140625" style="123" customWidth="1"/>
    <col min="8" max="8" width="16.42578125" style="123" customWidth="1"/>
    <col min="9" max="9" width="8.28515625" style="123" customWidth="1"/>
    <col min="10" max="10" width="9.140625" style="123"/>
    <col min="11" max="11" width="9.7109375" style="123" customWidth="1"/>
    <col min="12" max="12" width="9.140625" style="123"/>
    <col min="13" max="13" width="8.140625" style="123" customWidth="1"/>
    <col min="14" max="16384" width="9.140625" style="123"/>
  </cols>
  <sheetData>
    <row r="1" spans="1:17" x14ac:dyDescent="0.2">
      <c r="F1" s="737" t="s">
        <v>131</v>
      </c>
    </row>
    <row r="2" spans="1:17" x14ac:dyDescent="0.2">
      <c r="F2" s="737" t="s">
        <v>909</v>
      </c>
    </row>
    <row r="3" spans="1:17" x14ac:dyDescent="0.2">
      <c r="F3" s="737" t="s">
        <v>910</v>
      </c>
    </row>
    <row r="5" spans="1:17" ht="18.75" x14ac:dyDescent="0.2">
      <c r="A5" s="604" t="s">
        <v>771</v>
      </c>
      <c r="B5" s="604"/>
      <c r="C5" s="604"/>
      <c r="D5" s="604"/>
      <c r="E5" s="604"/>
      <c r="F5" s="604"/>
    </row>
    <row r="6" spans="1:17" ht="18.75" x14ac:dyDescent="0.2">
      <c r="A6" s="604" t="s">
        <v>772</v>
      </c>
      <c r="B6" s="604"/>
      <c r="C6" s="604"/>
      <c r="D6" s="604"/>
      <c r="E6" s="604"/>
      <c r="F6" s="604"/>
    </row>
    <row r="7" spans="1:17" ht="18.75" x14ac:dyDescent="0.2">
      <c r="A7" s="587"/>
      <c r="B7" s="587"/>
      <c r="C7" s="587"/>
      <c r="D7" s="587"/>
      <c r="E7" s="587"/>
      <c r="F7" s="587"/>
    </row>
    <row r="8" spans="1:17" x14ac:dyDescent="0.2">
      <c r="A8" s="605">
        <v>22564000000</v>
      </c>
      <c r="B8" s="606"/>
      <c r="C8" s="607"/>
      <c r="D8" s="607"/>
      <c r="E8" s="607"/>
      <c r="F8" s="607"/>
    </row>
    <row r="9" spans="1:17" ht="15" customHeight="1" x14ac:dyDescent="0.2">
      <c r="A9" s="608" t="s">
        <v>568</v>
      </c>
      <c r="B9" s="609"/>
      <c r="C9" s="607"/>
      <c r="D9" s="607"/>
      <c r="E9" s="607"/>
      <c r="F9" s="607"/>
    </row>
    <row r="10" spans="1:17" x14ac:dyDescent="0.2">
      <c r="A10" s="145"/>
      <c r="B10" s="145"/>
      <c r="F10" s="120" t="s">
        <v>454</v>
      </c>
    </row>
    <row r="11" spans="1:17" x14ac:dyDescent="0.2">
      <c r="A11" s="610" t="s">
        <v>66</v>
      </c>
      <c r="B11" s="610" t="s">
        <v>428</v>
      </c>
      <c r="C11" s="610" t="s">
        <v>433</v>
      </c>
      <c r="D11" s="611" t="s">
        <v>12</v>
      </c>
      <c r="E11" s="610" t="s">
        <v>59</v>
      </c>
      <c r="F11" s="610"/>
    </row>
    <row r="12" spans="1:17" ht="35.450000000000003" customHeight="1" x14ac:dyDescent="0.2">
      <c r="A12" s="610"/>
      <c r="B12" s="610"/>
      <c r="C12" s="610"/>
      <c r="D12" s="612"/>
      <c r="E12" s="585" t="s">
        <v>434</v>
      </c>
      <c r="F12" s="585" t="s">
        <v>435</v>
      </c>
    </row>
    <row r="13" spans="1:17" x14ac:dyDescent="0.2">
      <c r="A13" s="61">
        <v>1</v>
      </c>
      <c r="B13" s="61">
        <v>2</v>
      </c>
      <c r="C13" s="61">
        <v>3</v>
      </c>
      <c r="D13" s="61">
        <v>4</v>
      </c>
      <c r="E13" s="61">
        <v>5</v>
      </c>
      <c r="F13" s="61">
        <v>6</v>
      </c>
    </row>
    <row r="14" spans="1:17" ht="23.25" customHeight="1" x14ac:dyDescent="0.2">
      <c r="A14" s="598" t="s">
        <v>429</v>
      </c>
      <c r="B14" s="599"/>
      <c r="C14" s="61"/>
      <c r="D14" s="61"/>
      <c r="E14" s="62"/>
      <c r="F14" s="62"/>
    </row>
    <row r="15" spans="1:17" x14ac:dyDescent="0.2">
      <c r="A15" s="63" t="s">
        <v>132</v>
      </c>
      <c r="B15" s="63" t="s">
        <v>133</v>
      </c>
      <c r="C15" s="63">
        <v>0</v>
      </c>
      <c r="D15" s="63">
        <v>-170576913</v>
      </c>
      <c r="E15" s="63">
        <v>170576913</v>
      </c>
      <c r="F15" s="63">
        <v>170576913</v>
      </c>
      <c r="G15" s="124"/>
      <c r="H15" s="124"/>
      <c r="I15" s="124"/>
      <c r="J15" s="124"/>
      <c r="K15" s="124"/>
      <c r="L15" s="124"/>
      <c r="M15" s="124"/>
      <c r="N15" s="124"/>
      <c r="O15" s="124"/>
      <c r="P15" s="124"/>
      <c r="Q15" s="124"/>
    </row>
    <row r="16" spans="1:17" ht="16.5" customHeight="1" x14ac:dyDescent="0.2">
      <c r="A16" s="64" t="s">
        <v>134</v>
      </c>
      <c r="B16" s="64" t="s">
        <v>135</v>
      </c>
      <c r="C16" s="125"/>
      <c r="D16" s="125"/>
      <c r="E16" s="125"/>
      <c r="F16" s="125"/>
      <c r="G16" s="124"/>
      <c r="H16" s="124"/>
      <c r="I16" s="124"/>
      <c r="J16" s="124"/>
      <c r="K16" s="124"/>
      <c r="L16" s="124"/>
      <c r="M16" s="124"/>
      <c r="N16" s="124"/>
      <c r="O16" s="124"/>
      <c r="P16" s="124"/>
      <c r="Q16" s="124"/>
    </row>
    <row r="17" spans="1:17" ht="18.75" hidden="1" customHeight="1" x14ac:dyDescent="0.2">
      <c r="A17" s="64">
        <v>208200</v>
      </c>
      <c r="B17" s="64" t="s">
        <v>136</v>
      </c>
      <c r="C17" s="125"/>
      <c r="D17" s="125"/>
      <c r="E17" s="125"/>
      <c r="F17" s="63"/>
      <c r="G17" s="124"/>
      <c r="H17" s="124"/>
      <c r="I17" s="124"/>
      <c r="J17" s="124"/>
      <c r="K17" s="124"/>
      <c r="L17" s="124"/>
      <c r="M17" s="124"/>
      <c r="N17" s="124"/>
      <c r="O17" s="124"/>
      <c r="P17" s="124"/>
      <c r="Q17" s="124"/>
    </row>
    <row r="18" spans="1:17" ht="51" x14ac:dyDescent="0.2">
      <c r="A18" s="64">
        <v>208400</v>
      </c>
      <c r="B18" s="65" t="s">
        <v>137</v>
      </c>
      <c r="C18" s="63">
        <v>0</v>
      </c>
      <c r="D18" s="63">
        <v>-170576913</v>
      </c>
      <c r="E18" s="63">
        <v>170576913</v>
      </c>
      <c r="F18" s="63">
        <v>170576913</v>
      </c>
      <c r="G18" s="124"/>
      <c r="H18" s="124"/>
      <c r="I18" s="124"/>
      <c r="J18" s="124"/>
      <c r="K18" s="124"/>
      <c r="L18" s="124"/>
      <c r="M18" s="124"/>
      <c r="N18" s="124"/>
      <c r="O18" s="124"/>
      <c r="P18" s="124"/>
      <c r="Q18" s="124"/>
    </row>
    <row r="19" spans="1:17" x14ac:dyDescent="0.2">
      <c r="A19" s="94">
        <v>300000</v>
      </c>
      <c r="B19" s="84" t="s">
        <v>402</v>
      </c>
      <c r="C19" s="63">
        <v>13786494.58</v>
      </c>
      <c r="D19" s="63"/>
      <c r="E19" s="63">
        <f>SUM(E21,E22)</f>
        <v>13786494.58</v>
      </c>
      <c r="F19" s="63">
        <f>SUM(F21,F22)</f>
        <v>13786494.58</v>
      </c>
      <c r="G19" s="124"/>
      <c r="H19" s="124"/>
      <c r="I19" s="124"/>
      <c r="J19" s="124"/>
      <c r="K19" s="124"/>
      <c r="L19" s="124"/>
      <c r="M19" s="124"/>
      <c r="N19" s="124"/>
      <c r="O19" s="124"/>
      <c r="P19" s="124"/>
      <c r="Q19" s="124"/>
    </row>
    <row r="20" spans="1:17" ht="38.25" x14ac:dyDescent="0.2">
      <c r="A20" s="94">
        <v>301000</v>
      </c>
      <c r="B20" s="84" t="s">
        <v>403</v>
      </c>
      <c r="C20" s="63"/>
      <c r="D20" s="63"/>
      <c r="E20" s="63"/>
      <c r="F20" s="63"/>
      <c r="G20" s="124"/>
      <c r="H20" s="124"/>
      <c r="I20" s="124"/>
      <c r="J20" s="124"/>
      <c r="K20" s="124"/>
      <c r="L20" s="124"/>
      <c r="M20" s="124"/>
      <c r="N20" s="124"/>
      <c r="O20" s="124"/>
      <c r="P20" s="124"/>
      <c r="Q20" s="124"/>
    </row>
    <row r="21" spans="1:17" x14ac:dyDescent="0.2">
      <c r="A21" s="64">
        <v>301100</v>
      </c>
      <c r="B21" s="65" t="s">
        <v>404</v>
      </c>
      <c r="C21" s="63">
        <v>16535522.58</v>
      </c>
      <c r="D21" s="63"/>
      <c r="E21" s="125">
        <v>16535522.58</v>
      </c>
      <c r="F21" s="125">
        <v>16535522.58</v>
      </c>
      <c r="G21" s="124"/>
      <c r="H21" s="124"/>
      <c r="I21" s="124"/>
      <c r="J21" s="124"/>
      <c r="K21" s="124"/>
      <c r="L21" s="124"/>
      <c r="M21" s="124"/>
      <c r="N21" s="124"/>
      <c r="O21" s="124"/>
      <c r="P21" s="124"/>
      <c r="Q21" s="124"/>
    </row>
    <row r="22" spans="1:17" x14ac:dyDescent="0.2">
      <c r="A22" s="64">
        <v>301200</v>
      </c>
      <c r="B22" s="65" t="s">
        <v>405</v>
      </c>
      <c r="C22" s="63">
        <v>-2749028</v>
      </c>
      <c r="D22" s="63"/>
      <c r="E22" s="125">
        <v>-2749028</v>
      </c>
      <c r="F22" s="125">
        <v>-2749028</v>
      </c>
      <c r="G22" s="124"/>
      <c r="H22" s="124"/>
      <c r="I22" s="124"/>
      <c r="J22" s="124"/>
      <c r="K22" s="124"/>
      <c r="L22" s="124"/>
      <c r="M22" s="124"/>
      <c r="N22" s="124"/>
      <c r="O22" s="124"/>
      <c r="P22" s="124"/>
      <c r="Q22" s="124"/>
    </row>
    <row r="23" spans="1:17" ht="35.450000000000003" customHeight="1" x14ac:dyDescent="0.2">
      <c r="A23" s="598" t="s">
        <v>432</v>
      </c>
      <c r="B23" s="600"/>
      <c r="C23" s="63"/>
      <c r="D23" s="63"/>
      <c r="E23" s="63"/>
      <c r="F23" s="63"/>
      <c r="G23" s="124"/>
      <c r="H23" s="124"/>
      <c r="I23" s="124"/>
      <c r="J23" s="124"/>
      <c r="K23" s="124"/>
      <c r="L23" s="124"/>
      <c r="M23" s="124"/>
      <c r="N23" s="124"/>
      <c r="O23" s="124"/>
      <c r="P23" s="124"/>
      <c r="Q23" s="124"/>
    </row>
    <row r="24" spans="1:17" ht="25.5" x14ac:dyDescent="0.2">
      <c r="A24" s="94">
        <v>400000</v>
      </c>
      <c r="B24" s="84" t="s">
        <v>138</v>
      </c>
      <c r="C24" s="63">
        <v>13786494.58</v>
      </c>
      <c r="D24" s="63"/>
      <c r="E24" s="63">
        <v>13786494.58</v>
      </c>
      <c r="F24" s="63">
        <v>13786494.58</v>
      </c>
      <c r="G24" s="124"/>
      <c r="H24" s="124"/>
      <c r="I24" s="124"/>
      <c r="J24" s="124"/>
      <c r="K24" s="124"/>
      <c r="L24" s="124"/>
      <c r="M24" s="124"/>
      <c r="N24" s="124"/>
      <c r="O24" s="124"/>
      <c r="P24" s="124"/>
      <c r="Q24" s="124"/>
    </row>
    <row r="25" spans="1:17" x14ac:dyDescent="0.2">
      <c r="A25" s="94">
        <v>401000</v>
      </c>
      <c r="B25" s="84" t="s">
        <v>139</v>
      </c>
      <c r="C25" s="63"/>
      <c r="D25" s="63"/>
      <c r="E25" s="63"/>
      <c r="F25" s="63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</row>
    <row r="26" spans="1:17" s="2" customFormat="1" x14ac:dyDescent="0.2">
      <c r="A26" s="94">
        <v>401200</v>
      </c>
      <c r="B26" s="84" t="s">
        <v>406</v>
      </c>
      <c r="C26" s="63">
        <v>16535522.58</v>
      </c>
      <c r="D26" s="63"/>
      <c r="E26" s="63">
        <v>16535522.58</v>
      </c>
      <c r="F26" s="63">
        <v>16535522.58</v>
      </c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</row>
    <row r="27" spans="1:17" ht="25.5" x14ac:dyDescent="0.2">
      <c r="A27" s="64">
        <v>401201</v>
      </c>
      <c r="B27" s="65" t="s">
        <v>656</v>
      </c>
      <c r="C27" s="125">
        <v>16535522.58</v>
      </c>
      <c r="D27" s="63"/>
      <c r="E27" s="125">
        <v>16535522.58</v>
      </c>
      <c r="F27" s="125">
        <v>16535522.58</v>
      </c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</row>
    <row r="28" spans="1:17" s="2" customFormat="1" x14ac:dyDescent="0.2">
      <c r="A28" s="94">
        <v>402000</v>
      </c>
      <c r="B28" s="84" t="s">
        <v>408</v>
      </c>
      <c r="C28" s="63"/>
      <c r="D28" s="63"/>
      <c r="E28" s="63"/>
      <c r="F28" s="63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</row>
    <row r="29" spans="1:17" s="2" customFormat="1" x14ac:dyDescent="0.2">
      <c r="A29" s="94">
        <v>402200</v>
      </c>
      <c r="B29" s="84" t="s">
        <v>409</v>
      </c>
      <c r="C29" s="63">
        <v>-2749028</v>
      </c>
      <c r="D29" s="63"/>
      <c r="E29" s="63">
        <f>SUM(E30,E31)</f>
        <v>-2749028</v>
      </c>
      <c r="F29" s="63">
        <f>SUM(F30,F31)</f>
        <v>-2749028</v>
      </c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</row>
    <row r="30" spans="1:17" s="2" customFormat="1" ht="25.5" x14ac:dyDescent="0.2">
      <c r="A30" s="64">
        <v>402201</v>
      </c>
      <c r="B30" s="65" t="s">
        <v>656</v>
      </c>
      <c r="C30" s="63"/>
      <c r="D30" s="63"/>
      <c r="E30" s="125"/>
      <c r="F30" s="12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</row>
    <row r="31" spans="1:17" ht="25.5" customHeight="1" x14ac:dyDescent="0.2">
      <c r="A31" s="64">
        <v>402202</v>
      </c>
      <c r="B31" s="65" t="s">
        <v>407</v>
      </c>
      <c r="C31" s="125">
        <v>-2749028</v>
      </c>
      <c r="D31" s="63"/>
      <c r="E31" s="125">
        <v>-2749028</v>
      </c>
      <c r="F31" s="125">
        <v>-2749028</v>
      </c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</row>
    <row r="32" spans="1:17" x14ac:dyDescent="0.2">
      <c r="A32" s="94" t="s">
        <v>431</v>
      </c>
      <c r="B32" s="84" t="s">
        <v>430</v>
      </c>
      <c r="C32" s="63">
        <v>13786494.58</v>
      </c>
      <c r="D32" s="63">
        <v>-170576913</v>
      </c>
      <c r="E32" s="63">
        <v>184363407.58000001</v>
      </c>
      <c r="F32" s="63">
        <v>184363407.58000001</v>
      </c>
      <c r="G32" s="124"/>
      <c r="H32" s="124"/>
      <c r="I32" s="124"/>
      <c r="J32" s="124"/>
      <c r="K32" s="124"/>
      <c r="L32" s="124"/>
      <c r="M32" s="124"/>
      <c r="N32" s="124"/>
      <c r="O32" s="124"/>
      <c r="P32" s="124"/>
      <c r="Q32" s="124"/>
    </row>
    <row r="33" spans="1:17" ht="25.5" x14ac:dyDescent="0.2">
      <c r="A33" s="94" t="s">
        <v>140</v>
      </c>
      <c r="B33" s="94" t="s">
        <v>141</v>
      </c>
      <c r="C33" s="63">
        <v>0</v>
      </c>
      <c r="D33" s="63">
        <v>-170576913</v>
      </c>
      <c r="E33" s="63">
        <v>170576913</v>
      </c>
      <c r="F33" s="63">
        <v>170576913</v>
      </c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4"/>
    </row>
    <row r="34" spans="1:17" ht="36" customHeight="1" x14ac:dyDescent="0.2">
      <c r="A34" s="64">
        <v>602100</v>
      </c>
      <c r="B34" s="65" t="s">
        <v>142</v>
      </c>
      <c r="C34" s="125"/>
      <c r="D34" s="125"/>
      <c r="E34" s="125"/>
      <c r="F34" s="125"/>
      <c r="G34" s="124"/>
      <c r="H34" s="124"/>
      <c r="I34" s="124"/>
      <c r="J34" s="124"/>
      <c r="K34" s="124"/>
      <c r="L34" s="124"/>
      <c r="M34" s="124"/>
      <c r="N34" s="124"/>
      <c r="O34" s="124"/>
      <c r="P34" s="124"/>
      <c r="Q34" s="124"/>
    </row>
    <row r="35" spans="1:17" ht="39.75" hidden="1" customHeight="1" x14ac:dyDescent="0.2">
      <c r="A35" s="64">
        <v>602200</v>
      </c>
      <c r="B35" s="65" t="s">
        <v>143</v>
      </c>
      <c r="C35" s="125"/>
      <c r="D35" s="125"/>
      <c r="E35" s="125"/>
      <c r="F35" s="63"/>
      <c r="G35" s="124"/>
      <c r="H35" s="124"/>
      <c r="I35" s="124"/>
      <c r="J35" s="124"/>
      <c r="K35" s="124"/>
      <c r="L35" s="124"/>
      <c r="M35" s="124"/>
      <c r="N35" s="124"/>
      <c r="O35" s="124"/>
      <c r="P35" s="124"/>
      <c r="Q35" s="124"/>
    </row>
    <row r="36" spans="1:17" ht="52.5" customHeight="1" x14ac:dyDescent="0.2">
      <c r="A36" s="64">
        <v>602400</v>
      </c>
      <c r="B36" s="65" t="s">
        <v>137</v>
      </c>
      <c r="C36" s="63">
        <v>0</v>
      </c>
      <c r="D36" s="63">
        <v>-170576913</v>
      </c>
      <c r="E36" s="63">
        <v>170576913</v>
      </c>
      <c r="F36" s="63">
        <v>170576913</v>
      </c>
      <c r="G36" s="124"/>
      <c r="H36" s="124"/>
      <c r="I36" s="124"/>
      <c r="J36" s="124"/>
      <c r="K36" s="124"/>
      <c r="L36" s="124"/>
      <c r="M36" s="124"/>
      <c r="N36" s="124"/>
      <c r="O36" s="124"/>
      <c r="P36" s="124"/>
      <c r="Q36" s="124"/>
    </row>
    <row r="37" spans="1:17" x14ac:dyDescent="0.2">
      <c r="A37" s="94" t="s">
        <v>431</v>
      </c>
      <c r="B37" s="84" t="s">
        <v>430</v>
      </c>
      <c r="C37" s="63">
        <v>13786494.58</v>
      </c>
      <c r="D37" s="63">
        <v>-170576913</v>
      </c>
      <c r="E37" s="63">
        <v>184363407.58000001</v>
      </c>
      <c r="F37" s="63">
        <v>184363407.58000001</v>
      </c>
      <c r="G37" s="124"/>
      <c r="H37" s="124"/>
      <c r="I37" s="124"/>
      <c r="J37" s="124"/>
      <c r="K37" s="124"/>
      <c r="L37" s="124"/>
      <c r="M37" s="124"/>
      <c r="N37" s="124"/>
      <c r="O37" s="124"/>
      <c r="P37" s="124"/>
      <c r="Q37" s="124"/>
    </row>
    <row r="38" spans="1:17" x14ac:dyDescent="0.2">
      <c r="A38" s="87"/>
      <c r="B38" s="87"/>
      <c r="C38" s="87"/>
      <c r="D38" s="87"/>
      <c r="E38" s="87"/>
      <c r="F38" s="87"/>
      <c r="G38" s="87"/>
      <c r="H38" s="87"/>
      <c r="I38" s="87"/>
    </row>
    <row r="39" spans="1:17" ht="45.75" hidden="1" x14ac:dyDescent="0.65">
      <c r="A39" s="87"/>
      <c r="B39" s="601"/>
      <c r="C39" s="601"/>
      <c r="D39" s="601"/>
      <c r="E39" s="601"/>
      <c r="F39" s="601"/>
      <c r="G39" s="601"/>
      <c r="H39" s="601"/>
      <c r="I39" s="601"/>
      <c r="J39" s="601"/>
      <c r="K39" s="601"/>
      <c r="L39" s="601"/>
      <c r="M39" s="601"/>
      <c r="N39" s="601"/>
      <c r="O39" s="601"/>
    </row>
    <row r="40" spans="1:17" ht="32.25" customHeight="1" x14ac:dyDescent="0.65">
      <c r="A40" s="87"/>
      <c r="B40" s="118" t="s">
        <v>677</v>
      </c>
      <c r="C40" s="118"/>
      <c r="D40" s="586"/>
      <c r="E40" s="586"/>
      <c r="F40" s="118" t="s">
        <v>837</v>
      </c>
      <c r="G40" s="586"/>
      <c r="H40" s="586"/>
      <c r="I40" s="586"/>
      <c r="J40" s="586"/>
      <c r="K40" s="586"/>
      <c r="L40" s="586"/>
      <c r="M40" s="586"/>
      <c r="N40" s="586"/>
      <c r="O40" s="586"/>
    </row>
    <row r="41" spans="1:17" ht="15.75" hidden="1" x14ac:dyDescent="0.25">
      <c r="A41" s="87"/>
      <c r="B41" s="602" t="s">
        <v>648</v>
      </c>
      <c r="C41" s="602"/>
      <c r="D41" s="603"/>
      <c r="E41" s="87"/>
      <c r="F41" s="88" t="s">
        <v>649</v>
      </c>
      <c r="G41" s="87"/>
      <c r="H41" s="87"/>
      <c r="I41" s="87"/>
    </row>
    <row r="42" spans="1:17" x14ac:dyDescent="0.2">
      <c r="A42" s="87"/>
      <c r="B42" s="122"/>
      <c r="C42" s="122"/>
      <c r="D42" s="87"/>
      <c r="E42" s="87"/>
      <c r="F42" s="87"/>
      <c r="G42" s="87"/>
      <c r="H42" s="87"/>
      <c r="I42" s="87"/>
    </row>
    <row r="43" spans="1:17" x14ac:dyDescent="0.2">
      <c r="F43" s="87"/>
    </row>
    <row r="44" spans="1:17" ht="15.75" x14ac:dyDescent="0.25">
      <c r="B44" s="118" t="s">
        <v>648</v>
      </c>
      <c r="F44" s="118" t="s">
        <v>649</v>
      </c>
    </row>
  </sheetData>
  <mergeCells count="13">
    <mergeCell ref="A14:B14"/>
    <mergeCell ref="A23:B23"/>
    <mergeCell ref="B39:O39"/>
    <mergeCell ref="B41:D41"/>
    <mergeCell ref="A5:F5"/>
    <mergeCell ref="A6:F6"/>
    <mergeCell ref="A8:F8"/>
    <mergeCell ref="A9:F9"/>
    <mergeCell ref="A11:A12"/>
    <mergeCell ref="B11:B12"/>
    <mergeCell ref="C11:C12"/>
    <mergeCell ref="D11:D12"/>
    <mergeCell ref="E11:F11"/>
  </mergeCells>
  <pageMargins left="1.1811023622047245" right="0.44" top="0.39370078740157483" bottom="0.19685039370078741" header="0.39370078740157483" footer="0.15748031496062992"/>
  <pageSetup paperSize="9" scale="8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196"/>
  <sheetViews>
    <sheetView view="pageBreakPreview" zoomScale="25" zoomScaleNormal="25" zoomScaleSheetLayoutView="25" zoomScalePageLayoutView="10" workbookViewId="0">
      <pane ySplit="15" topLeftCell="A162" activePane="bottomLeft" state="frozen"/>
      <selection activeCell="F175" sqref="F175"/>
      <selection pane="bottomLeft" activeCell="N3" sqref="N3:Q3"/>
    </sheetView>
  </sheetViews>
  <sheetFormatPr defaultColWidth="9.140625" defaultRowHeight="12.75" x14ac:dyDescent="0.2"/>
  <cols>
    <col min="1" max="1" width="48" style="1" customWidth="1"/>
    <col min="2" max="2" width="52.5703125" style="1" customWidth="1"/>
    <col min="3" max="3" width="65.7109375" style="1" customWidth="1"/>
    <col min="4" max="4" width="106.28515625" style="1" customWidth="1"/>
    <col min="5" max="5" width="66.42578125" style="5" customWidth="1"/>
    <col min="6" max="6" width="62.5703125" style="1" customWidth="1"/>
    <col min="7" max="7" width="59.7109375" style="1" customWidth="1"/>
    <col min="8" max="8" width="48.140625" style="1" customWidth="1"/>
    <col min="9" max="9" width="41.85546875" style="1" customWidth="1"/>
    <col min="10" max="10" width="50.5703125" style="5" customWidth="1"/>
    <col min="11" max="11" width="52.5703125" style="5" customWidth="1"/>
    <col min="12" max="12" width="56.140625" style="1" customWidth="1"/>
    <col min="13" max="13" width="54.85546875" style="1" customWidth="1"/>
    <col min="14" max="14" width="45.28515625" style="1" bestFit="1" customWidth="1"/>
    <col min="15" max="15" width="56.140625" style="1" bestFit="1" customWidth="1"/>
    <col min="16" max="16" width="86.28515625" style="5" customWidth="1"/>
    <col min="17" max="17" width="52.140625" style="370" customWidth="1"/>
    <col min="18" max="18" width="66.42578125" style="370" bestFit="1" customWidth="1"/>
    <col min="19" max="19" width="9.140625" style="197"/>
    <col min="20" max="20" width="43.5703125" style="197" bestFit="1" customWidth="1"/>
    <col min="21" max="16384" width="9.140625" style="197"/>
  </cols>
  <sheetData>
    <row r="2" spans="1:18" ht="45.75" x14ac:dyDescent="0.2">
      <c r="D2" s="200"/>
      <c r="E2" s="201"/>
      <c r="F2" s="199"/>
      <c r="G2" s="201"/>
      <c r="H2" s="201"/>
      <c r="I2" s="201"/>
      <c r="J2" s="201"/>
      <c r="K2" s="201"/>
      <c r="L2" s="201"/>
      <c r="M2" s="201"/>
      <c r="N2" s="638" t="s">
        <v>571</v>
      </c>
      <c r="O2" s="595"/>
      <c r="P2" s="595"/>
      <c r="Q2" s="595"/>
    </row>
    <row r="3" spans="1:18" ht="45.75" x14ac:dyDescent="0.2">
      <c r="A3" s="200"/>
      <c r="B3" s="200"/>
      <c r="C3" s="200"/>
      <c r="D3" s="200"/>
      <c r="E3" s="201"/>
      <c r="F3" s="199"/>
      <c r="G3" s="201"/>
      <c r="H3" s="201"/>
      <c r="I3" s="201"/>
      <c r="J3" s="201"/>
      <c r="K3" s="201"/>
      <c r="L3" s="201"/>
      <c r="M3" s="201"/>
      <c r="N3" s="638" t="s">
        <v>911</v>
      </c>
      <c r="O3" s="639"/>
      <c r="P3" s="639"/>
      <c r="Q3" s="639"/>
    </row>
    <row r="4" spans="1:18" ht="40.700000000000003" customHeight="1" x14ac:dyDescent="0.2">
      <c r="A4" s="280"/>
      <c r="B4" s="280"/>
      <c r="C4" s="280"/>
      <c r="D4" s="280"/>
      <c r="E4" s="287"/>
      <c r="F4" s="279"/>
      <c r="G4" s="287"/>
      <c r="H4" s="287"/>
      <c r="I4" s="287"/>
      <c r="J4" s="287"/>
      <c r="K4" s="287"/>
      <c r="L4" s="287"/>
      <c r="M4" s="287"/>
      <c r="N4" s="287"/>
      <c r="O4" s="638"/>
      <c r="P4" s="640"/>
    </row>
    <row r="5" spans="1:18" ht="45.75" hidden="1" x14ac:dyDescent="0.2">
      <c r="A5" s="280"/>
      <c r="B5" s="280"/>
      <c r="C5" s="280"/>
      <c r="D5" s="280"/>
      <c r="E5" s="287"/>
      <c r="F5" s="279"/>
      <c r="G5" s="287"/>
      <c r="H5" s="287"/>
      <c r="I5" s="287"/>
      <c r="J5" s="287"/>
      <c r="K5" s="287"/>
      <c r="L5" s="287"/>
      <c r="M5" s="287"/>
      <c r="N5" s="287"/>
      <c r="O5" s="280"/>
      <c r="P5" s="279"/>
    </row>
    <row r="6" spans="1:18" ht="45" x14ac:dyDescent="0.2">
      <c r="A6" s="641" t="s">
        <v>762</v>
      </c>
      <c r="B6" s="641"/>
      <c r="C6" s="641"/>
      <c r="D6" s="641"/>
      <c r="E6" s="641"/>
      <c r="F6" s="641"/>
      <c r="G6" s="641"/>
      <c r="H6" s="641"/>
      <c r="I6" s="641"/>
      <c r="J6" s="641"/>
      <c r="K6" s="641"/>
      <c r="L6" s="641"/>
      <c r="M6" s="641"/>
      <c r="N6" s="641"/>
      <c r="O6" s="641"/>
      <c r="P6" s="641"/>
    </row>
    <row r="7" spans="1:18" ht="45" x14ac:dyDescent="0.2">
      <c r="A7" s="641" t="s">
        <v>760</v>
      </c>
      <c r="B7" s="641"/>
      <c r="C7" s="641"/>
      <c r="D7" s="641"/>
      <c r="E7" s="641"/>
      <c r="F7" s="641"/>
      <c r="G7" s="641"/>
      <c r="H7" s="641"/>
      <c r="I7" s="641"/>
      <c r="J7" s="641"/>
      <c r="K7" s="641"/>
      <c r="L7" s="641"/>
      <c r="M7" s="641"/>
      <c r="N7" s="641"/>
      <c r="O7" s="641"/>
      <c r="P7" s="641"/>
    </row>
    <row r="8" spans="1:18" ht="45" x14ac:dyDescent="0.2">
      <c r="A8" s="201"/>
      <c r="B8" s="201"/>
      <c r="C8" s="201"/>
      <c r="D8" s="201"/>
      <c r="E8" s="201"/>
      <c r="F8" s="201"/>
      <c r="G8" s="201"/>
      <c r="H8" s="201"/>
      <c r="I8" s="201"/>
      <c r="J8" s="201"/>
      <c r="K8" s="201"/>
      <c r="L8" s="201"/>
      <c r="M8" s="201"/>
      <c r="N8" s="201"/>
      <c r="O8" s="201"/>
      <c r="P8" s="201"/>
    </row>
    <row r="9" spans="1:18" ht="45.75" x14ac:dyDescent="0.65">
      <c r="A9" s="642">
        <v>22564000000</v>
      </c>
      <c r="B9" s="643"/>
      <c r="C9" s="201"/>
      <c r="D9" s="201"/>
      <c r="E9" s="201"/>
      <c r="F9" s="201"/>
      <c r="G9" s="201"/>
      <c r="H9" s="201"/>
      <c r="I9" s="201"/>
      <c r="J9" s="201"/>
      <c r="K9" s="201"/>
      <c r="L9" s="201"/>
      <c r="M9" s="201"/>
      <c r="N9" s="201"/>
      <c r="O9" s="201"/>
      <c r="P9" s="201"/>
    </row>
    <row r="10" spans="1:18" ht="45.75" x14ac:dyDescent="0.2">
      <c r="A10" s="633" t="s">
        <v>568</v>
      </c>
      <c r="B10" s="634"/>
      <c r="C10" s="201"/>
      <c r="D10" s="201"/>
      <c r="E10" s="201"/>
      <c r="F10" s="201"/>
      <c r="G10" s="201"/>
      <c r="H10" s="201"/>
      <c r="I10" s="201"/>
      <c r="J10" s="201"/>
      <c r="K10" s="201"/>
      <c r="L10" s="201"/>
      <c r="M10" s="201"/>
      <c r="N10" s="201"/>
      <c r="O10" s="201"/>
      <c r="P10" s="201"/>
    </row>
    <row r="11" spans="1:18" ht="53.45" customHeight="1" thickBot="1" x14ac:dyDescent="0.25">
      <c r="A11" s="201"/>
      <c r="B11" s="201"/>
      <c r="C11" s="201"/>
      <c r="D11" s="201"/>
      <c r="E11" s="201"/>
      <c r="F11" s="199"/>
      <c r="G11" s="201"/>
      <c r="H11" s="201"/>
      <c r="I11" s="201"/>
      <c r="J11" s="201"/>
      <c r="K11" s="201"/>
      <c r="L11" s="201"/>
      <c r="M11" s="201"/>
      <c r="N11" s="201"/>
      <c r="O11" s="201"/>
      <c r="P11" s="6" t="s">
        <v>454</v>
      </c>
    </row>
    <row r="12" spans="1:18" ht="62.45" customHeight="1" thickTop="1" thickBot="1" x14ac:dyDescent="0.25">
      <c r="A12" s="632" t="s">
        <v>569</v>
      </c>
      <c r="B12" s="632" t="s">
        <v>570</v>
      </c>
      <c r="C12" s="632" t="s">
        <v>440</v>
      </c>
      <c r="D12" s="632" t="s">
        <v>773</v>
      </c>
      <c r="E12" s="635" t="s">
        <v>12</v>
      </c>
      <c r="F12" s="635"/>
      <c r="G12" s="635"/>
      <c r="H12" s="635"/>
      <c r="I12" s="635"/>
      <c r="J12" s="635" t="s">
        <v>59</v>
      </c>
      <c r="K12" s="635"/>
      <c r="L12" s="635"/>
      <c r="M12" s="635"/>
      <c r="N12" s="635"/>
      <c r="O12" s="644"/>
      <c r="P12" s="635" t="s">
        <v>11</v>
      </c>
    </row>
    <row r="13" spans="1:18" ht="96" customHeight="1" thickTop="1" thickBot="1" x14ac:dyDescent="0.25">
      <c r="A13" s="635"/>
      <c r="B13" s="636"/>
      <c r="C13" s="636"/>
      <c r="D13" s="635"/>
      <c r="E13" s="632" t="s">
        <v>434</v>
      </c>
      <c r="F13" s="632" t="s">
        <v>60</v>
      </c>
      <c r="G13" s="632" t="s">
        <v>13</v>
      </c>
      <c r="H13" s="632"/>
      <c r="I13" s="632" t="s">
        <v>62</v>
      </c>
      <c r="J13" s="632" t="s">
        <v>434</v>
      </c>
      <c r="K13" s="632" t="s">
        <v>435</v>
      </c>
      <c r="L13" s="632" t="s">
        <v>60</v>
      </c>
      <c r="M13" s="632" t="s">
        <v>13</v>
      </c>
      <c r="N13" s="632"/>
      <c r="O13" s="632" t="s">
        <v>62</v>
      </c>
      <c r="P13" s="635"/>
    </row>
    <row r="14" spans="1:18" ht="328.5" customHeight="1" thickTop="1" thickBot="1" x14ac:dyDescent="0.25">
      <c r="A14" s="636"/>
      <c r="B14" s="636"/>
      <c r="C14" s="636"/>
      <c r="D14" s="636"/>
      <c r="E14" s="632"/>
      <c r="F14" s="632"/>
      <c r="G14" s="348" t="s">
        <v>61</v>
      </c>
      <c r="H14" s="348" t="s">
        <v>15</v>
      </c>
      <c r="I14" s="632"/>
      <c r="J14" s="632"/>
      <c r="K14" s="632"/>
      <c r="L14" s="632"/>
      <c r="M14" s="348" t="s">
        <v>61</v>
      </c>
      <c r="N14" s="348" t="s">
        <v>15</v>
      </c>
      <c r="O14" s="632"/>
      <c r="P14" s="635"/>
    </row>
    <row r="15" spans="1:18" s="2" customFormat="1" ht="47.25" thickTop="1" thickBot="1" x14ac:dyDescent="0.25">
      <c r="A15" s="349" t="s">
        <v>2</v>
      </c>
      <c r="B15" s="349" t="s">
        <v>3</v>
      </c>
      <c r="C15" s="349" t="s">
        <v>14</v>
      </c>
      <c r="D15" s="349" t="s">
        <v>5</v>
      </c>
      <c r="E15" s="349" t="s">
        <v>442</v>
      </c>
      <c r="F15" s="349" t="s">
        <v>443</v>
      </c>
      <c r="G15" s="349" t="s">
        <v>444</v>
      </c>
      <c r="H15" s="349" t="s">
        <v>445</v>
      </c>
      <c r="I15" s="349" t="s">
        <v>446</v>
      </c>
      <c r="J15" s="349" t="s">
        <v>447</v>
      </c>
      <c r="K15" s="349" t="s">
        <v>448</v>
      </c>
      <c r="L15" s="349" t="s">
        <v>449</v>
      </c>
      <c r="M15" s="349" t="s">
        <v>450</v>
      </c>
      <c r="N15" s="349" t="s">
        <v>451</v>
      </c>
      <c r="O15" s="349" t="s">
        <v>452</v>
      </c>
      <c r="P15" s="349" t="s">
        <v>453</v>
      </c>
      <c r="Q15" s="371"/>
      <c r="R15" s="372"/>
    </row>
    <row r="16" spans="1:18" s="2" customFormat="1" ht="136.5" thickTop="1" thickBot="1" x14ac:dyDescent="0.25">
      <c r="A16" s="435" t="s">
        <v>170</v>
      </c>
      <c r="B16" s="435"/>
      <c r="C16" s="435"/>
      <c r="D16" s="436" t="s">
        <v>172</v>
      </c>
      <c r="E16" s="437">
        <f>E17</f>
        <v>123000290</v>
      </c>
      <c r="F16" s="438">
        <f t="shared" ref="F16:N16" si="0">F17</f>
        <v>123000290</v>
      </c>
      <c r="G16" s="438">
        <f t="shared" si="0"/>
        <v>80242670</v>
      </c>
      <c r="H16" s="438">
        <f t="shared" si="0"/>
        <v>3339900</v>
      </c>
      <c r="I16" s="437">
        <f t="shared" si="0"/>
        <v>0</v>
      </c>
      <c r="J16" s="437">
        <f t="shared" si="0"/>
        <v>6562700</v>
      </c>
      <c r="K16" s="438">
        <f t="shared" si="0"/>
        <v>3063500</v>
      </c>
      <c r="L16" s="438">
        <f t="shared" si="0"/>
        <v>3450200</v>
      </c>
      <c r="M16" s="438">
        <f t="shared" si="0"/>
        <v>0</v>
      </c>
      <c r="N16" s="437">
        <f t="shared" si="0"/>
        <v>0</v>
      </c>
      <c r="O16" s="437">
        <f>O17</f>
        <v>3112500</v>
      </c>
      <c r="P16" s="438">
        <f t="shared" ref="P16" si="1">P17</f>
        <v>129562990</v>
      </c>
      <c r="Q16" s="373"/>
      <c r="R16" s="373"/>
    </row>
    <row r="17" spans="1:20" s="2" customFormat="1" ht="136.5" thickTop="1" thickBot="1" x14ac:dyDescent="0.25">
      <c r="A17" s="439" t="s">
        <v>171</v>
      </c>
      <c r="B17" s="439"/>
      <c r="C17" s="439"/>
      <c r="D17" s="440" t="s">
        <v>173</v>
      </c>
      <c r="E17" s="441">
        <f>SUM(E18:E28)</f>
        <v>123000290</v>
      </c>
      <c r="F17" s="441">
        <f>SUM(F18:F28)</f>
        <v>123000290</v>
      </c>
      <c r="G17" s="441">
        <f>SUM(G18:G28)</f>
        <v>80242670</v>
      </c>
      <c r="H17" s="441">
        <f>SUM(H18:H28)</f>
        <v>3339900</v>
      </c>
      <c r="I17" s="441">
        <f>SUM(I18:I28)</f>
        <v>0</v>
      </c>
      <c r="J17" s="441">
        <f t="shared" ref="J17:J23" si="2">L17+O17</f>
        <v>6562700</v>
      </c>
      <c r="K17" s="441">
        <f>SUM(K18:K28)</f>
        <v>3063500</v>
      </c>
      <c r="L17" s="441">
        <f>SUM(L18:L28)</f>
        <v>3450200</v>
      </c>
      <c r="M17" s="441">
        <f>SUM(M18:M28)</f>
        <v>0</v>
      </c>
      <c r="N17" s="441">
        <f>SUM(N18:N28)</f>
        <v>0</v>
      </c>
      <c r="O17" s="441">
        <f>SUM(O18:O28)</f>
        <v>3112500</v>
      </c>
      <c r="P17" s="442">
        <f>E17+J17</f>
        <v>129562990</v>
      </c>
      <c r="Q17" s="188" t="b">
        <f>P18+P20+P21+P22+P26+P27+P23+P25+P28+P19=P17</f>
        <v>1</v>
      </c>
      <c r="R17" s="188" t="b">
        <f>K17='d6'!J13</f>
        <v>1</v>
      </c>
    </row>
    <row r="18" spans="1:20" ht="321.75" thickTop="1" thickBot="1" x14ac:dyDescent="0.25">
      <c r="A18" s="297" t="s">
        <v>262</v>
      </c>
      <c r="B18" s="521" t="s">
        <v>263</v>
      </c>
      <c r="C18" s="297" t="s">
        <v>264</v>
      </c>
      <c r="D18" s="297" t="s">
        <v>261</v>
      </c>
      <c r="E18" s="298">
        <f t="shared" ref="E18:E27" si="3">F18</f>
        <v>104073540</v>
      </c>
      <c r="F18" s="292">
        <f>(77782670+17112190+1242480+3766300+30000+1650000+50000+1400000+159900+80000+800000)</f>
        <v>104073540</v>
      </c>
      <c r="G18" s="292">
        <f>(77782670)</f>
        <v>77782670</v>
      </c>
      <c r="H18" s="292">
        <f>(1650000+50000+1400000+159900+80000)</f>
        <v>3339900</v>
      </c>
      <c r="I18" s="268"/>
      <c r="J18" s="298">
        <f t="shared" si="2"/>
        <v>1563500</v>
      </c>
      <c r="K18" s="292">
        <f>(977200+330000+15000+241300)</f>
        <v>1563500</v>
      </c>
      <c r="L18" s="294"/>
      <c r="M18" s="369"/>
      <c r="N18" s="369"/>
      <c r="O18" s="300">
        <f>K18</f>
        <v>1563500</v>
      </c>
      <c r="P18" s="298">
        <f>+J18+E18</f>
        <v>105637040</v>
      </c>
      <c r="Q18" s="375"/>
      <c r="R18" s="388" t="b">
        <f>K18='d6'!J14</f>
        <v>1</v>
      </c>
    </row>
    <row r="19" spans="1:20" s="461" customFormat="1" ht="230.25" thickTop="1" thickBot="1" x14ac:dyDescent="0.25">
      <c r="A19" s="534" t="s">
        <v>807</v>
      </c>
      <c r="B19" s="534" t="s">
        <v>266</v>
      </c>
      <c r="C19" s="534" t="s">
        <v>264</v>
      </c>
      <c r="D19" s="534" t="s">
        <v>265</v>
      </c>
      <c r="E19" s="535">
        <f t="shared" ref="E19" si="4">F19</f>
        <v>4305000</v>
      </c>
      <c r="F19" s="292">
        <v>4305000</v>
      </c>
      <c r="G19" s="292">
        <v>2460000</v>
      </c>
      <c r="H19" s="292"/>
      <c r="I19" s="268"/>
      <c r="J19" s="535">
        <f t="shared" ref="J19" si="5">L19+O19</f>
        <v>0</v>
      </c>
      <c r="K19" s="292"/>
      <c r="L19" s="294"/>
      <c r="M19" s="369"/>
      <c r="N19" s="369"/>
      <c r="O19" s="533">
        <f>K19</f>
        <v>0</v>
      </c>
      <c r="P19" s="535">
        <f>+J19+E19</f>
        <v>4305000</v>
      </c>
      <c r="Q19" s="375"/>
      <c r="R19" s="388"/>
    </row>
    <row r="20" spans="1:20" ht="93" thickTop="1" thickBot="1" x14ac:dyDescent="0.25">
      <c r="A20" s="297" t="s">
        <v>277</v>
      </c>
      <c r="B20" s="521" t="s">
        <v>47</v>
      </c>
      <c r="C20" s="297" t="s">
        <v>46</v>
      </c>
      <c r="D20" s="297" t="s">
        <v>278</v>
      </c>
      <c r="E20" s="298">
        <f t="shared" si="3"/>
        <v>3159750</v>
      </c>
      <c r="F20" s="299">
        <v>3159750</v>
      </c>
      <c r="G20" s="299"/>
      <c r="H20" s="299"/>
      <c r="I20" s="299"/>
      <c r="J20" s="298">
        <f t="shared" si="2"/>
        <v>0</v>
      </c>
      <c r="K20" s="299"/>
      <c r="L20" s="299"/>
      <c r="M20" s="299"/>
      <c r="N20" s="299"/>
      <c r="O20" s="300">
        <f>K20</f>
        <v>0</v>
      </c>
      <c r="P20" s="298">
        <f>E20+J20</f>
        <v>3159750</v>
      </c>
      <c r="Q20" s="375"/>
      <c r="R20" s="374"/>
    </row>
    <row r="21" spans="1:20" ht="93" thickTop="1" thickBot="1" x14ac:dyDescent="0.25">
      <c r="A21" s="297" t="s">
        <v>268</v>
      </c>
      <c r="B21" s="521" t="s">
        <v>269</v>
      </c>
      <c r="C21" s="297" t="s">
        <v>270</v>
      </c>
      <c r="D21" s="297" t="s">
        <v>267</v>
      </c>
      <c r="E21" s="298">
        <f t="shared" si="3"/>
        <v>4392400</v>
      </c>
      <c r="F21" s="299">
        <v>4392400</v>
      </c>
      <c r="G21" s="299"/>
      <c r="H21" s="299"/>
      <c r="I21" s="299"/>
      <c r="J21" s="298">
        <f t="shared" si="2"/>
        <v>1500000</v>
      </c>
      <c r="K21" s="299">
        <v>1500000</v>
      </c>
      <c r="L21" s="299"/>
      <c r="M21" s="299"/>
      <c r="N21" s="299"/>
      <c r="O21" s="300">
        <f>K21</f>
        <v>1500000</v>
      </c>
      <c r="P21" s="298">
        <f>+J21+E21</f>
        <v>5892400</v>
      </c>
      <c r="Q21" s="375"/>
      <c r="R21" s="388" t="b">
        <f>K21='d6'!J15</f>
        <v>1</v>
      </c>
    </row>
    <row r="22" spans="1:20" ht="138.75" thickTop="1" thickBot="1" x14ac:dyDescent="0.25">
      <c r="A22" s="297" t="s">
        <v>330</v>
      </c>
      <c r="B22" s="521" t="s">
        <v>331</v>
      </c>
      <c r="C22" s="297" t="s">
        <v>192</v>
      </c>
      <c r="D22" s="297" t="s">
        <v>502</v>
      </c>
      <c r="E22" s="298">
        <f t="shared" si="3"/>
        <v>290200</v>
      </c>
      <c r="F22" s="299">
        <v>290200</v>
      </c>
      <c r="G22" s="299"/>
      <c r="H22" s="299"/>
      <c r="I22" s="299"/>
      <c r="J22" s="298">
        <f t="shared" si="2"/>
        <v>0</v>
      </c>
      <c r="K22" s="299"/>
      <c r="L22" s="299"/>
      <c r="M22" s="299"/>
      <c r="N22" s="299"/>
      <c r="O22" s="300">
        <f>K22</f>
        <v>0</v>
      </c>
      <c r="P22" s="298">
        <f>+J22+E22</f>
        <v>290200</v>
      </c>
      <c r="Q22" s="375"/>
      <c r="R22" s="374"/>
    </row>
    <row r="23" spans="1:20" s="86" customFormat="1" ht="361.5" customHeight="1" thickTop="1" thickBot="1" x14ac:dyDescent="0.7">
      <c r="A23" s="625" t="s">
        <v>382</v>
      </c>
      <c r="B23" s="625" t="s">
        <v>381</v>
      </c>
      <c r="C23" s="625" t="s">
        <v>192</v>
      </c>
      <c r="D23" s="432" t="s">
        <v>500</v>
      </c>
      <c r="E23" s="626">
        <f t="shared" si="3"/>
        <v>0</v>
      </c>
      <c r="F23" s="629"/>
      <c r="G23" s="627"/>
      <c r="H23" s="627"/>
      <c r="I23" s="627"/>
      <c r="J23" s="626">
        <f t="shared" si="2"/>
        <v>3499200</v>
      </c>
      <c r="K23" s="627"/>
      <c r="L23" s="627">
        <f>1308600+69000+601000+1471600</f>
        <v>3450200</v>
      </c>
      <c r="M23" s="627"/>
      <c r="N23" s="627"/>
      <c r="O23" s="619">
        <v>49000</v>
      </c>
      <c r="P23" s="620">
        <f>E23+J23</f>
        <v>3499200</v>
      </c>
      <c r="Q23" s="376"/>
      <c r="R23" s="377"/>
    </row>
    <row r="24" spans="1:20" s="86" customFormat="1" ht="184.5" thickTop="1" thickBot="1" x14ac:dyDescent="0.25">
      <c r="A24" s="628"/>
      <c r="B24" s="637"/>
      <c r="C24" s="628"/>
      <c r="D24" s="434" t="s">
        <v>501</v>
      </c>
      <c r="E24" s="628"/>
      <c r="F24" s="630"/>
      <c r="G24" s="631"/>
      <c r="H24" s="631"/>
      <c r="I24" s="631"/>
      <c r="J24" s="628"/>
      <c r="K24" s="628"/>
      <c r="L24" s="631"/>
      <c r="M24" s="631"/>
      <c r="N24" s="631"/>
      <c r="O24" s="647"/>
      <c r="P24" s="648"/>
      <c r="Q24" s="377"/>
      <c r="R24" s="377"/>
    </row>
    <row r="25" spans="1:20" s="86" customFormat="1" ht="93" hidden="1" thickTop="1" thickBot="1" x14ac:dyDescent="0.25">
      <c r="A25" s="253" t="s">
        <v>594</v>
      </c>
      <c r="B25" s="253" t="s">
        <v>287</v>
      </c>
      <c r="C25" s="253" t="s">
        <v>192</v>
      </c>
      <c r="D25" s="253" t="s">
        <v>285</v>
      </c>
      <c r="E25" s="267">
        <f>F25</f>
        <v>0</v>
      </c>
      <c r="F25" s="269"/>
      <c r="G25" s="270"/>
      <c r="H25" s="270"/>
      <c r="I25" s="270"/>
      <c r="J25" s="271">
        <f>L25+O25</f>
        <v>0</v>
      </c>
      <c r="K25" s="272"/>
      <c r="L25" s="273"/>
      <c r="M25" s="273"/>
      <c r="N25" s="273"/>
      <c r="O25" s="274"/>
      <c r="P25" s="271">
        <f>E25+J25</f>
        <v>0</v>
      </c>
      <c r="Q25" s="377"/>
      <c r="R25" s="377"/>
    </row>
    <row r="26" spans="1:20" ht="93" thickTop="1" thickBot="1" x14ac:dyDescent="0.25">
      <c r="A26" s="297" t="s">
        <v>271</v>
      </c>
      <c r="B26" s="521" t="s">
        <v>272</v>
      </c>
      <c r="C26" s="297" t="s">
        <v>273</v>
      </c>
      <c r="D26" s="297" t="s">
        <v>274</v>
      </c>
      <c r="E26" s="298">
        <f>F26</f>
        <v>6359300</v>
      </c>
      <c r="F26" s="299">
        <v>6359300</v>
      </c>
      <c r="G26" s="299"/>
      <c r="H26" s="299"/>
      <c r="I26" s="299"/>
      <c r="J26" s="298">
        <f>L26+O26</f>
        <v>0</v>
      </c>
      <c r="K26" s="299"/>
      <c r="L26" s="299"/>
      <c r="M26" s="299"/>
      <c r="N26" s="299"/>
      <c r="O26" s="300">
        <f>K26</f>
        <v>0</v>
      </c>
      <c r="P26" s="298">
        <f>E26+J26</f>
        <v>6359300</v>
      </c>
    </row>
    <row r="27" spans="1:20" ht="276" thickTop="1" thickBot="1" x14ac:dyDescent="0.25">
      <c r="A27" s="297" t="s">
        <v>275</v>
      </c>
      <c r="B27" s="521" t="s">
        <v>276</v>
      </c>
      <c r="C27" s="297" t="s">
        <v>47</v>
      </c>
      <c r="D27" s="297" t="s">
        <v>503</v>
      </c>
      <c r="E27" s="298">
        <f t="shared" si="3"/>
        <v>300000</v>
      </c>
      <c r="F27" s="299">
        <v>300000</v>
      </c>
      <c r="G27" s="299"/>
      <c r="H27" s="299"/>
      <c r="I27" s="299"/>
      <c r="J27" s="298">
        <f>L27+O27</f>
        <v>0</v>
      </c>
      <c r="K27" s="299"/>
      <c r="L27" s="299"/>
      <c r="M27" s="299"/>
      <c r="N27" s="299"/>
      <c r="O27" s="300">
        <f>K27</f>
        <v>0</v>
      </c>
      <c r="P27" s="298">
        <f>E27+J27</f>
        <v>300000</v>
      </c>
    </row>
    <row r="28" spans="1:20" s="367" customFormat="1" ht="93" thickTop="1" thickBot="1" x14ac:dyDescent="0.25">
      <c r="A28" s="297" t="s">
        <v>782</v>
      </c>
      <c r="B28" s="521" t="s">
        <v>411</v>
      </c>
      <c r="C28" s="297" t="s">
        <v>47</v>
      </c>
      <c r="D28" s="297" t="s">
        <v>412</v>
      </c>
      <c r="E28" s="298">
        <f t="shared" ref="E28" si="6">F28</f>
        <v>120100</v>
      </c>
      <c r="F28" s="299">
        <v>120100</v>
      </c>
      <c r="G28" s="299"/>
      <c r="H28" s="299"/>
      <c r="I28" s="299"/>
      <c r="J28" s="298">
        <f>L28+O28</f>
        <v>0</v>
      </c>
      <c r="K28" s="299"/>
      <c r="L28" s="299"/>
      <c r="M28" s="299"/>
      <c r="N28" s="299"/>
      <c r="O28" s="300">
        <f>K28</f>
        <v>0</v>
      </c>
      <c r="P28" s="298">
        <f>E28+J28</f>
        <v>120100</v>
      </c>
      <c r="Q28" s="402"/>
      <c r="R28" s="402"/>
    </row>
    <row r="29" spans="1:20" ht="136.5" thickTop="1" thickBot="1" x14ac:dyDescent="0.25">
      <c r="A29" s="435" t="s">
        <v>174</v>
      </c>
      <c r="B29" s="435"/>
      <c r="C29" s="435"/>
      <c r="D29" s="436" t="s">
        <v>0</v>
      </c>
      <c r="E29" s="437">
        <f>E30</f>
        <v>1576353602</v>
      </c>
      <c r="F29" s="438">
        <f t="shared" ref="F29" si="7">F30</f>
        <v>1576353602</v>
      </c>
      <c r="G29" s="438">
        <f>G30</f>
        <v>1114143912</v>
      </c>
      <c r="H29" s="438">
        <f>H30</f>
        <v>87477970</v>
      </c>
      <c r="I29" s="437">
        <f t="shared" ref="I29" si="8">I30</f>
        <v>0</v>
      </c>
      <c r="J29" s="437">
        <f>J30</f>
        <v>165443939</v>
      </c>
      <c r="K29" s="438">
        <f>K30</f>
        <v>21641699</v>
      </c>
      <c r="L29" s="438">
        <f>L30</f>
        <v>142013420</v>
      </c>
      <c r="M29" s="438">
        <f t="shared" ref="M29" si="9">M30</f>
        <v>41217060</v>
      </c>
      <c r="N29" s="437">
        <f>N30</f>
        <v>8654190</v>
      </c>
      <c r="O29" s="437">
        <f>O30</f>
        <v>23430519</v>
      </c>
      <c r="P29" s="438">
        <f t="shared" ref="P29" si="10">P30</f>
        <v>1741797541</v>
      </c>
    </row>
    <row r="30" spans="1:20" ht="136.5" thickTop="1" thickBot="1" x14ac:dyDescent="0.25">
      <c r="A30" s="439" t="s">
        <v>175</v>
      </c>
      <c r="B30" s="439"/>
      <c r="C30" s="439"/>
      <c r="D30" s="440" t="s">
        <v>1</v>
      </c>
      <c r="E30" s="441">
        <f>SUM(E31:E39)</f>
        <v>1576353602</v>
      </c>
      <c r="F30" s="441">
        <f>SUM(F31:F39)</f>
        <v>1576353602</v>
      </c>
      <c r="G30" s="441">
        <f>SUM(G31:G39)</f>
        <v>1114143912</v>
      </c>
      <c r="H30" s="441">
        <f>SUM(H31:H39)</f>
        <v>87477970</v>
      </c>
      <c r="I30" s="441">
        <f>SUM(I31:I39)</f>
        <v>0</v>
      </c>
      <c r="J30" s="441">
        <f>L30+O30</f>
        <v>165443939</v>
      </c>
      <c r="K30" s="441">
        <f>SUM(K31:K39)</f>
        <v>21641699</v>
      </c>
      <c r="L30" s="441">
        <f>SUM(L31:L39)</f>
        <v>142013420</v>
      </c>
      <c r="M30" s="441">
        <f>SUM(M31:M39)</f>
        <v>41217060</v>
      </c>
      <c r="N30" s="441">
        <f>SUM(N31:N39)</f>
        <v>8654190</v>
      </c>
      <c r="O30" s="441">
        <f>SUM(O31:O39)</f>
        <v>23430519</v>
      </c>
      <c r="P30" s="442">
        <f t="shared" ref="P30:P38" si="11">E30+J30</f>
        <v>1741797541</v>
      </c>
      <c r="Q30" s="188" t="b">
        <f>P30=P31+P32+P33+P34+P35+P36+P37+P39+P38</f>
        <v>1</v>
      </c>
      <c r="R30" s="188" t="b">
        <f>K30='d6'!J16</f>
        <v>1</v>
      </c>
    </row>
    <row r="31" spans="1:20" ht="99" customHeight="1" thickTop="1" thickBot="1" x14ac:dyDescent="0.6">
      <c r="A31" s="431" t="s">
        <v>226</v>
      </c>
      <c r="B31" s="521" t="s">
        <v>227</v>
      </c>
      <c r="C31" s="431" t="s">
        <v>229</v>
      </c>
      <c r="D31" s="431" t="s">
        <v>230</v>
      </c>
      <c r="E31" s="433">
        <f>F31</f>
        <v>446591494</v>
      </c>
      <c r="F31" s="299">
        <f>(372491460+6155150+631440+29930200+2557000+20309300+734740+914480+6850060+1542435+90625+530000+37683.94+102316.06+90274+29393+150000+101020+33980+1000000+1855198+408145+46594)</f>
        <v>446591494</v>
      </c>
      <c r="G31" s="299">
        <f>(305204300+1855198)</f>
        <v>307059498</v>
      </c>
      <c r="H31" s="299">
        <f>(20309300+734740+914480+6850060+1542435)</f>
        <v>30351015</v>
      </c>
      <c r="I31" s="299"/>
      <c r="J31" s="459">
        <f t="shared" ref="J31:J38" si="12">L31+O31</f>
        <v>67806025</v>
      </c>
      <c r="K31" s="299">
        <f>(800000+3100000+160000+440000+130000+30333+15000+300000+1172122)</f>
        <v>6147455</v>
      </c>
      <c r="L31" s="299">
        <f>(12568180+2758370+5329340+76070+37006700+2376280+17030+812980+26200+2000+18400)</f>
        <v>60991550</v>
      </c>
      <c r="M31" s="299">
        <v>12568180</v>
      </c>
      <c r="N31" s="299">
        <f>(222380+222120+356490+1320+10670)</f>
        <v>812980</v>
      </c>
      <c r="O31" s="457">
        <f>K31+667020</f>
        <v>6814475</v>
      </c>
      <c r="P31" s="459">
        <f t="shared" si="11"/>
        <v>514397519</v>
      </c>
      <c r="Q31" s="378"/>
      <c r="R31" s="188" t="b">
        <f>K31='d6'!J18+'d6'!J19+'d6'!J20+'d6'!J21+'d6'!J22+'d6'!J23+'d6'!J24</f>
        <v>1</v>
      </c>
    </row>
    <row r="32" spans="1:20" ht="230.25" thickTop="1" thickBot="1" x14ac:dyDescent="0.6">
      <c r="A32" s="431" t="s">
        <v>231</v>
      </c>
      <c r="B32" s="521" t="s">
        <v>228</v>
      </c>
      <c r="C32" s="431" t="s">
        <v>232</v>
      </c>
      <c r="D32" s="431" t="s">
        <v>576</v>
      </c>
      <c r="E32" s="433">
        <f t="shared" ref="E32:E36" si="13">F32</f>
        <v>920255189</v>
      </c>
      <c r="F32" s="299">
        <f>(812132115+12929400+39784200+2780300+28409070+505115+696000+1555400+9873130+1177895+75715+10814+222780+2286000+595000+45200+12350+49000+49900+200000+1000000+3453758+1937278+426198+48571)</f>
        <v>920255189</v>
      </c>
      <c r="G32" s="299">
        <f>(665932900+1937278)</f>
        <v>667870178</v>
      </c>
      <c r="H32" s="299">
        <f>(28409070+505115+696000+1555400+9873130+1177895)</f>
        <v>42216610</v>
      </c>
      <c r="I32" s="299"/>
      <c r="J32" s="459">
        <f t="shared" si="12"/>
        <v>69529544</v>
      </c>
      <c r="K32" s="299">
        <f>(548818+750000+750000+1000000+200000+750000+400000+2000000+3000000+1970000+500000+500000+50000+50000+300000+92450+1224076)</f>
        <v>14085344</v>
      </c>
      <c r="L32" s="299">
        <f>(20260670+4446400+3714280+69930+22978640+1904840+107920+944650+28110+4600+143360)</f>
        <v>54603400</v>
      </c>
      <c r="M32" s="299">
        <f>(20260670)</f>
        <v>20260670</v>
      </c>
      <c r="N32" s="299">
        <f>(315710+155250+435040+38650)</f>
        <v>944650</v>
      </c>
      <c r="O32" s="457">
        <f>K32+840800</f>
        <v>14926144</v>
      </c>
      <c r="P32" s="459">
        <f t="shared" si="11"/>
        <v>989784733</v>
      </c>
      <c r="Q32" s="378"/>
      <c r="R32" s="188" t="b">
        <f>K32='d6'!J25+'d6'!J26+'d6'!J27+'d6'!J28+'d6'!J29+'d6'!J30+'d6'!J31+'d6'!J32+'d6'!J33+'d6'!J35+'d6'!J36+'d6'!J37</f>
        <v>1</v>
      </c>
      <c r="T32" s="460"/>
    </row>
    <row r="33" spans="1:18" ht="276" thickTop="1" thickBot="1" x14ac:dyDescent="0.25">
      <c r="A33" s="431" t="s">
        <v>578</v>
      </c>
      <c r="B33" s="521" t="s">
        <v>233</v>
      </c>
      <c r="C33" s="431" t="s">
        <v>235</v>
      </c>
      <c r="D33" s="431" t="s">
        <v>577</v>
      </c>
      <c r="E33" s="433">
        <f t="shared" si="13"/>
        <v>23870990</v>
      </c>
      <c r="F33" s="299">
        <f>(21949560+161000+699800+108000+779700+14900+108615+22080+2935+5400+14000+5000)</f>
        <v>23870990</v>
      </c>
      <c r="G33" s="299">
        <v>18140130</v>
      </c>
      <c r="H33" s="299">
        <f>(779700+14900+108615+22080)</f>
        <v>925295</v>
      </c>
      <c r="I33" s="269"/>
      <c r="J33" s="459">
        <f t="shared" si="12"/>
        <v>699755</v>
      </c>
      <c r="K33" s="299">
        <f>(300000+100000+120000+38430+59425+30000)</f>
        <v>647855</v>
      </c>
      <c r="L33" s="299">
        <f>(10100+6900+2500+30600+1800)</f>
        <v>51900</v>
      </c>
      <c r="M33" s="299"/>
      <c r="N33" s="299">
        <f>(18600+800+10600+600)</f>
        <v>30600</v>
      </c>
      <c r="O33" s="457">
        <f>K33</f>
        <v>647855</v>
      </c>
      <c r="P33" s="459">
        <f t="shared" si="11"/>
        <v>24570745</v>
      </c>
      <c r="R33" s="188" t="b">
        <f>K33='d6'!J38+'d6'!J39</f>
        <v>1</v>
      </c>
    </row>
    <row r="34" spans="1:18" ht="184.5" thickTop="1" thickBot="1" x14ac:dyDescent="0.25">
      <c r="A34" s="431" t="s">
        <v>236</v>
      </c>
      <c r="B34" s="521" t="s">
        <v>219</v>
      </c>
      <c r="C34" s="431" t="s">
        <v>208</v>
      </c>
      <c r="D34" s="431" t="s">
        <v>579</v>
      </c>
      <c r="E34" s="433">
        <f t="shared" si="13"/>
        <v>30368708</v>
      </c>
      <c r="F34" s="299">
        <f>(27590745+205730+10500+221500+130820+1620460+33365+388480+37100+8875+121133)</f>
        <v>30368708</v>
      </c>
      <c r="G34" s="299">
        <v>22671115</v>
      </c>
      <c r="H34" s="299">
        <f>(1620460+33365+388480+37100)</f>
        <v>2079405</v>
      </c>
      <c r="I34" s="269"/>
      <c r="J34" s="459">
        <f t="shared" si="12"/>
        <v>6360595</v>
      </c>
      <c r="K34" s="299">
        <f>(761045)</f>
        <v>761045</v>
      </c>
      <c r="L34" s="299">
        <f>(1398310+307720+983700+48960+1732500+659140+33260+245150+4900+64910)</f>
        <v>5478550</v>
      </c>
      <c r="M34" s="299">
        <v>1398310</v>
      </c>
      <c r="N34" s="299">
        <f>(14930+1030+228040+1150)</f>
        <v>245150</v>
      </c>
      <c r="O34" s="457">
        <f>K34+121000</f>
        <v>882045</v>
      </c>
      <c r="P34" s="459">
        <f t="shared" si="11"/>
        <v>36729303</v>
      </c>
      <c r="R34" s="188" t="b">
        <f>K34='d6'!J40</f>
        <v>1</v>
      </c>
    </row>
    <row r="35" spans="1:18" ht="184.5" thickTop="1" thickBot="1" x14ac:dyDescent="0.25">
      <c r="A35" s="431" t="s">
        <v>237</v>
      </c>
      <c r="B35" s="521" t="s">
        <v>238</v>
      </c>
      <c r="C35" s="431" t="s">
        <v>239</v>
      </c>
      <c r="D35" s="431" t="s">
        <v>581</v>
      </c>
      <c r="E35" s="433">
        <f t="shared" si="13"/>
        <v>116920686</v>
      </c>
      <c r="F35" s="299">
        <f>(86711951+137100+16410+3237900+208200+6850730+76600+19000+3448900+561100+10000+14965770+677025)</f>
        <v>116920686</v>
      </c>
      <c r="G35" s="299">
        <v>71786791</v>
      </c>
      <c r="H35" s="299">
        <f>(6850730+76600+19000+3448900+561100)</f>
        <v>10956330</v>
      </c>
      <c r="I35" s="269"/>
      <c r="J35" s="459">
        <f>L35+O35</f>
        <v>20633420</v>
      </c>
      <c r="K35" s="299"/>
      <c r="L35" s="299">
        <f>(6797480+1421290+1203730+12000+1235200+849000+70500+6568900+81500+2101880+60940+71000)</f>
        <v>20473420</v>
      </c>
      <c r="M35" s="299">
        <v>6797480</v>
      </c>
      <c r="N35" s="299">
        <f>(3761200+749500+1883100+35000+140100)</f>
        <v>6568900</v>
      </c>
      <c r="O35" s="457">
        <f>K35+160000</f>
        <v>160000</v>
      </c>
      <c r="P35" s="459">
        <f t="shared" si="11"/>
        <v>137554106</v>
      </c>
      <c r="R35" s="374"/>
    </row>
    <row r="36" spans="1:18" s="86" customFormat="1" ht="93" thickTop="1" thickBot="1" x14ac:dyDescent="0.25">
      <c r="A36" s="431" t="s">
        <v>358</v>
      </c>
      <c r="B36" s="521" t="s">
        <v>359</v>
      </c>
      <c r="C36" s="431" t="s">
        <v>240</v>
      </c>
      <c r="D36" s="431" t="s">
        <v>582</v>
      </c>
      <c r="E36" s="433">
        <f t="shared" si="13"/>
        <v>30540050</v>
      </c>
      <c r="F36" s="299">
        <f>(27876650+503000+1370+1193900+45500+638560+11800+2700+192610+15890+5070+2700+300+50000)</f>
        <v>30540050</v>
      </c>
      <c r="G36" s="299">
        <v>22849710</v>
      </c>
      <c r="H36" s="299">
        <f>(638560+11800+2700+192610+15890)</f>
        <v>861560</v>
      </c>
      <c r="I36" s="299"/>
      <c r="J36" s="459">
        <f t="shared" si="12"/>
        <v>414600</v>
      </c>
      <c r="K36" s="299"/>
      <c r="L36" s="299">
        <f>(192420+42340+66010+2500+46010+1210+51910+3000+9200)</f>
        <v>414600</v>
      </c>
      <c r="M36" s="299">
        <v>192420</v>
      </c>
      <c r="N36" s="299">
        <f>(45600+2540+3440+330)</f>
        <v>51910</v>
      </c>
      <c r="O36" s="457">
        <f t="shared" ref="O36:O38" si="14">K36</f>
        <v>0</v>
      </c>
      <c r="P36" s="459">
        <f t="shared" si="11"/>
        <v>30954650</v>
      </c>
      <c r="Q36" s="377"/>
      <c r="R36" s="374"/>
    </row>
    <row r="37" spans="1:18" s="86" customFormat="1" ht="93" thickTop="1" thickBot="1" x14ac:dyDescent="0.25">
      <c r="A37" s="431" t="s">
        <v>379</v>
      </c>
      <c r="B37" s="521" t="s">
        <v>380</v>
      </c>
      <c r="C37" s="431" t="s">
        <v>240</v>
      </c>
      <c r="D37" s="431" t="s">
        <v>378</v>
      </c>
      <c r="E37" s="433">
        <f>F37</f>
        <v>200000</v>
      </c>
      <c r="F37" s="299">
        <v>200000</v>
      </c>
      <c r="G37" s="299"/>
      <c r="H37" s="299"/>
      <c r="I37" s="299"/>
      <c r="J37" s="459">
        <f t="shared" si="12"/>
        <v>0</v>
      </c>
      <c r="K37" s="299"/>
      <c r="L37" s="299"/>
      <c r="M37" s="299"/>
      <c r="N37" s="299"/>
      <c r="O37" s="457">
        <f t="shared" si="14"/>
        <v>0</v>
      </c>
      <c r="P37" s="459">
        <f t="shared" si="11"/>
        <v>200000</v>
      </c>
      <c r="Q37" s="377"/>
      <c r="R37" s="379"/>
    </row>
    <row r="38" spans="1:18" s="86" customFormat="1" ht="93" thickTop="1" thickBot="1" x14ac:dyDescent="0.25">
      <c r="A38" s="431" t="s">
        <v>482</v>
      </c>
      <c r="B38" s="521" t="s">
        <v>483</v>
      </c>
      <c r="C38" s="431" t="s">
        <v>240</v>
      </c>
      <c r="D38" s="431" t="s">
        <v>484</v>
      </c>
      <c r="E38" s="433">
        <f>F38</f>
        <v>4918485</v>
      </c>
      <c r="F38" s="299">
        <f>(708190+179200+39200+15020+76200+1430+6000+4125+2320+3886800)</f>
        <v>4918485</v>
      </c>
      <c r="G38" s="299">
        <f>(580490+3186000)</f>
        <v>3766490</v>
      </c>
      <c r="H38" s="299">
        <f>(76200+1430+6000+4125)</f>
        <v>87755</v>
      </c>
      <c r="I38" s="269"/>
      <c r="J38" s="459">
        <f t="shared" si="12"/>
        <v>0</v>
      </c>
      <c r="K38" s="299"/>
      <c r="L38" s="299"/>
      <c r="M38" s="299"/>
      <c r="N38" s="299"/>
      <c r="O38" s="457">
        <f t="shared" si="14"/>
        <v>0</v>
      </c>
      <c r="P38" s="459">
        <f t="shared" si="11"/>
        <v>4918485</v>
      </c>
      <c r="Q38" s="377"/>
      <c r="R38" s="379"/>
    </row>
    <row r="39" spans="1:18" s="86" customFormat="1" ht="367.5" thickTop="1" thickBot="1" x14ac:dyDescent="0.25">
      <c r="A39" s="431" t="s">
        <v>486</v>
      </c>
      <c r="B39" s="521" t="s">
        <v>487</v>
      </c>
      <c r="C39" s="431" t="s">
        <v>212</v>
      </c>
      <c r="D39" s="431" t="s">
        <v>485</v>
      </c>
      <c r="E39" s="433">
        <f>F39</f>
        <v>2688000</v>
      </c>
      <c r="F39" s="299">
        <v>2688000</v>
      </c>
      <c r="G39" s="269"/>
      <c r="H39" s="299"/>
      <c r="I39" s="269"/>
      <c r="J39" s="459">
        <f>L39+O39</f>
        <v>0</v>
      </c>
      <c r="K39" s="299"/>
      <c r="L39" s="299"/>
      <c r="M39" s="299"/>
      <c r="N39" s="299"/>
      <c r="O39" s="457">
        <f>K39</f>
        <v>0</v>
      </c>
      <c r="P39" s="459">
        <f>E39+J39</f>
        <v>2688000</v>
      </c>
      <c r="Q39" s="377"/>
      <c r="R39" s="379"/>
    </row>
    <row r="40" spans="1:18" ht="136.5" thickTop="1" thickBot="1" x14ac:dyDescent="0.25">
      <c r="A40" s="435" t="s">
        <v>176</v>
      </c>
      <c r="B40" s="435"/>
      <c r="C40" s="435"/>
      <c r="D40" s="436" t="s">
        <v>20</v>
      </c>
      <c r="E40" s="437">
        <f>E41</f>
        <v>68341775</v>
      </c>
      <c r="F40" s="438">
        <f t="shared" ref="F40:G40" si="15">F41</f>
        <v>68341775</v>
      </c>
      <c r="G40" s="438">
        <f t="shared" si="15"/>
        <v>4186600</v>
      </c>
      <c r="H40" s="438">
        <f>H41</f>
        <v>201540</v>
      </c>
      <c r="I40" s="437">
        <f t="shared" ref="I40" si="16">I41</f>
        <v>0</v>
      </c>
      <c r="J40" s="437">
        <f>J41</f>
        <v>7446775</v>
      </c>
      <c r="K40" s="438">
        <f>K41</f>
        <v>7424775</v>
      </c>
      <c r="L40" s="438">
        <f>L41</f>
        <v>22000</v>
      </c>
      <c r="M40" s="438">
        <f t="shared" ref="M40" si="17">M41</f>
        <v>0</v>
      </c>
      <c r="N40" s="437">
        <f>N41</f>
        <v>0</v>
      </c>
      <c r="O40" s="437">
        <f>O41</f>
        <v>7424775</v>
      </c>
      <c r="P40" s="438">
        <f>P41</f>
        <v>75788550</v>
      </c>
    </row>
    <row r="41" spans="1:18" ht="136.5" thickTop="1" thickBot="1" x14ac:dyDescent="0.25">
      <c r="A41" s="439" t="s">
        <v>177</v>
      </c>
      <c r="B41" s="439"/>
      <c r="C41" s="439"/>
      <c r="D41" s="440" t="s">
        <v>40</v>
      </c>
      <c r="E41" s="441">
        <f>SUM(E42:E53)</f>
        <v>68341775</v>
      </c>
      <c r="F41" s="441">
        <f t="shared" ref="F41:H41" si="18">SUM(F42:F53)</f>
        <v>68341775</v>
      </c>
      <c r="G41" s="441">
        <f t="shared" si="18"/>
        <v>4186600</v>
      </c>
      <c r="H41" s="441">
        <f t="shared" si="18"/>
        <v>201540</v>
      </c>
      <c r="I41" s="441">
        <f>SUM(I42:I53)</f>
        <v>0</v>
      </c>
      <c r="J41" s="441">
        <f>L41+O41</f>
        <v>7446775</v>
      </c>
      <c r="K41" s="441">
        <f>SUM(K42:K53)</f>
        <v>7424775</v>
      </c>
      <c r="L41" s="441">
        <f>SUM(L42:L53)</f>
        <v>22000</v>
      </c>
      <c r="M41" s="441">
        <f>SUM(M42:M53)</f>
        <v>0</v>
      </c>
      <c r="N41" s="441">
        <f>SUM(N42:N53)</f>
        <v>0</v>
      </c>
      <c r="O41" s="441">
        <f>SUM(O42:O53)</f>
        <v>7424775</v>
      </c>
      <c r="P41" s="442">
        <f t="shared" ref="P41:P53" si="19">E41+J41</f>
        <v>75788550</v>
      </c>
      <c r="Q41" s="188" t="b">
        <f>P41=P43+P45+P46+P47+P48+P50+P51+P42+P52+P49+P44+P53</f>
        <v>1</v>
      </c>
      <c r="R41" s="188" t="b">
        <f>K41='d6'!J41</f>
        <v>1</v>
      </c>
    </row>
    <row r="42" spans="1:18" ht="230.25" thickTop="1" thickBot="1" x14ac:dyDescent="0.25">
      <c r="A42" s="458" t="s">
        <v>467</v>
      </c>
      <c r="B42" s="521" t="s">
        <v>266</v>
      </c>
      <c r="C42" s="458" t="s">
        <v>264</v>
      </c>
      <c r="D42" s="458" t="s">
        <v>265</v>
      </c>
      <c r="E42" s="459">
        <f>F42</f>
        <v>2447825</v>
      </c>
      <c r="F42" s="299">
        <f>(1821600+400750+56870+45495+11375+110635+1100)</f>
        <v>2447825</v>
      </c>
      <c r="G42" s="299">
        <f>(1821600)</f>
        <v>1821600</v>
      </c>
      <c r="H42" s="299">
        <f>(1900+27000+81735)</f>
        <v>110635</v>
      </c>
      <c r="I42" s="299"/>
      <c r="J42" s="459">
        <f t="shared" ref="J42:J53" si="20">L42+O42</f>
        <v>0</v>
      </c>
      <c r="K42" s="459"/>
      <c r="L42" s="459"/>
      <c r="M42" s="459"/>
      <c r="N42" s="459"/>
      <c r="O42" s="457">
        <f>K42</f>
        <v>0</v>
      </c>
      <c r="P42" s="459">
        <f t="shared" si="19"/>
        <v>2447825</v>
      </c>
      <c r="Q42" s="379"/>
      <c r="R42" s="379"/>
    </row>
    <row r="43" spans="1:18" ht="93" thickTop="1" thickBot="1" x14ac:dyDescent="0.25">
      <c r="A43" s="458" t="s">
        <v>244</v>
      </c>
      <c r="B43" s="521" t="s">
        <v>241</v>
      </c>
      <c r="C43" s="458" t="s">
        <v>245</v>
      </c>
      <c r="D43" s="458" t="s">
        <v>21</v>
      </c>
      <c r="E43" s="459">
        <f>F43</f>
        <v>14463455</v>
      </c>
      <c r="F43" s="299">
        <f>(14263455+200000)</f>
        <v>14463455</v>
      </c>
      <c r="G43" s="299"/>
      <c r="H43" s="299"/>
      <c r="I43" s="299"/>
      <c r="J43" s="459">
        <f t="shared" si="20"/>
        <v>0</v>
      </c>
      <c r="K43" s="299"/>
      <c r="L43" s="299"/>
      <c r="M43" s="299"/>
      <c r="N43" s="299"/>
      <c r="O43" s="457">
        <f>K43</f>
        <v>0</v>
      </c>
      <c r="P43" s="459">
        <f t="shared" si="19"/>
        <v>14463455</v>
      </c>
      <c r="R43" s="374"/>
    </row>
    <row r="44" spans="1:18" ht="93" thickTop="1" thickBot="1" x14ac:dyDescent="0.25">
      <c r="A44" s="458" t="s">
        <v>586</v>
      </c>
      <c r="B44" s="521" t="s">
        <v>589</v>
      </c>
      <c r="C44" s="458" t="s">
        <v>588</v>
      </c>
      <c r="D44" s="458" t="s">
        <v>587</v>
      </c>
      <c r="E44" s="459">
        <f>F44</f>
        <v>6377220</v>
      </c>
      <c r="F44" s="299">
        <f>(6277220+100000)</f>
        <v>6377220</v>
      </c>
      <c r="G44" s="299"/>
      <c r="H44" s="299"/>
      <c r="I44" s="299"/>
      <c r="J44" s="459">
        <f t="shared" si="20"/>
        <v>0</v>
      </c>
      <c r="K44" s="299"/>
      <c r="L44" s="299"/>
      <c r="M44" s="299"/>
      <c r="N44" s="299"/>
      <c r="O44" s="457"/>
      <c r="P44" s="459">
        <f t="shared" si="19"/>
        <v>6377220</v>
      </c>
      <c r="R44" s="379"/>
    </row>
    <row r="45" spans="1:18" ht="138.75" thickTop="1" thickBot="1" x14ac:dyDescent="0.25">
      <c r="A45" s="458" t="s">
        <v>246</v>
      </c>
      <c r="B45" s="521" t="s">
        <v>247</v>
      </c>
      <c r="C45" s="458" t="s">
        <v>248</v>
      </c>
      <c r="D45" s="458" t="s">
        <v>249</v>
      </c>
      <c r="E45" s="459">
        <f t="shared" ref="E45:E53" si="21">F45</f>
        <v>4420000</v>
      </c>
      <c r="F45" s="299">
        <f>(4320000+100000)</f>
        <v>4420000</v>
      </c>
      <c r="G45" s="299"/>
      <c r="H45" s="299"/>
      <c r="I45" s="299"/>
      <c r="J45" s="459">
        <f t="shared" si="20"/>
        <v>0</v>
      </c>
      <c r="K45" s="299"/>
      <c r="L45" s="299"/>
      <c r="M45" s="299"/>
      <c r="N45" s="299"/>
      <c r="O45" s="457">
        <f>K45</f>
        <v>0</v>
      </c>
      <c r="P45" s="459">
        <f t="shared" si="19"/>
        <v>4420000</v>
      </c>
      <c r="R45" s="379"/>
    </row>
    <row r="46" spans="1:18" ht="138.75" thickTop="1" thickBot="1" x14ac:dyDescent="0.25">
      <c r="A46" s="458" t="s">
        <v>250</v>
      </c>
      <c r="B46" s="521" t="s">
        <v>251</v>
      </c>
      <c r="C46" s="458" t="s">
        <v>252</v>
      </c>
      <c r="D46" s="458" t="s">
        <v>390</v>
      </c>
      <c r="E46" s="459">
        <f t="shared" si="21"/>
        <v>7580650</v>
      </c>
      <c r="F46" s="299">
        <f>(7180650+300000+100000)</f>
        <v>7580650</v>
      </c>
      <c r="G46" s="299"/>
      <c r="H46" s="299"/>
      <c r="I46" s="299"/>
      <c r="J46" s="459">
        <f t="shared" si="20"/>
        <v>0</v>
      </c>
      <c r="K46" s="299"/>
      <c r="L46" s="299"/>
      <c r="M46" s="299"/>
      <c r="N46" s="299"/>
      <c r="O46" s="457">
        <f>K46</f>
        <v>0</v>
      </c>
      <c r="P46" s="459">
        <f t="shared" si="19"/>
        <v>7580650</v>
      </c>
      <c r="R46" s="379"/>
    </row>
    <row r="47" spans="1:18" ht="93" thickTop="1" thickBot="1" x14ac:dyDescent="0.25">
      <c r="A47" s="458" t="s">
        <v>253</v>
      </c>
      <c r="B47" s="521" t="s">
        <v>254</v>
      </c>
      <c r="C47" s="458" t="s">
        <v>255</v>
      </c>
      <c r="D47" s="458" t="s">
        <v>256</v>
      </c>
      <c r="E47" s="459">
        <f t="shared" si="21"/>
        <v>6881935</v>
      </c>
      <c r="F47" s="299">
        <v>6881935</v>
      </c>
      <c r="G47" s="299"/>
      <c r="H47" s="299"/>
      <c r="I47" s="299"/>
      <c r="J47" s="459">
        <f t="shared" si="20"/>
        <v>0</v>
      </c>
      <c r="K47" s="299"/>
      <c r="L47" s="299"/>
      <c r="M47" s="299"/>
      <c r="N47" s="299"/>
      <c r="O47" s="457">
        <f>K47</f>
        <v>0</v>
      </c>
      <c r="P47" s="459">
        <f t="shared" si="19"/>
        <v>6881935</v>
      </c>
      <c r="R47" s="379"/>
    </row>
    <row r="48" spans="1:18" ht="184.5" thickTop="1" thickBot="1" x14ac:dyDescent="0.25">
      <c r="A48" s="458" t="s">
        <v>257</v>
      </c>
      <c r="B48" s="521" t="s">
        <v>258</v>
      </c>
      <c r="C48" s="458" t="s">
        <v>391</v>
      </c>
      <c r="D48" s="458" t="s">
        <v>259</v>
      </c>
      <c r="E48" s="459">
        <f t="shared" si="21"/>
        <v>10788065</v>
      </c>
      <c r="F48" s="299">
        <v>10788065</v>
      </c>
      <c r="G48" s="299"/>
      <c r="H48" s="299"/>
      <c r="I48" s="299"/>
      <c r="J48" s="459">
        <f t="shared" si="20"/>
        <v>0</v>
      </c>
      <c r="K48" s="299"/>
      <c r="L48" s="299"/>
      <c r="M48" s="299"/>
      <c r="N48" s="299"/>
      <c r="O48" s="457">
        <f t="shared" ref="O48:O53" si="22">K48</f>
        <v>0</v>
      </c>
      <c r="P48" s="459">
        <f t="shared" si="19"/>
        <v>10788065</v>
      </c>
      <c r="R48" s="379"/>
    </row>
    <row r="49" spans="1:20" ht="138.75" thickTop="1" thickBot="1" x14ac:dyDescent="0.25">
      <c r="A49" s="571" t="s">
        <v>552</v>
      </c>
      <c r="B49" s="571" t="s">
        <v>553</v>
      </c>
      <c r="C49" s="571" t="s">
        <v>260</v>
      </c>
      <c r="D49" s="571" t="s">
        <v>554</v>
      </c>
      <c r="E49" s="572">
        <f t="shared" si="21"/>
        <v>9137200</v>
      </c>
      <c r="F49" s="299">
        <v>9137200</v>
      </c>
      <c r="G49" s="299"/>
      <c r="H49" s="299"/>
      <c r="I49" s="299"/>
      <c r="J49" s="572">
        <f t="shared" si="20"/>
        <v>0</v>
      </c>
      <c r="K49" s="299"/>
      <c r="L49" s="299"/>
      <c r="M49" s="299"/>
      <c r="N49" s="299"/>
      <c r="O49" s="570">
        <f t="shared" si="22"/>
        <v>0</v>
      </c>
      <c r="P49" s="572">
        <f t="shared" si="19"/>
        <v>9137200</v>
      </c>
      <c r="R49" s="379"/>
    </row>
    <row r="50" spans="1:20" s="86" customFormat="1" ht="138.75" thickTop="1" thickBot="1" x14ac:dyDescent="0.25">
      <c r="A50" s="458" t="s">
        <v>362</v>
      </c>
      <c r="B50" s="521" t="s">
        <v>364</v>
      </c>
      <c r="C50" s="458" t="s">
        <v>260</v>
      </c>
      <c r="D50" s="345" t="s">
        <v>360</v>
      </c>
      <c r="E50" s="459">
        <f t="shared" si="21"/>
        <v>3229425</v>
      </c>
      <c r="F50" s="299">
        <f>(2365000+520300+93000+157000+3220+90905)</f>
        <v>3229425</v>
      </c>
      <c r="G50" s="299">
        <f>(2365000)</f>
        <v>2365000</v>
      </c>
      <c r="H50" s="299">
        <f>(1900+22650+55260+11095)</f>
        <v>90905</v>
      </c>
      <c r="I50" s="299"/>
      <c r="J50" s="459">
        <f t="shared" si="20"/>
        <v>22000</v>
      </c>
      <c r="K50" s="299"/>
      <c r="L50" s="299">
        <v>22000</v>
      </c>
      <c r="M50" s="299"/>
      <c r="N50" s="299"/>
      <c r="O50" s="457">
        <f t="shared" si="22"/>
        <v>0</v>
      </c>
      <c r="P50" s="459">
        <f t="shared" si="19"/>
        <v>3251425</v>
      </c>
      <c r="Q50" s="377"/>
      <c r="R50" s="379"/>
    </row>
    <row r="51" spans="1:20" s="86" customFormat="1" ht="93" thickTop="1" thickBot="1" x14ac:dyDescent="0.25">
      <c r="A51" s="458" t="s">
        <v>363</v>
      </c>
      <c r="B51" s="521" t="s">
        <v>365</v>
      </c>
      <c r="C51" s="458" t="s">
        <v>260</v>
      </c>
      <c r="D51" s="345" t="s">
        <v>361</v>
      </c>
      <c r="E51" s="459">
        <f t="shared" si="21"/>
        <v>3016000</v>
      </c>
      <c r="F51" s="299">
        <f>(3016000)</f>
        <v>3016000</v>
      </c>
      <c r="G51" s="299"/>
      <c r="H51" s="299"/>
      <c r="I51" s="299"/>
      <c r="J51" s="459">
        <f t="shared" si="20"/>
        <v>0</v>
      </c>
      <c r="K51" s="299"/>
      <c r="L51" s="299"/>
      <c r="M51" s="299"/>
      <c r="N51" s="299"/>
      <c r="O51" s="457">
        <f t="shared" si="22"/>
        <v>0</v>
      </c>
      <c r="P51" s="459">
        <f t="shared" si="19"/>
        <v>3016000</v>
      </c>
      <c r="Q51" s="377"/>
      <c r="R51" s="379"/>
    </row>
    <row r="52" spans="1:20" s="86" customFormat="1" ht="93" thickTop="1" thickBot="1" x14ac:dyDescent="0.25">
      <c r="A52" s="458" t="s">
        <v>493</v>
      </c>
      <c r="B52" s="521" t="s">
        <v>225</v>
      </c>
      <c r="C52" s="458" t="s">
        <v>192</v>
      </c>
      <c r="D52" s="458" t="s">
        <v>38</v>
      </c>
      <c r="E52" s="459">
        <f t="shared" si="21"/>
        <v>0</v>
      </c>
      <c r="F52" s="299"/>
      <c r="G52" s="299"/>
      <c r="H52" s="299"/>
      <c r="I52" s="299"/>
      <c r="J52" s="459">
        <f t="shared" si="20"/>
        <v>7424775</v>
      </c>
      <c r="K52" s="299">
        <f>(5413599+372664+500000+500000+201012+437500)</f>
        <v>7424775</v>
      </c>
      <c r="L52" s="299"/>
      <c r="M52" s="299"/>
      <c r="N52" s="299"/>
      <c r="O52" s="457">
        <f t="shared" si="22"/>
        <v>7424775</v>
      </c>
      <c r="P52" s="459">
        <f t="shared" si="19"/>
        <v>7424775</v>
      </c>
      <c r="Q52" s="377"/>
      <c r="R52" s="188" t="b">
        <f>K52='d6'!J54+'d6'!J53+'d6'!J52+'d6'!J51+'d6'!J50+'d6'!J49+'d6'!J48+'d6'!J47+'d6'!J46+'d6'!J45+'d6'!J44+'d6'!J43</f>
        <v>1</v>
      </c>
    </row>
    <row r="53" spans="1:20" s="86" customFormat="1" ht="93" hidden="1" thickTop="1" thickBot="1" x14ac:dyDescent="0.25">
      <c r="A53" s="275" t="s">
        <v>590</v>
      </c>
      <c r="B53" s="275" t="s">
        <v>411</v>
      </c>
      <c r="C53" s="275" t="s">
        <v>47</v>
      </c>
      <c r="D53" s="275" t="s">
        <v>412</v>
      </c>
      <c r="E53" s="271">
        <f t="shared" si="21"/>
        <v>0</v>
      </c>
      <c r="F53" s="276"/>
      <c r="G53" s="276"/>
      <c r="H53" s="276"/>
      <c r="I53" s="276"/>
      <c r="J53" s="271">
        <f t="shared" si="20"/>
        <v>0</v>
      </c>
      <c r="K53" s="276"/>
      <c r="L53" s="276"/>
      <c r="M53" s="276"/>
      <c r="N53" s="276"/>
      <c r="O53" s="277">
        <f t="shared" si="22"/>
        <v>0</v>
      </c>
      <c r="P53" s="271">
        <f t="shared" si="19"/>
        <v>0</v>
      </c>
      <c r="Q53" s="377"/>
      <c r="R53" s="374"/>
    </row>
    <row r="54" spans="1:20" ht="226.5" thickTop="1" thickBot="1" x14ac:dyDescent="0.25">
      <c r="A54" s="435" t="s">
        <v>178</v>
      </c>
      <c r="B54" s="435"/>
      <c r="C54" s="435"/>
      <c r="D54" s="436" t="s">
        <v>41</v>
      </c>
      <c r="E54" s="437">
        <f>E55</f>
        <v>215025113</v>
      </c>
      <c r="F54" s="438">
        <f t="shared" ref="F54:G54" si="23">F55</f>
        <v>215025113</v>
      </c>
      <c r="G54" s="438">
        <f t="shared" si="23"/>
        <v>68381820</v>
      </c>
      <c r="H54" s="438">
        <f>H55</f>
        <v>2063407</v>
      </c>
      <c r="I54" s="437">
        <f t="shared" ref="I54" si="24">I55</f>
        <v>0</v>
      </c>
      <c r="J54" s="437">
        <f>J55</f>
        <v>6265340</v>
      </c>
      <c r="K54" s="438">
        <f>K55</f>
        <v>5648340</v>
      </c>
      <c r="L54" s="438">
        <f>L55</f>
        <v>617000</v>
      </c>
      <c r="M54" s="438">
        <f t="shared" ref="M54" si="25">M55</f>
        <v>104000</v>
      </c>
      <c r="N54" s="437">
        <f>N55</f>
        <v>137000</v>
      </c>
      <c r="O54" s="437">
        <f>O55</f>
        <v>5648340</v>
      </c>
      <c r="P54" s="438">
        <f>P55</f>
        <v>221290453</v>
      </c>
    </row>
    <row r="55" spans="1:20" ht="226.5" thickTop="1" thickBot="1" x14ac:dyDescent="0.25">
      <c r="A55" s="439" t="s">
        <v>179</v>
      </c>
      <c r="B55" s="439"/>
      <c r="C55" s="439"/>
      <c r="D55" s="440" t="s">
        <v>42</v>
      </c>
      <c r="E55" s="441">
        <f>SUM(E56:E75)</f>
        <v>215025113</v>
      </c>
      <c r="F55" s="441">
        <f>SUM(F56:F75)</f>
        <v>215025113</v>
      </c>
      <c r="G55" s="441">
        <f>SUM(G56:G75)</f>
        <v>68381820</v>
      </c>
      <c r="H55" s="441">
        <f>SUM(H56:H75)</f>
        <v>2063407</v>
      </c>
      <c r="I55" s="441">
        <f>SUM(I56:I75)</f>
        <v>0</v>
      </c>
      <c r="J55" s="441">
        <f t="shared" ref="J55:J70" si="26">L55+O55</f>
        <v>6265340</v>
      </c>
      <c r="K55" s="441">
        <f>SUM(K56:K75)</f>
        <v>5648340</v>
      </c>
      <c r="L55" s="441">
        <f>SUM(L56:L75)</f>
        <v>617000</v>
      </c>
      <c r="M55" s="441">
        <f>SUM(M56:M75)</f>
        <v>104000</v>
      </c>
      <c r="N55" s="441">
        <f>SUM(N56:N75)</f>
        <v>137000</v>
      </c>
      <c r="O55" s="441">
        <f>SUM(O56:O75)</f>
        <v>5648340</v>
      </c>
      <c r="P55" s="442">
        <f t="shared" ref="P55:P65" si="27">E55+J55</f>
        <v>221290453</v>
      </c>
      <c r="Q55" s="189" t="b">
        <f>P55=P56+P57+P58+P59+P60+P61+P64+P65+P66+P68+P69+P70+P71+P72+P73+P74</f>
        <v>1</v>
      </c>
      <c r="R55" s="473" t="b">
        <f>K55='d6'!J56</f>
        <v>1</v>
      </c>
      <c r="T55" s="189"/>
    </row>
    <row r="56" spans="1:20" ht="230.25" thickTop="1" thickBot="1" x14ac:dyDescent="0.25">
      <c r="A56" s="290" t="s">
        <v>466</v>
      </c>
      <c r="B56" s="520" t="s">
        <v>266</v>
      </c>
      <c r="C56" s="290" t="s">
        <v>264</v>
      </c>
      <c r="D56" s="290" t="s">
        <v>265</v>
      </c>
      <c r="E56" s="293">
        <f t="shared" ref="E56" si="28">F56</f>
        <v>51797540</v>
      </c>
      <c r="F56" s="296">
        <v>51797540</v>
      </c>
      <c r="G56" s="296">
        <v>38906520</v>
      </c>
      <c r="H56" s="296">
        <f>(511665+29000+284370+31050)</f>
        <v>856085</v>
      </c>
      <c r="I56" s="296"/>
      <c r="J56" s="293">
        <f t="shared" si="26"/>
        <v>911000</v>
      </c>
      <c r="K56" s="296">
        <v>911000</v>
      </c>
      <c r="L56" s="296"/>
      <c r="M56" s="296"/>
      <c r="N56" s="296"/>
      <c r="O56" s="295">
        <f>K56</f>
        <v>911000</v>
      </c>
      <c r="P56" s="293">
        <f t="shared" si="27"/>
        <v>52708540</v>
      </c>
      <c r="Q56" s="380"/>
      <c r="R56" s="473" t="b">
        <f>K56='d6'!J57</f>
        <v>1</v>
      </c>
      <c r="T56" s="189"/>
    </row>
    <row r="57" spans="1:20" s="86" customFormat="1" ht="138.75" thickTop="1" thickBot="1" x14ac:dyDescent="0.25">
      <c r="A57" s="290" t="s">
        <v>299</v>
      </c>
      <c r="B57" s="520" t="s">
        <v>300</v>
      </c>
      <c r="C57" s="290" t="s">
        <v>233</v>
      </c>
      <c r="D57" s="343" t="s">
        <v>301</v>
      </c>
      <c r="E57" s="293">
        <f>F57</f>
        <v>270000</v>
      </c>
      <c r="F57" s="296">
        <f>(570000)-300000</f>
        <v>270000</v>
      </c>
      <c r="G57" s="296"/>
      <c r="H57" s="296"/>
      <c r="I57" s="296"/>
      <c r="J57" s="293">
        <f t="shared" si="26"/>
        <v>199000</v>
      </c>
      <c r="K57" s="296">
        <v>199000</v>
      </c>
      <c r="L57" s="296"/>
      <c r="M57" s="296"/>
      <c r="N57" s="296"/>
      <c r="O57" s="295">
        <f t="shared" ref="O57:O70" si="29">K57</f>
        <v>199000</v>
      </c>
      <c r="P57" s="293">
        <f t="shared" si="27"/>
        <v>469000</v>
      </c>
      <c r="Q57" s="377"/>
      <c r="R57" s="473" t="b">
        <f>K57='d6'!J58</f>
        <v>1</v>
      </c>
    </row>
    <row r="58" spans="1:20" s="86" customFormat="1" ht="138.75" thickTop="1" thickBot="1" x14ac:dyDescent="0.25">
      <c r="A58" s="290" t="s">
        <v>302</v>
      </c>
      <c r="B58" s="520" t="s">
        <v>303</v>
      </c>
      <c r="C58" s="290" t="s">
        <v>234</v>
      </c>
      <c r="D58" s="290" t="s">
        <v>6</v>
      </c>
      <c r="E58" s="293">
        <f t="shared" ref="E58:E74" si="30">F58</f>
        <v>1350000</v>
      </c>
      <c r="F58" s="296">
        <v>1350000</v>
      </c>
      <c r="G58" s="296"/>
      <c r="H58" s="296"/>
      <c r="I58" s="296"/>
      <c r="J58" s="293">
        <f t="shared" si="26"/>
        <v>0</v>
      </c>
      <c r="K58" s="296"/>
      <c r="L58" s="296"/>
      <c r="M58" s="296"/>
      <c r="N58" s="296"/>
      <c r="O58" s="295">
        <f t="shared" si="29"/>
        <v>0</v>
      </c>
      <c r="P58" s="293">
        <f t="shared" si="27"/>
        <v>1350000</v>
      </c>
      <c r="Q58" s="377"/>
      <c r="R58" s="381"/>
    </row>
    <row r="59" spans="1:20" s="86" customFormat="1" ht="184.5" thickTop="1" thickBot="1" x14ac:dyDescent="0.25">
      <c r="A59" s="290" t="s">
        <v>305</v>
      </c>
      <c r="B59" s="520" t="s">
        <v>306</v>
      </c>
      <c r="C59" s="290" t="s">
        <v>234</v>
      </c>
      <c r="D59" s="290" t="s">
        <v>7</v>
      </c>
      <c r="E59" s="293">
        <f t="shared" si="30"/>
        <v>11250000</v>
      </c>
      <c r="F59" s="296">
        <v>11250000</v>
      </c>
      <c r="G59" s="296"/>
      <c r="H59" s="296"/>
      <c r="I59" s="296"/>
      <c r="J59" s="293">
        <f t="shared" si="26"/>
        <v>0</v>
      </c>
      <c r="K59" s="296"/>
      <c r="L59" s="296"/>
      <c r="M59" s="296"/>
      <c r="N59" s="296"/>
      <c r="O59" s="295">
        <f t="shared" si="29"/>
        <v>0</v>
      </c>
      <c r="P59" s="293">
        <f t="shared" si="27"/>
        <v>11250000</v>
      </c>
      <c r="Q59" s="377"/>
      <c r="R59" s="381"/>
    </row>
    <row r="60" spans="1:20" s="86" customFormat="1" ht="184.5" thickTop="1" thickBot="1" x14ac:dyDescent="0.25">
      <c r="A60" s="290" t="s">
        <v>307</v>
      </c>
      <c r="B60" s="520" t="s">
        <v>304</v>
      </c>
      <c r="C60" s="290" t="s">
        <v>234</v>
      </c>
      <c r="D60" s="290" t="s">
        <v>8</v>
      </c>
      <c r="E60" s="293">
        <f t="shared" si="30"/>
        <v>500000</v>
      </c>
      <c r="F60" s="296">
        <v>500000</v>
      </c>
      <c r="G60" s="296"/>
      <c r="H60" s="296"/>
      <c r="I60" s="296"/>
      <c r="J60" s="293">
        <f t="shared" si="26"/>
        <v>0</v>
      </c>
      <c r="K60" s="296"/>
      <c r="L60" s="296"/>
      <c r="M60" s="296"/>
      <c r="N60" s="296"/>
      <c r="O60" s="295">
        <f t="shared" si="29"/>
        <v>0</v>
      </c>
      <c r="P60" s="293">
        <f t="shared" si="27"/>
        <v>500000</v>
      </c>
      <c r="Q60" s="377"/>
      <c r="R60" s="381"/>
    </row>
    <row r="61" spans="1:20" s="86" customFormat="1" ht="184.5" thickTop="1" thickBot="1" x14ac:dyDescent="0.25">
      <c r="A61" s="290" t="s">
        <v>308</v>
      </c>
      <c r="B61" s="520" t="s">
        <v>309</v>
      </c>
      <c r="C61" s="290" t="s">
        <v>234</v>
      </c>
      <c r="D61" s="290" t="s">
        <v>9</v>
      </c>
      <c r="E61" s="293">
        <f t="shared" si="30"/>
        <v>74942240</v>
      </c>
      <c r="F61" s="296">
        <f>74942240</f>
        <v>74942240</v>
      </c>
      <c r="G61" s="296"/>
      <c r="H61" s="296"/>
      <c r="I61" s="296"/>
      <c r="J61" s="293">
        <f t="shared" si="26"/>
        <v>0</v>
      </c>
      <c r="K61" s="296"/>
      <c r="L61" s="296"/>
      <c r="M61" s="296"/>
      <c r="N61" s="296"/>
      <c r="O61" s="295">
        <f t="shared" si="29"/>
        <v>0</v>
      </c>
      <c r="P61" s="293">
        <f t="shared" si="27"/>
        <v>74942240</v>
      </c>
      <c r="Q61" s="377"/>
      <c r="R61" s="381"/>
    </row>
    <row r="62" spans="1:20" s="86" customFormat="1" ht="184.5" hidden="1" thickTop="1" thickBot="1" x14ac:dyDescent="0.25">
      <c r="A62" s="290" t="s">
        <v>555</v>
      </c>
      <c r="B62" s="520" t="s">
        <v>556</v>
      </c>
      <c r="C62" s="290" t="s">
        <v>234</v>
      </c>
      <c r="D62" s="290" t="s">
        <v>557</v>
      </c>
      <c r="E62" s="293">
        <f t="shared" si="30"/>
        <v>0</v>
      </c>
      <c r="F62" s="296"/>
      <c r="G62" s="296"/>
      <c r="H62" s="296"/>
      <c r="I62" s="296"/>
      <c r="J62" s="293">
        <f t="shared" si="26"/>
        <v>0</v>
      </c>
      <c r="K62" s="296"/>
      <c r="L62" s="296"/>
      <c r="M62" s="296"/>
      <c r="N62" s="296"/>
      <c r="O62" s="295">
        <f t="shared" si="29"/>
        <v>0</v>
      </c>
      <c r="P62" s="293">
        <f t="shared" si="27"/>
        <v>0</v>
      </c>
      <c r="Q62" s="377"/>
      <c r="R62" s="381"/>
    </row>
    <row r="63" spans="1:20" ht="138.75" hidden="1" thickTop="1" thickBot="1" x14ac:dyDescent="0.25">
      <c r="A63" s="290" t="s">
        <v>558</v>
      </c>
      <c r="B63" s="520" t="s">
        <v>559</v>
      </c>
      <c r="C63" s="290" t="s">
        <v>233</v>
      </c>
      <c r="D63" s="290" t="s">
        <v>560</v>
      </c>
      <c r="E63" s="293">
        <f t="shared" si="30"/>
        <v>0</v>
      </c>
      <c r="F63" s="296"/>
      <c r="G63" s="296"/>
      <c r="H63" s="296"/>
      <c r="I63" s="296"/>
      <c r="J63" s="293">
        <f t="shared" si="26"/>
        <v>0</v>
      </c>
      <c r="K63" s="296"/>
      <c r="L63" s="296"/>
      <c r="M63" s="296"/>
      <c r="N63" s="296"/>
      <c r="O63" s="295">
        <f>K63</f>
        <v>0</v>
      </c>
      <c r="P63" s="293">
        <f t="shared" si="27"/>
        <v>0</v>
      </c>
      <c r="R63" s="381"/>
    </row>
    <row r="64" spans="1:20" ht="276" thickTop="1" thickBot="1" x14ac:dyDescent="0.25">
      <c r="A64" s="290" t="s">
        <v>297</v>
      </c>
      <c r="B64" s="520" t="s">
        <v>295</v>
      </c>
      <c r="C64" s="290" t="s">
        <v>228</v>
      </c>
      <c r="D64" s="290" t="s">
        <v>19</v>
      </c>
      <c r="E64" s="293">
        <f t="shared" si="30"/>
        <v>27960820</v>
      </c>
      <c r="F64" s="296">
        <v>27960820</v>
      </c>
      <c r="G64" s="296">
        <v>19746545</v>
      </c>
      <c r="H64" s="296">
        <f>(266000+30800+72660+10800)</f>
        <v>380260</v>
      </c>
      <c r="I64" s="296"/>
      <c r="J64" s="293">
        <f t="shared" si="26"/>
        <v>150000</v>
      </c>
      <c r="K64" s="296"/>
      <c r="L64" s="296">
        <f>(100000+22000+15000+4000+6000+1500+500+1000)</f>
        <v>150000</v>
      </c>
      <c r="M64" s="296">
        <v>100000</v>
      </c>
      <c r="N64" s="296">
        <f>(1500+500+1000)</f>
        <v>3000</v>
      </c>
      <c r="O64" s="295">
        <f t="shared" si="29"/>
        <v>0</v>
      </c>
      <c r="P64" s="293">
        <f t="shared" si="27"/>
        <v>28110820</v>
      </c>
      <c r="R64" s="381"/>
    </row>
    <row r="65" spans="1:18" ht="138.75" thickTop="1" thickBot="1" x14ac:dyDescent="0.25">
      <c r="A65" s="290" t="s">
        <v>298</v>
      </c>
      <c r="B65" s="520" t="s">
        <v>296</v>
      </c>
      <c r="C65" s="290" t="s">
        <v>227</v>
      </c>
      <c r="D65" s="290" t="s">
        <v>519</v>
      </c>
      <c r="E65" s="293">
        <f t="shared" si="30"/>
        <v>7298180</v>
      </c>
      <c r="F65" s="296">
        <v>7298180</v>
      </c>
      <c r="G65" s="296">
        <f>(3013390+2388750)</f>
        <v>5402140</v>
      </c>
      <c r="H65" s="296">
        <f>(133610+1950+28250+148195+4870+19620+240)</f>
        <v>336735</v>
      </c>
      <c r="I65" s="296"/>
      <c r="J65" s="293">
        <f t="shared" si="26"/>
        <v>0</v>
      </c>
      <c r="K65" s="296"/>
      <c r="L65" s="296"/>
      <c r="M65" s="296"/>
      <c r="N65" s="296"/>
      <c r="O65" s="295">
        <f t="shared" si="29"/>
        <v>0</v>
      </c>
      <c r="P65" s="293">
        <f t="shared" si="27"/>
        <v>7298180</v>
      </c>
      <c r="R65" s="381"/>
    </row>
    <row r="66" spans="1:18" ht="409.6" thickTop="1" thickBot="1" x14ac:dyDescent="0.25">
      <c r="A66" s="290" t="s">
        <v>293</v>
      </c>
      <c r="B66" s="520" t="s">
        <v>294</v>
      </c>
      <c r="C66" s="290" t="s">
        <v>227</v>
      </c>
      <c r="D66" s="290" t="s">
        <v>517</v>
      </c>
      <c r="E66" s="293">
        <f t="shared" si="30"/>
        <v>1242695</v>
      </c>
      <c r="F66" s="299">
        <v>1242695</v>
      </c>
      <c r="G66" s="296"/>
      <c r="H66" s="296"/>
      <c r="I66" s="296"/>
      <c r="J66" s="293">
        <f t="shared" si="26"/>
        <v>0</v>
      </c>
      <c r="K66" s="293"/>
      <c r="L66" s="296"/>
      <c r="M66" s="296"/>
      <c r="N66" s="296"/>
      <c r="O66" s="295">
        <f t="shared" si="29"/>
        <v>0</v>
      </c>
      <c r="P66" s="293">
        <f>+J66+E66</f>
        <v>1242695</v>
      </c>
      <c r="R66" s="381"/>
    </row>
    <row r="67" spans="1:18" ht="276" hidden="1" thickTop="1" thickBot="1" x14ac:dyDescent="0.25">
      <c r="A67" s="290" t="s">
        <v>561</v>
      </c>
      <c r="B67" s="520" t="s">
        <v>562</v>
      </c>
      <c r="C67" s="290" t="s">
        <v>227</v>
      </c>
      <c r="D67" s="290" t="s">
        <v>563</v>
      </c>
      <c r="E67" s="293">
        <f t="shared" si="30"/>
        <v>0</v>
      </c>
      <c r="F67" s="296"/>
      <c r="G67" s="296"/>
      <c r="H67" s="296"/>
      <c r="I67" s="296"/>
      <c r="J67" s="293">
        <f t="shared" si="26"/>
        <v>0</v>
      </c>
      <c r="K67" s="293"/>
      <c r="L67" s="296"/>
      <c r="M67" s="296"/>
      <c r="N67" s="296"/>
      <c r="O67" s="295">
        <f t="shared" si="29"/>
        <v>0</v>
      </c>
      <c r="P67" s="293">
        <f>+J67+E67</f>
        <v>0</v>
      </c>
      <c r="R67" s="381"/>
    </row>
    <row r="68" spans="1:18" ht="367.5" thickTop="1" thickBot="1" x14ac:dyDescent="0.25">
      <c r="A68" s="290" t="s">
        <v>393</v>
      </c>
      <c r="B68" s="520" t="s">
        <v>392</v>
      </c>
      <c r="C68" s="290" t="s">
        <v>54</v>
      </c>
      <c r="D68" s="290" t="s">
        <v>518</v>
      </c>
      <c r="E68" s="293">
        <f t="shared" si="30"/>
        <v>2625425</v>
      </c>
      <c r="F68" s="296">
        <v>2625425</v>
      </c>
      <c r="G68" s="296"/>
      <c r="H68" s="296"/>
      <c r="I68" s="296"/>
      <c r="J68" s="293">
        <f t="shared" si="26"/>
        <v>0</v>
      </c>
      <c r="K68" s="293"/>
      <c r="L68" s="296"/>
      <c r="M68" s="296"/>
      <c r="N68" s="296"/>
      <c r="O68" s="295">
        <f t="shared" si="29"/>
        <v>0</v>
      </c>
      <c r="P68" s="293">
        <f>E68+J68</f>
        <v>2625425</v>
      </c>
      <c r="R68" s="381"/>
    </row>
    <row r="69" spans="1:18" ht="230.25" thickTop="1" thickBot="1" x14ac:dyDescent="0.25">
      <c r="A69" s="290" t="s">
        <v>366</v>
      </c>
      <c r="B69" s="520" t="s">
        <v>367</v>
      </c>
      <c r="C69" s="290" t="s">
        <v>233</v>
      </c>
      <c r="D69" s="290" t="s">
        <v>394</v>
      </c>
      <c r="E69" s="293">
        <f t="shared" si="30"/>
        <v>500000</v>
      </c>
      <c r="F69" s="296">
        <f>(500000)</f>
        <v>500000</v>
      </c>
      <c r="G69" s="296"/>
      <c r="H69" s="296"/>
      <c r="I69" s="296"/>
      <c r="J69" s="293">
        <f t="shared" si="26"/>
        <v>0</v>
      </c>
      <c r="K69" s="296"/>
      <c r="L69" s="296"/>
      <c r="M69" s="296"/>
      <c r="N69" s="296"/>
      <c r="O69" s="295">
        <f t="shared" si="29"/>
        <v>0</v>
      </c>
      <c r="P69" s="293">
        <f>E69+J69</f>
        <v>500000</v>
      </c>
      <c r="R69" s="381"/>
    </row>
    <row r="70" spans="1:18" ht="93" thickTop="1" thickBot="1" x14ac:dyDescent="0.25">
      <c r="A70" s="290" t="s">
        <v>479</v>
      </c>
      <c r="B70" s="520" t="s">
        <v>420</v>
      </c>
      <c r="C70" s="290" t="s">
        <v>421</v>
      </c>
      <c r="D70" s="290" t="s">
        <v>419</v>
      </c>
      <c r="E70" s="344">
        <f t="shared" si="30"/>
        <v>100040</v>
      </c>
      <c r="F70" s="296">
        <v>100040</v>
      </c>
      <c r="G70" s="296">
        <v>82000</v>
      </c>
      <c r="H70" s="296"/>
      <c r="I70" s="296"/>
      <c r="J70" s="293">
        <f t="shared" si="26"/>
        <v>0</v>
      </c>
      <c r="K70" s="296"/>
      <c r="L70" s="296"/>
      <c r="M70" s="296"/>
      <c r="N70" s="296"/>
      <c r="O70" s="295">
        <f t="shared" si="29"/>
        <v>0</v>
      </c>
      <c r="P70" s="293">
        <f>E70+J70</f>
        <v>100040</v>
      </c>
      <c r="R70" s="381"/>
    </row>
    <row r="71" spans="1:18" ht="184.5" thickTop="1" thickBot="1" x14ac:dyDescent="0.25">
      <c r="A71" s="290" t="s">
        <v>368</v>
      </c>
      <c r="B71" s="520" t="s">
        <v>370</v>
      </c>
      <c r="C71" s="290" t="s">
        <v>219</v>
      </c>
      <c r="D71" s="345" t="s">
        <v>372</v>
      </c>
      <c r="E71" s="459">
        <f t="shared" si="30"/>
        <v>7785022</v>
      </c>
      <c r="F71" s="296">
        <f>8173362-388340</f>
        <v>7785022</v>
      </c>
      <c r="G71" s="292">
        <f>(1948670+2295945)</f>
        <v>4244615</v>
      </c>
      <c r="H71" s="292">
        <f>(245557+131600+6000+27000+40000+39000+1170)</f>
        <v>490327</v>
      </c>
      <c r="I71" s="296"/>
      <c r="J71" s="293">
        <f t="shared" ref="J71:J74" si="31">L71+O71</f>
        <v>533340</v>
      </c>
      <c r="K71" s="296">
        <f>(72894+138259+40788+136399)</f>
        <v>388340</v>
      </c>
      <c r="L71" s="296">
        <f>(4000+900+6100+23000+65000+45000+1000)</f>
        <v>145000</v>
      </c>
      <c r="M71" s="296">
        <v>4000</v>
      </c>
      <c r="N71" s="296">
        <f>(23000+65000+45000+1000)</f>
        <v>134000</v>
      </c>
      <c r="O71" s="295">
        <f t="shared" ref="O71:O74" si="32">K71</f>
        <v>388340</v>
      </c>
      <c r="P71" s="293">
        <f t="shared" ref="P71:P74" si="33">E71+J71</f>
        <v>8318362</v>
      </c>
      <c r="R71" s="473" t="b">
        <f>K71='d6'!J59</f>
        <v>1</v>
      </c>
    </row>
    <row r="72" spans="1:18" ht="138.75" thickTop="1" thickBot="1" x14ac:dyDescent="0.25">
      <c r="A72" s="290" t="s">
        <v>369</v>
      </c>
      <c r="B72" s="520" t="s">
        <v>371</v>
      </c>
      <c r="C72" s="290" t="s">
        <v>219</v>
      </c>
      <c r="D72" s="345" t="s">
        <v>373</v>
      </c>
      <c r="E72" s="293">
        <f t="shared" si="30"/>
        <v>27403151</v>
      </c>
      <c r="F72" s="296">
        <v>27403151</v>
      </c>
      <c r="G72" s="296"/>
      <c r="H72" s="296"/>
      <c r="I72" s="296"/>
      <c r="J72" s="293">
        <f t="shared" si="31"/>
        <v>150000</v>
      </c>
      <c r="K72" s="296">
        <v>150000</v>
      </c>
      <c r="L72" s="296"/>
      <c r="M72" s="296"/>
      <c r="N72" s="296"/>
      <c r="O72" s="295">
        <f t="shared" si="32"/>
        <v>150000</v>
      </c>
      <c r="P72" s="293">
        <f t="shared" si="33"/>
        <v>27553151</v>
      </c>
      <c r="R72" s="473" t="b">
        <f>K72='d6'!J60</f>
        <v>1</v>
      </c>
    </row>
    <row r="73" spans="1:18" ht="138.75" thickTop="1" thickBot="1" x14ac:dyDescent="0.25">
      <c r="A73" s="290" t="s">
        <v>415</v>
      </c>
      <c r="B73" s="520" t="s">
        <v>413</v>
      </c>
      <c r="C73" s="290" t="s">
        <v>384</v>
      </c>
      <c r="D73" s="345" t="s">
        <v>414</v>
      </c>
      <c r="E73" s="293">
        <f t="shared" si="30"/>
        <v>0</v>
      </c>
      <c r="F73" s="296"/>
      <c r="G73" s="296"/>
      <c r="H73" s="296"/>
      <c r="I73" s="296"/>
      <c r="J73" s="293">
        <f t="shared" si="31"/>
        <v>4000000</v>
      </c>
      <c r="K73" s="296">
        <v>4000000</v>
      </c>
      <c r="L73" s="296"/>
      <c r="M73" s="296"/>
      <c r="N73" s="296"/>
      <c r="O73" s="295">
        <f t="shared" si="32"/>
        <v>4000000</v>
      </c>
      <c r="P73" s="293">
        <f t="shared" si="33"/>
        <v>4000000</v>
      </c>
      <c r="R73" s="473" t="b">
        <f>K73='d6'!J61</f>
        <v>1</v>
      </c>
    </row>
    <row r="74" spans="1:18" ht="409.6" thickTop="1" thickBot="1" x14ac:dyDescent="0.7">
      <c r="A74" s="615" t="s">
        <v>474</v>
      </c>
      <c r="B74" s="615" t="s">
        <v>381</v>
      </c>
      <c r="C74" s="615" t="s">
        <v>192</v>
      </c>
      <c r="D74" s="346" t="s">
        <v>500</v>
      </c>
      <c r="E74" s="618">
        <f t="shared" si="30"/>
        <v>0</v>
      </c>
      <c r="F74" s="613"/>
      <c r="G74" s="613"/>
      <c r="H74" s="613"/>
      <c r="I74" s="613"/>
      <c r="J74" s="618">
        <f t="shared" si="31"/>
        <v>322000</v>
      </c>
      <c r="K74" s="613"/>
      <c r="L74" s="613">
        <v>322000</v>
      </c>
      <c r="M74" s="613"/>
      <c r="N74" s="613"/>
      <c r="O74" s="621">
        <f t="shared" si="32"/>
        <v>0</v>
      </c>
      <c r="P74" s="623">
        <f t="shared" si="33"/>
        <v>322000</v>
      </c>
      <c r="R74" s="381"/>
    </row>
    <row r="75" spans="1:18" ht="184.5" thickTop="1" thickBot="1" x14ac:dyDescent="0.25">
      <c r="A75" s="616"/>
      <c r="B75" s="617"/>
      <c r="C75" s="616"/>
      <c r="D75" s="347" t="s">
        <v>501</v>
      </c>
      <c r="E75" s="616"/>
      <c r="F75" s="614"/>
      <c r="G75" s="614"/>
      <c r="H75" s="614"/>
      <c r="I75" s="614"/>
      <c r="J75" s="616"/>
      <c r="K75" s="616"/>
      <c r="L75" s="614"/>
      <c r="M75" s="614"/>
      <c r="N75" s="614"/>
      <c r="O75" s="622"/>
      <c r="P75" s="624"/>
      <c r="R75" s="381"/>
    </row>
    <row r="76" spans="1:18" ht="181.5" thickTop="1" thickBot="1" x14ac:dyDescent="0.25">
      <c r="A76" s="435">
        <v>1000000</v>
      </c>
      <c r="B76" s="435"/>
      <c r="C76" s="435"/>
      <c r="D76" s="436" t="s">
        <v>26</v>
      </c>
      <c r="E76" s="437">
        <f>E77</f>
        <v>121657517</v>
      </c>
      <c r="F76" s="438">
        <f t="shared" ref="F76:G76" si="34">F77</f>
        <v>121657517</v>
      </c>
      <c r="G76" s="438">
        <f t="shared" si="34"/>
        <v>89280550</v>
      </c>
      <c r="H76" s="438">
        <f>H77</f>
        <v>3907125</v>
      </c>
      <c r="I76" s="438">
        <f>I77</f>
        <v>0</v>
      </c>
      <c r="J76" s="437">
        <f>J77</f>
        <v>13143900</v>
      </c>
      <c r="K76" s="438">
        <f>K77</f>
        <v>3313500</v>
      </c>
      <c r="L76" s="438">
        <f>L77</f>
        <v>9724400</v>
      </c>
      <c r="M76" s="438">
        <f t="shared" ref="M76" si="35">M77</f>
        <v>7345900</v>
      </c>
      <c r="N76" s="437">
        <f>N77</f>
        <v>257400</v>
      </c>
      <c r="O76" s="437">
        <f>O77</f>
        <v>3419500</v>
      </c>
      <c r="P76" s="438">
        <f t="shared" ref="P76" si="36">P77</f>
        <v>134801417</v>
      </c>
    </row>
    <row r="77" spans="1:18" ht="181.5" thickTop="1" thickBot="1" x14ac:dyDescent="0.25">
      <c r="A77" s="439">
        <v>1010000</v>
      </c>
      <c r="B77" s="439"/>
      <c r="C77" s="439"/>
      <c r="D77" s="440" t="s">
        <v>43</v>
      </c>
      <c r="E77" s="441">
        <f>F77</f>
        <v>121657517</v>
      </c>
      <c r="F77" s="441">
        <f>SUM(F78:F85)</f>
        <v>121657517</v>
      </c>
      <c r="G77" s="441">
        <f>SUM(G78:G85)</f>
        <v>89280550</v>
      </c>
      <c r="H77" s="441">
        <f>SUM(H78:H85)</f>
        <v>3907125</v>
      </c>
      <c r="I77" s="441">
        <f>SUM(I78:I85)</f>
        <v>0</v>
      </c>
      <c r="J77" s="441">
        <f t="shared" ref="J77:J84" si="37">L77+O77</f>
        <v>13143900</v>
      </c>
      <c r="K77" s="441">
        <f>SUM(K78:K85)</f>
        <v>3313500</v>
      </c>
      <c r="L77" s="441">
        <f>SUM(L78:L85)</f>
        <v>9724400</v>
      </c>
      <c r="M77" s="441">
        <f>SUM(M78:M85)</f>
        <v>7345900</v>
      </c>
      <c r="N77" s="441">
        <f>SUM(N78:N85)</f>
        <v>257400</v>
      </c>
      <c r="O77" s="441">
        <f>SUM(O78:O84)</f>
        <v>3419500</v>
      </c>
      <c r="P77" s="442">
        <f t="shared" ref="P77:P84" si="38">E77+J77</f>
        <v>134801417</v>
      </c>
      <c r="Q77" s="189" t="b">
        <f>P77=P78+P79+P80+P81+P82+P83+P84+P85</f>
        <v>1</v>
      </c>
      <c r="R77" s="473" t="b">
        <f>K77='d6'!J63</f>
        <v>1</v>
      </c>
    </row>
    <row r="78" spans="1:18" ht="93" thickTop="1" thickBot="1" x14ac:dyDescent="0.25">
      <c r="A78" s="463" t="s">
        <v>18</v>
      </c>
      <c r="B78" s="521" t="s">
        <v>207</v>
      </c>
      <c r="C78" s="463" t="s">
        <v>208</v>
      </c>
      <c r="D78" s="463" t="s">
        <v>580</v>
      </c>
      <c r="E78" s="462">
        <f>F78</f>
        <v>68969585</v>
      </c>
      <c r="F78" s="299">
        <f>(54164900+11916270+176295+394855+51550+1849900+30235+235500+100600+31580+17900)</f>
        <v>68969585</v>
      </c>
      <c r="G78" s="299">
        <f>(54164900)</f>
        <v>54164900</v>
      </c>
      <c r="H78" s="299">
        <f>(1849900+30235+235500+100600+31580)</f>
        <v>2247815</v>
      </c>
      <c r="I78" s="299"/>
      <c r="J78" s="476">
        <f t="shared" si="37"/>
        <v>9062100</v>
      </c>
      <c r="K78" s="299"/>
      <c r="L78" s="299">
        <f>(6977500+1530200+218650+101550+5500+190100+4000+1600)</f>
        <v>9029100</v>
      </c>
      <c r="M78" s="299">
        <v>6977500</v>
      </c>
      <c r="N78" s="299">
        <f>(160400+4900+18800+6000)</f>
        <v>190100</v>
      </c>
      <c r="O78" s="474">
        <f>K78+33000</f>
        <v>33000</v>
      </c>
      <c r="P78" s="476">
        <f t="shared" si="38"/>
        <v>78031685</v>
      </c>
      <c r="R78" s="381"/>
    </row>
    <row r="79" spans="1:18" ht="48" thickTop="1" thickBot="1" x14ac:dyDescent="0.25">
      <c r="A79" s="463" t="s">
        <v>193</v>
      </c>
      <c r="B79" s="521" t="s">
        <v>194</v>
      </c>
      <c r="C79" s="463" t="s">
        <v>196</v>
      </c>
      <c r="D79" s="463" t="s">
        <v>197</v>
      </c>
      <c r="E79" s="462">
        <f t="shared" ref="E79:E82" si="39">F79</f>
        <v>964300</v>
      </c>
      <c r="F79" s="299">
        <v>964300</v>
      </c>
      <c r="G79" s="299"/>
      <c r="H79" s="299"/>
      <c r="I79" s="299"/>
      <c r="J79" s="476">
        <f t="shared" si="37"/>
        <v>0</v>
      </c>
      <c r="K79" s="299"/>
      <c r="L79" s="299"/>
      <c r="M79" s="299"/>
      <c r="N79" s="299"/>
      <c r="O79" s="474">
        <f t="shared" ref="O79:O84" si="40">K79</f>
        <v>0</v>
      </c>
      <c r="P79" s="476">
        <f t="shared" si="38"/>
        <v>964300</v>
      </c>
      <c r="R79" s="381"/>
    </row>
    <row r="80" spans="1:18" ht="93" thickTop="1" thickBot="1" x14ac:dyDescent="0.25">
      <c r="A80" s="463" t="s">
        <v>198</v>
      </c>
      <c r="B80" s="521" t="s">
        <v>199</v>
      </c>
      <c r="C80" s="463" t="s">
        <v>200</v>
      </c>
      <c r="D80" s="463" t="s">
        <v>201</v>
      </c>
      <c r="E80" s="462">
        <f t="shared" si="39"/>
        <v>13745895</v>
      </c>
      <c r="F80" s="299">
        <f>(10344300+2275745+143250+311400+5000+399000+9000+108420+19500+19280+56000+55000)</f>
        <v>13745895</v>
      </c>
      <c r="G80" s="299">
        <v>10344300</v>
      </c>
      <c r="H80" s="299">
        <f>(399000+9000+108420+19500+19280)</f>
        <v>555200</v>
      </c>
      <c r="I80" s="299"/>
      <c r="J80" s="476">
        <f t="shared" si="37"/>
        <v>284000</v>
      </c>
      <c r="K80" s="299">
        <f>(10000+84000+28000+67000)</f>
        <v>189000</v>
      </c>
      <c r="L80" s="299">
        <f>(15600+4400+29500+26200+19000+300)</f>
        <v>95000</v>
      </c>
      <c r="M80" s="299">
        <v>15600</v>
      </c>
      <c r="N80" s="299">
        <f>(17500+500+1000)</f>
        <v>19000</v>
      </c>
      <c r="O80" s="474">
        <f t="shared" si="40"/>
        <v>189000</v>
      </c>
      <c r="P80" s="476">
        <f t="shared" si="38"/>
        <v>14029895</v>
      </c>
      <c r="R80" s="473" t="b">
        <f>K80='d6'!J64+'d6'!J65+'d6'!J66</f>
        <v>1</v>
      </c>
    </row>
    <row r="81" spans="1:18" ht="93" thickTop="1" thickBot="1" x14ac:dyDescent="0.25">
      <c r="A81" s="475" t="s">
        <v>202</v>
      </c>
      <c r="B81" s="521" t="s">
        <v>203</v>
      </c>
      <c r="C81" s="475" t="s">
        <v>200</v>
      </c>
      <c r="D81" s="475" t="s">
        <v>531</v>
      </c>
      <c r="E81" s="476">
        <f t="shared" si="39"/>
        <v>1856955</v>
      </c>
      <c r="F81" s="299">
        <f>(1328500+292270+14055+20330+139800+4305+53715+3980)</f>
        <v>1856955</v>
      </c>
      <c r="G81" s="299">
        <v>1328500</v>
      </c>
      <c r="H81" s="299">
        <f>(139800+4305+53715+3980)</f>
        <v>201800</v>
      </c>
      <c r="I81" s="299"/>
      <c r="J81" s="476">
        <f t="shared" si="37"/>
        <v>3080200</v>
      </c>
      <c r="K81" s="299">
        <f>(3000000)</f>
        <v>3000000</v>
      </c>
      <c r="L81" s="299">
        <f>(8100+1900+35800+27700+5700+1000)</f>
        <v>80200</v>
      </c>
      <c r="M81" s="299">
        <v>8100</v>
      </c>
      <c r="N81" s="299">
        <f>(3800+400+1500)</f>
        <v>5700</v>
      </c>
      <c r="O81" s="474">
        <f t="shared" si="40"/>
        <v>3000000</v>
      </c>
      <c r="P81" s="476">
        <f t="shared" si="38"/>
        <v>4937155</v>
      </c>
      <c r="R81" s="473" t="b">
        <f>K81='d6'!J67</f>
        <v>1</v>
      </c>
    </row>
    <row r="82" spans="1:18" ht="184.5" thickTop="1" thickBot="1" x14ac:dyDescent="0.25">
      <c r="A82" s="475" t="s">
        <v>204</v>
      </c>
      <c r="B82" s="521" t="s">
        <v>195</v>
      </c>
      <c r="C82" s="475" t="s">
        <v>205</v>
      </c>
      <c r="D82" s="475" t="s">
        <v>206</v>
      </c>
      <c r="E82" s="476">
        <f t="shared" si="39"/>
        <v>12109215</v>
      </c>
      <c r="F82" s="299">
        <f>(8640350+1900875+330000+342570+7900+428200+11375+288695+93120+37570+3760+24800)</f>
        <v>12109215</v>
      </c>
      <c r="G82" s="299">
        <v>8640350</v>
      </c>
      <c r="H82" s="299">
        <f>(428200+11375+288695+93120+37570)</f>
        <v>858960</v>
      </c>
      <c r="I82" s="299"/>
      <c r="J82" s="476">
        <f t="shared" si="37"/>
        <v>580600</v>
      </c>
      <c r="K82" s="299">
        <f>124500</f>
        <v>124500</v>
      </c>
      <c r="L82" s="299">
        <f>(334300+73600+5500+42600+100)</f>
        <v>456100</v>
      </c>
      <c r="M82" s="299">
        <v>334300</v>
      </c>
      <c r="N82" s="299">
        <f>(32600+800+9200)</f>
        <v>42600</v>
      </c>
      <c r="O82" s="474">
        <f>K82</f>
        <v>124500</v>
      </c>
      <c r="P82" s="476">
        <f t="shared" si="38"/>
        <v>12689815</v>
      </c>
      <c r="R82" s="473" t="b">
        <f>K82='d6'!J68</f>
        <v>1</v>
      </c>
    </row>
    <row r="83" spans="1:18" ht="138.75" thickTop="1" thickBot="1" x14ac:dyDescent="0.25">
      <c r="A83" s="480" t="s">
        <v>374</v>
      </c>
      <c r="B83" s="521" t="s">
        <v>375</v>
      </c>
      <c r="C83" s="480" t="s">
        <v>209</v>
      </c>
      <c r="D83" s="480" t="s">
        <v>532</v>
      </c>
      <c r="E83" s="479">
        <f>F83</f>
        <v>19137270</v>
      </c>
      <c r="F83" s="299">
        <f>(14802500+3256550+131640+99230+39000+3900+450+804000)</f>
        <v>19137270</v>
      </c>
      <c r="G83" s="299">
        <v>14802500</v>
      </c>
      <c r="H83" s="299">
        <f>(39000+3900+450)</f>
        <v>43350</v>
      </c>
      <c r="I83" s="299"/>
      <c r="J83" s="479">
        <f t="shared" si="37"/>
        <v>137000</v>
      </c>
      <c r="K83" s="299"/>
      <c r="L83" s="299">
        <f>(10400+2200+6000+45400)</f>
        <v>64000</v>
      </c>
      <c r="M83" s="299">
        <v>10400</v>
      </c>
      <c r="N83" s="299"/>
      <c r="O83" s="481">
        <f>K83+73000</f>
        <v>73000</v>
      </c>
      <c r="P83" s="479">
        <f t="shared" si="38"/>
        <v>19274270</v>
      </c>
      <c r="R83" s="381"/>
    </row>
    <row r="84" spans="1:18" ht="93" thickTop="1" thickBot="1" x14ac:dyDescent="0.25">
      <c r="A84" s="480" t="s">
        <v>376</v>
      </c>
      <c r="B84" s="521" t="s">
        <v>377</v>
      </c>
      <c r="C84" s="480" t="s">
        <v>209</v>
      </c>
      <c r="D84" s="480" t="s">
        <v>533</v>
      </c>
      <c r="E84" s="479">
        <f>F84</f>
        <v>4316160</v>
      </c>
      <c r="F84" s="299">
        <f>(1195320+2805840+315000)</f>
        <v>4316160</v>
      </c>
      <c r="G84" s="299"/>
      <c r="H84" s="299"/>
      <c r="I84" s="299"/>
      <c r="J84" s="479">
        <f t="shared" si="37"/>
        <v>0</v>
      </c>
      <c r="K84" s="299"/>
      <c r="L84" s="299"/>
      <c r="M84" s="299"/>
      <c r="N84" s="299"/>
      <c r="O84" s="481">
        <f t="shared" si="40"/>
        <v>0</v>
      </c>
      <c r="P84" s="479">
        <f t="shared" si="38"/>
        <v>4316160</v>
      </c>
      <c r="R84" s="381"/>
    </row>
    <row r="85" spans="1:18" s="478" customFormat="1" ht="93" thickTop="1" thickBot="1" x14ac:dyDescent="0.25">
      <c r="A85" s="480" t="s">
        <v>825</v>
      </c>
      <c r="B85" s="521" t="s">
        <v>411</v>
      </c>
      <c r="C85" s="480" t="s">
        <v>47</v>
      </c>
      <c r="D85" s="480" t="s">
        <v>412</v>
      </c>
      <c r="E85" s="479">
        <f t="shared" ref="E85" si="41">F85</f>
        <v>558137</v>
      </c>
      <c r="F85" s="299">
        <v>558137</v>
      </c>
      <c r="G85" s="299"/>
      <c r="H85" s="299"/>
      <c r="I85" s="299"/>
      <c r="J85" s="479">
        <f>L85+O85</f>
        <v>0</v>
      </c>
      <c r="K85" s="299"/>
      <c r="L85" s="299"/>
      <c r="M85" s="299"/>
      <c r="N85" s="299"/>
      <c r="O85" s="481">
        <f>K85</f>
        <v>0</v>
      </c>
      <c r="P85" s="479">
        <f>E85+J85</f>
        <v>558137</v>
      </c>
      <c r="Q85" s="482"/>
      <c r="R85" s="381"/>
    </row>
    <row r="86" spans="1:18" ht="136.5" thickTop="1" thickBot="1" x14ac:dyDescent="0.25">
      <c r="A86" s="435" t="s">
        <v>24</v>
      </c>
      <c r="B86" s="435"/>
      <c r="C86" s="435"/>
      <c r="D86" s="436" t="s">
        <v>25</v>
      </c>
      <c r="E86" s="437">
        <f>E87</f>
        <v>86015807</v>
      </c>
      <c r="F86" s="438">
        <f t="shared" ref="F86:G86" si="42">F87</f>
        <v>86015807</v>
      </c>
      <c r="G86" s="438">
        <f t="shared" si="42"/>
        <v>40854695</v>
      </c>
      <c r="H86" s="438">
        <f>H87</f>
        <v>2243165</v>
      </c>
      <c r="I86" s="438">
        <f t="shared" ref="I86" si="43">I87</f>
        <v>0</v>
      </c>
      <c r="J86" s="437">
        <f>J87</f>
        <v>3552526</v>
      </c>
      <c r="K86" s="438">
        <f>K87</f>
        <v>1648281</v>
      </c>
      <c r="L86" s="438">
        <f>L87</f>
        <v>1904245</v>
      </c>
      <c r="M86" s="438">
        <f t="shared" ref="M86" si="44">M87</f>
        <v>866362</v>
      </c>
      <c r="N86" s="437">
        <f>N87</f>
        <v>308978</v>
      </c>
      <c r="O86" s="437">
        <f>O87</f>
        <v>1648281</v>
      </c>
      <c r="P86" s="438">
        <f t="shared" ref="P86" si="45">P87</f>
        <v>89568333</v>
      </c>
    </row>
    <row r="87" spans="1:18" ht="136.5" thickTop="1" thickBot="1" x14ac:dyDescent="0.25">
      <c r="A87" s="439" t="s">
        <v>23</v>
      </c>
      <c r="B87" s="439"/>
      <c r="C87" s="439"/>
      <c r="D87" s="440" t="s">
        <v>39</v>
      </c>
      <c r="E87" s="441">
        <f>SUM(E88:E100)</f>
        <v>86015807</v>
      </c>
      <c r="F87" s="441">
        <f>SUM(F88:F100)</f>
        <v>86015807</v>
      </c>
      <c r="G87" s="441">
        <f>SUM(G88:G100)</f>
        <v>40854695</v>
      </c>
      <c r="H87" s="441">
        <f>SUM(H88:H100)</f>
        <v>2243165</v>
      </c>
      <c r="I87" s="441">
        <f>SUM(I88:I99)</f>
        <v>0</v>
      </c>
      <c r="J87" s="441">
        <f>L87+O87</f>
        <v>3552526</v>
      </c>
      <c r="K87" s="441">
        <f>SUM(K88:K100)</f>
        <v>1648281</v>
      </c>
      <c r="L87" s="441">
        <f>SUM(L88:L100)</f>
        <v>1904245</v>
      </c>
      <c r="M87" s="441">
        <f>SUM(M88:M100)</f>
        <v>866362</v>
      </c>
      <c r="N87" s="441">
        <f>SUM(N88:N100)</f>
        <v>308978</v>
      </c>
      <c r="O87" s="441">
        <f>SUM(O88:O100)</f>
        <v>1648281</v>
      </c>
      <c r="P87" s="442">
        <f>E87+J87</f>
        <v>89568333</v>
      </c>
      <c r="Q87" s="189" t="b">
        <f>P87=P88+P89+P90+P91+P92+P93+P94+P95+P96+P98+P99+P97+P100</f>
        <v>1</v>
      </c>
      <c r="R87" s="473" t="b">
        <f>K87='d6'!J69</f>
        <v>1</v>
      </c>
    </row>
    <row r="88" spans="1:18" ht="138.75" thickTop="1" thickBot="1" x14ac:dyDescent="0.25">
      <c r="A88" s="480" t="s">
        <v>210</v>
      </c>
      <c r="B88" s="521" t="s">
        <v>211</v>
      </c>
      <c r="C88" s="480" t="s">
        <v>212</v>
      </c>
      <c r="D88" s="480" t="s">
        <v>213</v>
      </c>
      <c r="E88" s="291">
        <f t="shared" ref="E88:E97" si="46">F88</f>
        <v>5299595</v>
      </c>
      <c r="F88" s="292">
        <f>(4125520+907615+59600+79015+35280+49795+2585+34440+3600+2145)</f>
        <v>5299595</v>
      </c>
      <c r="G88" s="292">
        <v>4125520</v>
      </c>
      <c r="H88" s="292">
        <f>(49795+2585+34440+3600)</f>
        <v>90420</v>
      </c>
      <c r="I88" s="292"/>
      <c r="J88" s="479">
        <f t="shared" ref="J88:J100" si="47">L88+O88</f>
        <v>0</v>
      </c>
      <c r="K88" s="292"/>
      <c r="L88" s="294"/>
      <c r="M88" s="294"/>
      <c r="N88" s="294"/>
      <c r="O88" s="481">
        <f t="shared" ref="O88:O100" si="48">K88</f>
        <v>0</v>
      </c>
      <c r="P88" s="479">
        <f>+J88+E88</f>
        <v>5299595</v>
      </c>
      <c r="Q88" s="381"/>
      <c r="R88" s="381"/>
    </row>
    <row r="89" spans="1:18" ht="93" thickTop="1" thickBot="1" x14ac:dyDescent="0.25">
      <c r="A89" s="480" t="s">
        <v>217</v>
      </c>
      <c r="B89" s="521" t="s">
        <v>218</v>
      </c>
      <c r="C89" s="480" t="s">
        <v>212</v>
      </c>
      <c r="D89" s="480" t="s">
        <v>10</v>
      </c>
      <c r="E89" s="291">
        <f t="shared" si="46"/>
        <v>4435310</v>
      </c>
      <c r="F89" s="292">
        <f>(2725415+599590+377485+251835+384905+4560+86670+3450+1400)</f>
        <v>4435310</v>
      </c>
      <c r="G89" s="292">
        <v>2725415</v>
      </c>
      <c r="H89" s="292">
        <f>(384905+4560+86670+3450)</f>
        <v>479585</v>
      </c>
      <c r="I89" s="292"/>
      <c r="J89" s="479">
        <f t="shared" si="47"/>
        <v>1058957</v>
      </c>
      <c r="K89" s="292">
        <f>(733957)</f>
        <v>733957</v>
      </c>
      <c r="L89" s="294">
        <f>(175000+38500+27300+5000+36500+4800+35400+1500+1000)</f>
        <v>325000</v>
      </c>
      <c r="M89" s="294">
        <v>175000</v>
      </c>
      <c r="N89" s="294">
        <f>(36500+4800+35400+1500)</f>
        <v>78200</v>
      </c>
      <c r="O89" s="481">
        <f t="shared" si="48"/>
        <v>733957</v>
      </c>
      <c r="P89" s="479">
        <f t="shared" ref="P89:P100" si="49">E89+J89</f>
        <v>5494267</v>
      </c>
      <c r="R89" s="473" t="b">
        <f>K89='d6'!J71</f>
        <v>1</v>
      </c>
    </row>
    <row r="90" spans="1:18" ht="93" thickTop="1" thickBot="1" x14ac:dyDescent="0.25">
      <c r="A90" s="480" t="s">
        <v>397</v>
      </c>
      <c r="B90" s="521" t="s">
        <v>398</v>
      </c>
      <c r="C90" s="480" t="s">
        <v>212</v>
      </c>
      <c r="D90" s="480" t="s">
        <v>399</v>
      </c>
      <c r="E90" s="291">
        <f t="shared" si="46"/>
        <v>6768860</v>
      </c>
      <c r="F90" s="292">
        <f>(83645+830710+1020760+224570+61795+14860+37320+2075+23905+3000+2478500+545270+473390+27940+536310+404810)</f>
        <v>6768860</v>
      </c>
      <c r="G90" s="292">
        <v>1020760</v>
      </c>
      <c r="H90" s="292">
        <f>(37320+2075+23905+3000)</f>
        <v>66300</v>
      </c>
      <c r="I90" s="292"/>
      <c r="J90" s="479">
        <f t="shared" si="47"/>
        <v>3000</v>
      </c>
      <c r="K90" s="292"/>
      <c r="L90" s="294">
        <v>3000</v>
      </c>
      <c r="M90" s="294"/>
      <c r="N90" s="294"/>
      <c r="O90" s="481">
        <f t="shared" si="48"/>
        <v>0</v>
      </c>
      <c r="P90" s="479">
        <f t="shared" si="49"/>
        <v>6771860</v>
      </c>
      <c r="R90" s="473"/>
    </row>
    <row r="91" spans="1:18" ht="138.75" thickTop="1" thickBot="1" x14ac:dyDescent="0.25">
      <c r="A91" s="480" t="s">
        <v>48</v>
      </c>
      <c r="B91" s="521" t="s">
        <v>214</v>
      </c>
      <c r="C91" s="480" t="s">
        <v>223</v>
      </c>
      <c r="D91" s="480" t="s">
        <v>49</v>
      </c>
      <c r="E91" s="291">
        <f t="shared" si="46"/>
        <v>11566830</v>
      </c>
      <c r="F91" s="292">
        <f>(171260+11395570)</f>
        <v>11566830</v>
      </c>
      <c r="G91" s="299"/>
      <c r="H91" s="299"/>
      <c r="I91" s="299"/>
      <c r="J91" s="479">
        <f t="shared" si="47"/>
        <v>0</v>
      </c>
      <c r="K91" s="299"/>
      <c r="L91" s="299"/>
      <c r="M91" s="299"/>
      <c r="N91" s="299"/>
      <c r="O91" s="481">
        <f t="shared" si="48"/>
        <v>0</v>
      </c>
      <c r="P91" s="479">
        <f t="shared" si="49"/>
        <v>11566830</v>
      </c>
      <c r="R91" s="473"/>
    </row>
    <row r="92" spans="1:18" ht="138.75" thickTop="1" thickBot="1" x14ac:dyDescent="0.25">
      <c r="A92" s="480" t="s">
        <v>50</v>
      </c>
      <c r="B92" s="521" t="s">
        <v>215</v>
      </c>
      <c r="C92" s="480" t="s">
        <v>223</v>
      </c>
      <c r="D92" s="480" t="s">
        <v>4</v>
      </c>
      <c r="E92" s="291">
        <f t="shared" si="46"/>
        <v>1909585</v>
      </c>
      <c r="F92" s="292">
        <f>(99315+1810270)</f>
        <v>1909585</v>
      </c>
      <c r="G92" s="299"/>
      <c r="H92" s="299"/>
      <c r="I92" s="299"/>
      <c r="J92" s="479">
        <f t="shared" si="47"/>
        <v>0</v>
      </c>
      <c r="K92" s="299"/>
      <c r="L92" s="299"/>
      <c r="M92" s="299"/>
      <c r="N92" s="299"/>
      <c r="O92" s="481">
        <f t="shared" si="48"/>
        <v>0</v>
      </c>
      <c r="P92" s="479">
        <f t="shared" si="49"/>
        <v>1909585</v>
      </c>
      <c r="R92" s="473"/>
    </row>
    <row r="93" spans="1:18" ht="184.5" thickTop="1" thickBot="1" x14ac:dyDescent="0.25">
      <c r="A93" s="480" t="s">
        <v>51</v>
      </c>
      <c r="B93" s="521" t="s">
        <v>216</v>
      </c>
      <c r="C93" s="480" t="s">
        <v>223</v>
      </c>
      <c r="D93" s="480" t="s">
        <v>395</v>
      </c>
      <c r="E93" s="291">
        <f>F93</f>
        <v>60300</v>
      </c>
      <c r="F93" s="292">
        <f>(4295+56005)</f>
        <v>60300</v>
      </c>
      <c r="G93" s="292"/>
      <c r="H93" s="292"/>
      <c r="I93" s="299"/>
      <c r="J93" s="479">
        <f t="shared" si="47"/>
        <v>0</v>
      </c>
      <c r="K93" s="299"/>
      <c r="L93" s="292"/>
      <c r="M93" s="292"/>
      <c r="N93" s="292"/>
      <c r="O93" s="481">
        <f t="shared" si="48"/>
        <v>0</v>
      </c>
      <c r="P93" s="479">
        <f t="shared" si="49"/>
        <v>60300</v>
      </c>
      <c r="R93" s="473"/>
    </row>
    <row r="94" spans="1:18" ht="184.5" thickTop="1" thickBot="1" x14ac:dyDescent="0.25">
      <c r="A94" s="480" t="s">
        <v>30</v>
      </c>
      <c r="B94" s="521" t="s">
        <v>220</v>
      </c>
      <c r="C94" s="480" t="s">
        <v>223</v>
      </c>
      <c r="D94" s="480" t="s">
        <v>52</v>
      </c>
      <c r="E94" s="291">
        <f t="shared" si="46"/>
        <v>44066325</v>
      </c>
      <c r="F94" s="292">
        <f>(31776270+6990780+880350+17975+2276580+286580+559555+134000+494595+408705+10005+200+2700+15865+27100+117565+67500)</f>
        <v>44066325</v>
      </c>
      <c r="G94" s="292">
        <v>31776270</v>
      </c>
      <c r="H94" s="292">
        <f>(559555+134000+494595+408705+10005)</f>
        <v>1606860</v>
      </c>
      <c r="I94" s="292"/>
      <c r="J94" s="479">
        <f t="shared" si="47"/>
        <v>2400225</v>
      </c>
      <c r="K94" s="292">
        <f>(91670+32400+77910+16200+405800+200000)</f>
        <v>823980</v>
      </c>
      <c r="L94" s="292">
        <f>(691362+141099+226744+1030+112354+105648+5500+230778+2000+59730)</f>
        <v>1576245</v>
      </c>
      <c r="M94" s="292">
        <v>691362</v>
      </c>
      <c r="N94" s="292">
        <f>(92672+44368+72322+15587+5829)</f>
        <v>230778</v>
      </c>
      <c r="O94" s="481">
        <f>(K94)</f>
        <v>823980</v>
      </c>
      <c r="P94" s="479">
        <f t="shared" si="49"/>
        <v>46466550</v>
      </c>
      <c r="R94" s="473" t="b">
        <f>K94='d6'!J72+'d6'!J73+'d6'!J74+'d6'!J75</f>
        <v>1</v>
      </c>
    </row>
    <row r="95" spans="1:18" ht="184.5" thickTop="1" thickBot="1" x14ac:dyDescent="0.25">
      <c r="A95" s="480" t="s">
        <v>31</v>
      </c>
      <c r="B95" s="521" t="s">
        <v>221</v>
      </c>
      <c r="C95" s="480" t="s">
        <v>223</v>
      </c>
      <c r="D95" s="480" t="s">
        <v>53</v>
      </c>
      <c r="E95" s="291">
        <f t="shared" si="46"/>
        <v>8097590</v>
      </c>
      <c r="F95" s="292">
        <v>8097590</v>
      </c>
      <c r="G95" s="292"/>
      <c r="H95" s="292"/>
      <c r="I95" s="292"/>
      <c r="J95" s="479">
        <f t="shared" si="47"/>
        <v>15200</v>
      </c>
      <c r="K95" s="292">
        <f>(15200)</f>
        <v>15200</v>
      </c>
      <c r="L95" s="292"/>
      <c r="M95" s="292"/>
      <c r="N95" s="292"/>
      <c r="O95" s="481">
        <f t="shared" si="48"/>
        <v>15200</v>
      </c>
      <c r="P95" s="479">
        <f t="shared" si="49"/>
        <v>8112790</v>
      </c>
      <c r="R95" s="473" t="b">
        <f>K95='d6'!J76</f>
        <v>1</v>
      </c>
    </row>
    <row r="96" spans="1:18" ht="276" thickTop="1" thickBot="1" x14ac:dyDescent="0.25">
      <c r="A96" s="494" t="s">
        <v>32</v>
      </c>
      <c r="B96" s="494" t="s">
        <v>222</v>
      </c>
      <c r="C96" s="494" t="s">
        <v>223</v>
      </c>
      <c r="D96" s="480" t="s">
        <v>33</v>
      </c>
      <c r="E96" s="291">
        <f t="shared" si="46"/>
        <v>112820</v>
      </c>
      <c r="F96" s="292">
        <f>(48380+64440)</f>
        <v>112820</v>
      </c>
      <c r="G96" s="299"/>
      <c r="H96" s="299"/>
      <c r="I96" s="299"/>
      <c r="J96" s="479">
        <f t="shared" si="47"/>
        <v>0</v>
      </c>
      <c r="K96" s="299"/>
      <c r="L96" s="299"/>
      <c r="M96" s="299"/>
      <c r="N96" s="299"/>
      <c r="O96" s="481">
        <f t="shared" si="48"/>
        <v>0</v>
      </c>
      <c r="P96" s="479">
        <f t="shared" si="49"/>
        <v>112820</v>
      </c>
      <c r="R96" s="473"/>
    </row>
    <row r="97" spans="1:18" ht="184.5" thickTop="1" thickBot="1" x14ac:dyDescent="0.25">
      <c r="A97" s="494" t="s">
        <v>593</v>
      </c>
      <c r="B97" s="494" t="s">
        <v>591</v>
      </c>
      <c r="C97" s="494" t="s">
        <v>223</v>
      </c>
      <c r="D97" s="480" t="s">
        <v>592</v>
      </c>
      <c r="E97" s="291">
        <f t="shared" si="46"/>
        <v>1968927</v>
      </c>
      <c r="F97" s="292">
        <v>1968927</v>
      </c>
      <c r="G97" s="299"/>
      <c r="H97" s="299"/>
      <c r="I97" s="299"/>
      <c r="J97" s="479">
        <f t="shared" si="47"/>
        <v>0</v>
      </c>
      <c r="K97" s="299"/>
      <c r="L97" s="299"/>
      <c r="M97" s="299"/>
      <c r="N97" s="299"/>
      <c r="O97" s="481">
        <f t="shared" si="48"/>
        <v>0</v>
      </c>
      <c r="P97" s="479">
        <f t="shared" si="49"/>
        <v>1968927</v>
      </c>
      <c r="R97" s="473"/>
    </row>
    <row r="98" spans="1:18" ht="93" thickTop="1" thickBot="1" x14ac:dyDescent="0.25">
      <c r="A98" s="494" t="s">
        <v>34</v>
      </c>
      <c r="B98" s="494" t="s">
        <v>224</v>
      </c>
      <c r="C98" s="494" t="s">
        <v>223</v>
      </c>
      <c r="D98" s="480" t="s">
        <v>35</v>
      </c>
      <c r="E98" s="291">
        <f>F98</f>
        <v>1711665</v>
      </c>
      <c r="F98" s="292">
        <f>(1206730+265480+98410+141045)</f>
        <v>1711665</v>
      </c>
      <c r="G98" s="299">
        <v>1206730</v>
      </c>
      <c r="H98" s="299"/>
      <c r="I98" s="299"/>
      <c r="J98" s="479">
        <f t="shared" si="47"/>
        <v>30000</v>
      </c>
      <c r="K98" s="299">
        <f>(30000)</f>
        <v>30000</v>
      </c>
      <c r="L98" s="299"/>
      <c r="M98" s="299"/>
      <c r="N98" s="299"/>
      <c r="O98" s="481">
        <f t="shared" si="48"/>
        <v>30000</v>
      </c>
      <c r="P98" s="479">
        <f t="shared" si="49"/>
        <v>1741665</v>
      </c>
      <c r="R98" s="473" t="b">
        <f>K98='d6'!J77</f>
        <v>1</v>
      </c>
    </row>
    <row r="99" spans="1:18" ht="276" thickTop="1" thickBot="1" x14ac:dyDescent="0.25">
      <c r="A99" s="494" t="s">
        <v>386</v>
      </c>
      <c r="B99" s="494" t="s">
        <v>385</v>
      </c>
      <c r="C99" s="494" t="s">
        <v>384</v>
      </c>
      <c r="D99" s="480" t="s">
        <v>383</v>
      </c>
      <c r="E99" s="291">
        <f>F99</f>
        <v>18000</v>
      </c>
      <c r="F99" s="292">
        <v>18000</v>
      </c>
      <c r="G99" s="299"/>
      <c r="H99" s="299"/>
      <c r="I99" s="299"/>
      <c r="J99" s="479">
        <f t="shared" si="47"/>
        <v>0</v>
      </c>
      <c r="K99" s="299"/>
      <c r="L99" s="299"/>
      <c r="M99" s="299"/>
      <c r="N99" s="299"/>
      <c r="O99" s="481">
        <f t="shared" si="48"/>
        <v>0</v>
      </c>
      <c r="P99" s="479">
        <f t="shared" si="49"/>
        <v>18000</v>
      </c>
      <c r="R99" s="381"/>
    </row>
    <row r="100" spans="1:18" s="567" customFormat="1" ht="93" thickTop="1" thickBot="1" x14ac:dyDescent="0.25">
      <c r="A100" s="571" t="s">
        <v>864</v>
      </c>
      <c r="B100" s="571" t="s">
        <v>225</v>
      </c>
      <c r="C100" s="571" t="s">
        <v>192</v>
      </c>
      <c r="D100" s="571" t="s">
        <v>38</v>
      </c>
      <c r="E100" s="572">
        <f t="shared" ref="E100" si="50">F100</f>
        <v>0</v>
      </c>
      <c r="F100" s="299"/>
      <c r="G100" s="299"/>
      <c r="H100" s="299"/>
      <c r="I100" s="299"/>
      <c r="J100" s="572">
        <f t="shared" si="47"/>
        <v>45144</v>
      </c>
      <c r="K100" s="299">
        <v>45144</v>
      </c>
      <c r="L100" s="299"/>
      <c r="M100" s="299"/>
      <c r="N100" s="299"/>
      <c r="O100" s="570">
        <f t="shared" si="48"/>
        <v>45144</v>
      </c>
      <c r="P100" s="572">
        <f t="shared" si="49"/>
        <v>45144</v>
      </c>
      <c r="Q100" s="574"/>
      <c r="R100" s="473" t="b">
        <f>K100='d6'!J78</f>
        <v>1</v>
      </c>
    </row>
    <row r="101" spans="1:18" s="278" customFormat="1" ht="181.5" thickTop="1" thickBot="1" x14ac:dyDescent="0.25">
      <c r="A101" s="435" t="s">
        <v>180</v>
      </c>
      <c r="B101" s="435"/>
      <c r="C101" s="435"/>
      <c r="D101" s="436" t="s">
        <v>754</v>
      </c>
      <c r="E101" s="437">
        <f>E102</f>
        <v>25054495</v>
      </c>
      <c r="F101" s="438">
        <f t="shared" ref="F101:G101" si="51">F102</f>
        <v>25054495</v>
      </c>
      <c r="G101" s="438">
        <f t="shared" si="51"/>
        <v>5441675</v>
      </c>
      <c r="H101" s="438">
        <f>H102</f>
        <v>74385</v>
      </c>
      <c r="I101" s="438">
        <f t="shared" ref="I101" si="52">I102</f>
        <v>0</v>
      </c>
      <c r="J101" s="437">
        <f>J102</f>
        <v>30792001</v>
      </c>
      <c r="K101" s="438">
        <f>K102</f>
        <v>30602001</v>
      </c>
      <c r="L101" s="438">
        <f>L102</f>
        <v>190000</v>
      </c>
      <c r="M101" s="438">
        <f t="shared" ref="M101" si="53">M102</f>
        <v>0</v>
      </c>
      <c r="N101" s="437">
        <f>N102</f>
        <v>0</v>
      </c>
      <c r="O101" s="437">
        <f>O102</f>
        <v>30602001</v>
      </c>
      <c r="P101" s="438">
        <f>P102</f>
        <v>55846496</v>
      </c>
      <c r="Q101" s="370"/>
      <c r="R101" s="381"/>
    </row>
    <row r="102" spans="1:18" s="278" customFormat="1" ht="181.5" thickTop="1" thickBot="1" x14ac:dyDescent="0.25">
      <c r="A102" s="439" t="s">
        <v>181</v>
      </c>
      <c r="B102" s="439"/>
      <c r="C102" s="439"/>
      <c r="D102" s="440" t="s">
        <v>755</v>
      </c>
      <c r="E102" s="441">
        <f>SUM(E103:E110)</f>
        <v>25054495</v>
      </c>
      <c r="F102" s="441">
        <f>SUM(F103:F110)</f>
        <v>25054495</v>
      </c>
      <c r="G102" s="441">
        <f>SUM(G103:G110)</f>
        <v>5441675</v>
      </c>
      <c r="H102" s="441">
        <f>SUM(H103:H110)</f>
        <v>74385</v>
      </c>
      <c r="I102" s="441">
        <f>SUM(I103:I110)</f>
        <v>0</v>
      </c>
      <c r="J102" s="441">
        <f t="shared" ref="J102:J109" si="54">L102+O102</f>
        <v>30792001</v>
      </c>
      <c r="K102" s="441">
        <f>SUM(K103:K110)</f>
        <v>30602001</v>
      </c>
      <c r="L102" s="441">
        <f>SUM(L103:L110)</f>
        <v>190000</v>
      </c>
      <c r="M102" s="441">
        <f>SUM(M103:M110)</f>
        <v>0</v>
      </c>
      <c r="N102" s="441">
        <f>SUM(N103:N110)</f>
        <v>0</v>
      </c>
      <c r="O102" s="441">
        <f>SUM(O103:O110)</f>
        <v>30602001</v>
      </c>
      <c r="P102" s="442">
        <f>E102+J102</f>
        <v>55846496</v>
      </c>
      <c r="Q102" s="511" t="b">
        <f>P102=P103+P104+P105+P106+P107+P108+P109</f>
        <v>1</v>
      </c>
      <c r="R102" s="511" t="b">
        <f>K102='d6'!J79</f>
        <v>1</v>
      </c>
    </row>
    <row r="103" spans="1:18" s="278" customFormat="1" ht="230.25" thickTop="1" thickBot="1" x14ac:dyDescent="0.25">
      <c r="A103" s="290" t="s">
        <v>472</v>
      </c>
      <c r="B103" s="520" t="s">
        <v>266</v>
      </c>
      <c r="C103" s="290" t="s">
        <v>264</v>
      </c>
      <c r="D103" s="290" t="s">
        <v>265</v>
      </c>
      <c r="E103" s="291">
        <f>F103</f>
        <v>7229195</v>
      </c>
      <c r="F103" s="292">
        <f>(5441675+1197170+253395+210390+14760+39015+5208+25686+4476+3400+34020)</f>
        <v>7229195</v>
      </c>
      <c r="G103" s="292">
        <v>5441675</v>
      </c>
      <c r="H103" s="292">
        <f>(39015+5208+25686+4476)</f>
        <v>74385</v>
      </c>
      <c r="I103" s="292"/>
      <c r="J103" s="293">
        <f t="shared" si="54"/>
        <v>36000</v>
      </c>
      <c r="K103" s="292">
        <v>36000</v>
      </c>
      <c r="L103" s="294"/>
      <c r="M103" s="294"/>
      <c r="N103" s="294"/>
      <c r="O103" s="295">
        <f t="shared" ref="O103:O108" si="55">K103</f>
        <v>36000</v>
      </c>
      <c r="P103" s="293">
        <f t="shared" ref="P103:P106" si="56">+J103+E103</f>
        <v>7265195</v>
      </c>
      <c r="Q103" s="370"/>
      <c r="R103" s="511" t="b">
        <f>K103='d6'!J81</f>
        <v>1</v>
      </c>
    </row>
    <row r="104" spans="1:18" s="278" customFormat="1" ht="138.75" thickTop="1" thickBot="1" x14ac:dyDescent="0.25">
      <c r="A104" s="290" t="s">
        <v>310</v>
      </c>
      <c r="B104" s="520" t="s">
        <v>311</v>
      </c>
      <c r="C104" s="290" t="s">
        <v>384</v>
      </c>
      <c r="D104" s="290" t="s">
        <v>312</v>
      </c>
      <c r="E104" s="291">
        <f t="shared" ref="E104:E109" si="57">F104</f>
        <v>2675300</v>
      </c>
      <c r="F104" s="292">
        <v>2675300</v>
      </c>
      <c r="G104" s="292"/>
      <c r="H104" s="292"/>
      <c r="I104" s="292"/>
      <c r="J104" s="293">
        <f t="shared" si="54"/>
        <v>10345240</v>
      </c>
      <c r="K104" s="292">
        <v>10345240</v>
      </c>
      <c r="L104" s="294"/>
      <c r="M104" s="294"/>
      <c r="N104" s="294"/>
      <c r="O104" s="295">
        <f t="shared" si="55"/>
        <v>10345240</v>
      </c>
      <c r="P104" s="293">
        <f t="shared" si="56"/>
        <v>13020540</v>
      </c>
      <c r="Q104" s="370"/>
      <c r="R104" s="381"/>
    </row>
    <row r="105" spans="1:18" s="278" customFormat="1" ht="138.75" thickTop="1" thickBot="1" x14ac:dyDescent="0.25">
      <c r="A105" s="290" t="s">
        <v>332</v>
      </c>
      <c r="B105" s="520" t="s">
        <v>333</v>
      </c>
      <c r="C105" s="290" t="s">
        <v>313</v>
      </c>
      <c r="D105" s="290" t="s">
        <v>334</v>
      </c>
      <c r="E105" s="291">
        <f t="shared" si="57"/>
        <v>0</v>
      </c>
      <c r="F105" s="292"/>
      <c r="G105" s="292"/>
      <c r="H105" s="292"/>
      <c r="I105" s="292"/>
      <c r="J105" s="293">
        <f t="shared" si="54"/>
        <v>5000000</v>
      </c>
      <c r="K105" s="292">
        <v>5000000</v>
      </c>
      <c r="L105" s="294"/>
      <c r="M105" s="294"/>
      <c r="N105" s="294"/>
      <c r="O105" s="295">
        <f t="shared" si="55"/>
        <v>5000000</v>
      </c>
      <c r="P105" s="293">
        <f t="shared" si="56"/>
        <v>5000000</v>
      </c>
      <c r="Q105" s="370"/>
      <c r="R105" s="381"/>
    </row>
    <row r="106" spans="1:18" s="278" customFormat="1" ht="184.5" thickTop="1" thickBot="1" x14ac:dyDescent="0.25">
      <c r="A106" s="290" t="s">
        <v>314</v>
      </c>
      <c r="B106" s="520" t="s">
        <v>315</v>
      </c>
      <c r="C106" s="290" t="s">
        <v>313</v>
      </c>
      <c r="D106" s="290" t="s">
        <v>534</v>
      </c>
      <c r="E106" s="291">
        <f t="shared" si="57"/>
        <v>550000</v>
      </c>
      <c r="F106" s="292">
        <v>550000</v>
      </c>
      <c r="G106" s="292"/>
      <c r="H106" s="292"/>
      <c r="I106" s="292"/>
      <c r="J106" s="293">
        <f t="shared" si="54"/>
        <v>13120761</v>
      </c>
      <c r="K106" s="292">
        <f>13120761</f>
        <v>13120761</v>
      </c>
      <c r="L106" s="294"/>
      <c r="M106" s="294"/>
      <c r="N106" s="294"/>
      <c r="O106" s="295">
        <f t="shared" si="55"/>
        <v>13120761</v>
      </c>
      <c r="P106" s="293">
        <f t="shared" si="56"/>
        <v>13670761</v>
      </c>
      <c r="Q106" s="370"/>
      <c r="R106" s="381"/>
    </row>
    <row r="107" spans="1:18" s="278" customFormat="1" ht="93" thickTop="1" thickBot="1" x14ac:dyDescent="0.25">
      <c r="A107" s="290" t="s">
        <v>318</v>
      </c>
      <c r="B107" s="520" t="s">
        <v>319</v>
      </c>
      <c r="C107" s="290" t="s">
        <v>313</v>
      </c>
      <c r="D107" s="290" t="s">
        <v>320</v>
      </c>
      <c r="E107" s="291">
        <f t="shared" si="57"/>
        <v>14100000</v>
      </c>
      <c r="F107" s="292">
        <v>14100000</v>
      </c>
      <c r="G107" s="292"/>
      <c r="H107" s="292"/>
      <c r="I107" s="292"/>
      <c r="J107" s="293">
        <f t="shared" si="54"/>
        <v>0</v>
      </c>
      <c r="K107" s="296"/>
      <c r="L107" s="292"/>
      <c r="M107" s="292"/>
      <c r="N107" s="292"/>
      <c r="O107" s="295">
        <f t="shared" si="55"/>
        <v>0</v>
      </c>
      <c r="P107" s="293">
        <f t="shared" ref="P107" si="58">E107+J107</f>
        <v>14100000</v>
      </c>
      <c r="Q107" s="370"/>
      <c r="R107" s="381"/>
    </row>
    <row r="108" spans="1:18" s="278" customFormat="1" ht="48" thickTop="1" thickBot="1" x14ac:dyDescent="0.25">
      <c r="A108" s="290" t="s">
        <v>327</v>
      </c>
      <c r="B108" s="520" t="s">
        <v>242</v>
      </c>
      <c r="C108" s="290" t="s">
        <v>243</v>
      </c>
      <c r="D108" s="290" t="s">
        <v>45</v>
      </c>
      <c r="E108" s="291">
        <f t="shared" si="57"/>
        <v>500000</v>
      </c>
      <c r="F108" s="292">
        <v>500000</v>
      </c>
      <c r="G108" s="292"/>
      <c r="H108" s="292"/>
      <c r="I108" s="292"/>
      <c r="J108" s="293">
        <f t="shared" si="54"/>
        <v>2100000</v>
      </c>
      <c r="K108" s="296">
        <v>2100000</v>
      </c>
      <c r="L108" s="292"/>
      <c r="M108" s="292"/>
      <c r="N108" s="292"/>
      <c r="O108" s="295">
        <f t="shared" si="55"/>
        <v>2100000</v>
      </c>
      <c r="P108" s="293">
        <f>E108+J108</f>
        <v>2600000</v>
      </c>
      <c r="Q108" s="370"/>
      <c r="R108" s="381"/>
    </row>
    <row r="109" spans="1:18" s="278" customFormat="1" ht="409.6" thickTop="1" thickBot="1" x14ac:dyDescent="0.7">
      <c r="A109" s="625" t="s">
        <v>475</v>
      </c>
      <c r="B109" s="625" t="s">
        <v>381</v>
      </c>
      <c r="C109" s="625" t="s">
        <v>192</v>
      </c>
      <c r="D109" s="346" t="s">
        <v>500</v>
      </c>
      <c r="E109" s="626">
        <f t="shared" si="57"/>
        <v>0</v>
      </c>
      <c r="F109" s="627"/>
      <c r="G109" s="627"/>
      <c r="H109" s="627"/>
      <c r="I109" s="627"/>
      <c r="J109" s="626">
        <f t="shared" si="54"/>
        <v>190000</v>
      </c>
      <c r="K109" s="627"/>
      <c r="L109" s="627">
        <v>190000</v>
      </c>
      <c r="M109" s="627"/>
      <c r="N109" s="627"/>
      <c r="O109" s="619">
        <f>K109+0</f>
        <v>0</v>
      </c>
      <c r="P109" s="620">
        <f>E109+J109</f>
        <v>190000</v>
      </c>
      <c r="Q109" s="370"/>
      <c r="R109" s="381"/>
    </row>
    <row r="110" spans="1:18" s="278" customFormat="1" ht="184.5" thickTop="1" thickBot="1" x14ac:dyDescent="0.25">
      <c r="A110" s="625"/>
      <c r="B110" s="625"/>
      <c r="C110" s="625"/>
      <c r="D110" s="347" t="s">
        <v>501</v>
      </c>
      <c r="E110" s="626"/>
      <c r="F110" s="627"/>
      <c r="G110" s="627"/>
      <c r="H110" s="627"/>
      <c r="I110" s="627"/>
      <c r="J110" s="626"/>
      <c r="K110" s="627"/>
      <c r="L110" s="627"/>
      <c r="M110" s="627"/>
      <c r="N110" s="627"/>
      <c r="O110" s="619"/>
      <c r="P110" s="620"/>
      <c r="Q110" s="370"/>
      <c r="R110" s="381"/>
    </row>
    <row r="111" spans="1:18" s="278" customFormat="1" ht="181.5" thickTop="1" thickBot="1" x14ac:dyDescent="0.25">
      <c r="A111" s="435" t="s">
        <v>703</v>
      </c>
      <c r="B111" s="435"/>
      <c r="C111" s="435"/>
      <c r="D111" s="436" t="s">
        <v>752</v>
      </c>
      <c r="E111" s="437">
        <f>E112</f>
        <v>244643439</v>
      </c>
      <c r="F111" s="438">
        <f t="shared" ref="F111:G111" si="59">F112</f>
        <v>244643439</v>
      </c>
      <c r="G111" s="438">
        <f t="shared" si="59"/>
        <v>8782274</v>
      </c>
      <c r="H111" s="438">
        <f>H112</f>
        <v>154170</v>
      </c>
      <c r="I111" s="438">
        <f t="shared" ref="I111" si="60">I112</f>
        <v>0</v>
      </c>
      <c r="J111" s="437">
        <f>J112</f>
        <v>71436991.579999998</v>
      </c>
      <c r="K111" s="438">
        <f>K112</f>
        <v>71246991.579999998</v>
      </c>
      <c r="L111" s="438">
        <f>L112</f>
        <v>190000</v>
      </c>
      <c r="M111" s="438">
        <f t="shared" ref="M111" si="61">M112</f>
        <v>0</v>
      </c>
      <c r="N111" s="437">
        <f>N112</f>
        <v>0</v>
      </c>
      <c r="O111" s="437">
        <f>O112</f>
        <v>71246991.579999998</v>
      </c>
      <c r="P111" s="438">
        <f>P112</f>
        <v>316080430.57999998</v>
      </c>
      <c r="Q111" s="370"/>
      <c r="R111" s="381"/>
    </row>
    <row r="112" spans="1:18" s="278" customFormat="1" ht="181.5" thickTop="1" thickBot="1" x14ac:dyDescent="0.25">
      <c r="A112" s="439" t="s">
        <v>704</v>
      </c>
      <c r="B112" s="439"/>
      <c r="C112" s="439"/>
      <c r="D112" s="440" t="s">
        <v>753</v>
      </c>
      <c r="E112" s="441">
        <f>SUM(E113:E127)</f>
        <v>244643439</v>
      </c>
      <c r="F112" s="441">
        <f>SUM(F113:F127)</f>
        <v>244643439</v>
      </c>
      <c r="G112" s="441">
        <f>SUM(G113:G127)</f>
        <v>8782274</v>
      </c>
      <c r="H112" s="441">
        <f>SUM(H113:H127)</f>
        <v>154170</v>
      </c>
      <c r="I112" s="441">
        <f>SUM(I113:I127)</f>
        <v>0</v>
      </c>
      <c r="J112" s="441">
        <f t="shared" ref="J112:J123" si="62">L112+O112</f>
        <v>71436991.579999998</v>
      </c>
      <c r="K112" s="441">
        <f>SUM(K113:K127)</f>
        <v>71246991.579999998</v>
      </c>
      <c r="L112" s="441">
        <f>SUM(L113:L127)</f>
        <v>190000</v>
      </c>
      <c r="M112" s="441">
        <f>SUM(M113:M127)</f>
        <v>0</v>
      </c>
      <c r="N112" s="441">
        <f>SUM(N113:N127)</f>
        <v>0</v>
      </c>
      <c r="O112" s="441">
        <f>SUM(O113:O127)</f>
        <v>71246991.579999998</v>
      </c>
      <c r="P112" s="442">
        <f>E112+J112</f>
        <v>316080430.57999998</v>
      </c>
      <c r="Q112" s="189" t="b">
        <f>P112=P113+P114+P115+P116+P117+P118+P119+P120+P121+P122+P123+P125+P126+P127</f>
        <v>1</v>
      </c>
      <c r="R112" s="189" t="b">
        <f>K112='d6'!J91</f>
        <v>1</v>
      </c>
    </row>
    <row r="113" spans="1:18" s="278" customFormat="1" ht="230.25" thickTop="1" thickBot="1" x14ac:dyDescent="0.25">
      <c r="A113" s="290" t="s">
        <v>705</v>
      </c>
      <c r="B113" s="520" t="s">
        <v>266</v>
      </c>
      <c r="C113" s="290" t="s">
        <v>264</v>
      </c>
      <c r="D113" s="290" t="s">
        <v>265</v>
      </c>
      <c r="E113" s="291">
        <f>F113</f>
        <v>8242280</v>
      </c>
      <c r="F113" s="292">
        <f>(6393415+1406550+212730+120360+12160+22680+39015+5208+25686+4476)</f>
        <v>8242280</v>
      </c>
      <c r="G113" s="292">
        <v>6393415</v>
      </c>
      <c r="H113" s="292">
        <f>(39015+5208+25686+4476)</f>
        <v>74385</v>
      </c>
      <c r="I113" s="292"/>
      <c r="J113" s="293">
        <f t="shared" si="62"/>
        <v>144000</v>
      </c>
      <c r="K113" s="292">
        <v>144000</v>
      </c>
      <c r="L113" s="294"/>
      <c r="M113" s="294"/>
      <c r="N113" s="294"/>
      <c r="O113" s="295">
        <f t="shared" ref="O113:O122" si="63">K113</f>
        <v>144000</v>
      </c>
      <c r="P113" s="293">
        <f t="shared" ref="P113:P116" si="64">+J113+E113</f>
        <v>8386280</v>
      </c>
      <c r="Q113" s="370"/>
      <c r="R113" s="189" t="b">
        <f>K113='d6'!J92</f>
        <v>1</v>
      </c>
    </row>
    <row r="114" spans="1:18" s="278" customFormat="1" ht="93" thickTop="1" thickBot="1" x14ac:dyDescent="0.25">
      <c r="A114" s="290" t="s">
        <v>706</v>
      </c>
      <c r="B114" s="520" t="s">
        <v>47</v>
      </c>
      <c r="C114" s="290" t="s">
        <v>46</v>
      </c>
      <c r="D114" s="290" t="s">
        <v>278</v>
      </c>
      <c r="E114" s="291">
        <f>F114</f>
        <v>100000</v>
      </c>
      <c r="F114" s="292">
        <v>100000</v>
      </c>
      <c r="G114" s="292"/>
      <c r="H114" s="292"/>
      <c r="I114" s="292"/>
      <c r="J114" s="293">
        <f t="shared" si="62"/>
        <v>0</v>
      </c>
      <c r="K114" s="292"/>
      <c r="L114" s="294"/>
      <c r="M114" s="294"/>
      <c r="N114" s="294"/>
      <c r="O114" s="295">
        <f t="shared" si="63"/>
        <v>0</v>
      </c>
      <c r="P114" s="293">
        <f t="shared" si="64"/>
        <v>100000</v>
      </c>
      <c r="Q114" s="370"/>
      <c r="R114" s="381"/>
    </row>
    <row r="115" spans="1:18" s="278" customFormat="1" ht="138.75" thickTop="1" thickBot="1" x14ac:dyDescent="0.25">
      <c r="A115" s="290" t="s">
        <v>707</v>
      </c>
      <c r="B115" s="520" t="s">
        <v>426</v>
      </c>
      <c r="C115" s="290" t="s">
        <v>313</v>
      </c>
      <c r="D115" s="290" t="s">
        <v>427</v>
      </c>
      <c r="E115" s="291">
        <f t="shared" ref="E115:E122" si="65">F115</f>
        <v>28000000</v>
      </c>
      <c r="F115" s="292">
        <v>28000000</v>
      </c>
      <c r="G115" s="292"/>
      <c r="H115" s="292"/>
      <c r="I115" s="292"/>
      <c r="J115" s="293">
        <f t="shared" si="62"/>
        <v>0</v>
      </c>
      <c r="K115" s="292"/>
      <c r="L115" s="294"/>
      <c r="M115" s="294"/>
      <c r="N115" s="294"/>
      <c r="O115" s="295">
        <f t="shared" si="63"/>
        <v>0</v>
      </c>
      <c r="P115" s="293">
        <f t="shared" si="64"/>
        <v>28000000</v>
      </c>
      <c r="Q115" s="370"/>
      <c r="R115" s="381"/>
    </row>
    <row r="116" spans="1:18" s="278" customFormat="1" ht="138.75" thickTop="1" thickBot="1" x14ac:dyDescent="0.25">
      <c r="A116" s="290" t="s">
        <v>708</v>
      </c>
      <c r="B116" s="520" t="s">
        <v>316</v>
      </c>
      <c r="C116" s="290" t="s">
        <v>313</v>
      </c>
      <c r="D116" s="290" t="s">
        <v>317</v>
      </c>
      <c r="E116" s="291">
        <f t="shared" si="65"/>
        <v>3751000</v>
      </c>
      <c r="F116" s="292">
        <v>3751000</v>
      </c>
      <c r="G116" s="292"/>
      <c r="H116" s="292"/>
      <c r="I116" s="292"/>
      <c r="J116" s="293">
        <f t="shared" si="62"/>
        <v>0</v>
      </c>
      <c r="K116" s="292"/>
      <c r="L116" s="294"/>
      <c r="M116" s="294"/>
      <c r="N116" s="294"/>
      <c r="O116" s="295">
        <f t="shared" si="63"/>
        <v>0</v>
      </c>
      <c r="P116" s="293">
        <f t="shared" si="64"/>
        <v>3751000</v>
      </c>
      <c r="Q116" s="370"/>
      <c r="R116" s="381"/>
    </row>
    <row r="117" spans="1:18" s="278" customFormat="1" ht="230.25" thickTop="1" thickBot="1" x14ac:dyDescent="0.25">
      <c r="A117" s="290" t="s">
        <v>709</v>
      </c>
      <c r="B117" s="520" t="s">
        <v>328</v>
      </c>
      <c r="C117" s="290" t="s">
        <v>313</v>
      </c>
      <c r="D117" s="290" t="s">
        <v>329</v>
      </c>
      <c r="E117" s="291">
        <f t="shared" si="65"/>
        <v>3430000</v>
      </c>
      <c r="F117" s="292">
        <f>700000+2730000</f>
        <v>3430000</v>
      </c>
      <c r="G117" s="292"/>
      <c r="H117" s="292"/>
      <c r="I117" s="292"/>
      <c r="J117" s="293">
        <f t="shared" si="62"/>
        <v>0</v>
      </c>
      <c r="K117" s="296"/>
      <c r="L117" s="292"/>
      <c r="M117" s="292"/>
      <c r="N117" s="292"/>
      <c r="O117" s="295">
        <f t="shared" si="63"/>
        <v>0</v>
      </c>
      <c r="P117" s="293">
        <f t="shared" ref="P117:P119" si="66">E117+J117</f>
        <v>3430000</v>
      </c>
      <c r="Q117" s="370"/>
      <c r="R117" s="381"/>
    </row>
    <row r="118" spans="1:18" s="278" customFormat="1" ht="93" thickTop="1" thickBot="1" x14ac:dyDescent="0.25">
      <c r="A118" s="290" t="s">
        <v>710</v>
      </c>
      <c r="B118" s="520" t="s">
        <v>319</v>
      </c>
      <c r="C118" s="290" t="s">
        <v>313</v>
      </c>
      <c r="D118" s="290" t="s">
        <v>320</v>
      </c>
      <c r="E118" s="291">
        <f t="shared" si="65"/>
        <v>149686023</v>
      </c>
      <c r="F118" s="292">
        <v>149686023</v>
      </c>
      <c r="G118" s="292"/>
      <c r="H118" s="292">
        <v>50000</v>
      </c>
      <c r="I118" s="292"/>
      <c r="J118" s="293">
        <f t="shared" si="62"/>
        <v>15915164</v>
      </c>
      <c r="K118" s="296">
        <v>15915164</v>
      </c>
      <c r="L118" s="292"/>
      <c r="M118" s="292"/>
      <c r="N118" s="292"/>
      <c r="O118" s="295">
        <f t="shared" si="63"/>
        <v>15915164</v>
      </c>
      <c r="P118" s="293">
        <f t="shared" si="66"/>
        <v>165601187</v>
      </c>
      <c r="Q118" s="370"/>
      <c r="R118" s="381"/>
    </row>
    <row r="119" spans="1:18" s="278" customFormat="1" ht="99.75" thickTop="1" thickBot="1" x14ac:dyDescent="0.25">
      <c r="A119" s="290" t="s">
        <v>711</v>
      </c>
      <c r="B119" s="520" t="s">
        <v>336</v>
      </c>
      <c r="C119" s="290" t="s">
        <v>335</v>
      </c>
      <c r="D119" s="290" t="s">
        <v>712</v>
      </c>
      <c r="E119" s="291">
        <f t="shared" si="65"/>
        <v>0</v>
      </c>
      <c r="F119" s="292"/>
      <c r="G119" s="292"/>
      <c r="H119" s="292"/>
      <c r="I119" s="292"/>
      <c r="J119" s="293">
        <f>L119+O119</f>
        <v>5200000</v>
      </c>
      <c r="K119" s="296">
        <v>5200000</v>
      </c>
      <c r="L119" s="292"/>
      <c r="M119" s="292"/>
      <c r="N119" s="292"/>
      <c r="O119" s="295">
        <f>K119</f>
        <v>5200000</v>
      </c>
      <c r="P119" s="293">
        <f t="shared" si="66"/>
        <v>5200000</v>
      </c>
      <c r="Q119" s="370"/>
      <c r="R119" s="381"/>
    </row>
    <row r="120" spans="1:18" s="278" customFormat="1" ht="230.25" thickTop="1" thickBot="1" x14ac:dyDescent="0.25">
      <c r="A120" s="290" t="s">
        <v>713</v>
      </c>
      <c r="B120" s="520" t="s">
        <v>324</v>
      </c>
      <c r="C120" s="290" t="s">
        <v>326</v>
      </c>
      <c r="D120" s="290" t="s">
        <v>325</v>
      </c>
      <c r="E120" s="291">
        <f t="shared" si="65"/>
        <v>48273558</v>
      </c>
      <c r="F120" s="292">
        <v>48273558</v>
      </c>
      <c r="G120" s="292"/>
      <c r="H120" s="292"/>
      <c r="I120" s="292"/>
      <c r="J120" s="293">
        <f t="shared" si="62"/>
        <v>16932021</v>
      </c>
      <c r="K120" s="292">
        <v>16932021</v>
      </c>
      <c r="L120" s="294"/>
      <c r="M120" s="294"/>
      <c r="N120" s="294"/>
      <c r="O120" s="295">
        <f>K120</f>
        <v>16932021</v>
      </c>
      <c r="P120" s="293">
        <f>+J120+E120</f>
        <v>65205579</v>
      </c>
      <c r="Q120" s="370"/>
      <c r="R120" s="381"/>
    </row>
    <row r="121" spans="1:18" s="278" customFormat="1" ht="48" thickTop="1" thickBot="1" x14ac:dyDescent="0.25">
      <c r="A121" s="290" t="s">
        <v>714</v>
      </c>
      <c r="B121" s="520" t="s">
        <v>242</v>
      </c>
      <c r="C121" s="290" t="s">
        <v>243</v>
      </c>
      <c r="D121" s="290" t="s">
        <v>45</v>
      </c>
      <c r="E121" s="291">
        <f t="shared" si="65"/>
        <v>0</v>
      </c>
      <c r="F121" s="292"/>
      <c r="G121" s="292"/>
      <c r="H121" s="292"/>
      <c r="I121" s="292"/>
      <c r="J121" s="293">
        <f t="shared" si="62"/>
        <v>18508795.579999998</v>
      </c>
      <c r="K121" s="296">
        <v>18508795.579999998</v>
      </c>
      <c r="L121" s="292"/>
      <c r="M121" s="292"/>
      <c r="N121" s="292"/>
      <c r="O121" s="295">
        <f t="shared" si="63"/>
        <v>18508795.579999998</v>
      </c>
      <c r="P121" s="293">
        <f>E121+J121</f>
        <v>18508795.579999998</v>
      </c>
      <c r="Q121" s="370"/>
      <c r="R121" s="381"/>
    </row>
    <row r="122" spans="1:18" s="278" customFormat="1" ht="93" thickTop="1" thickBot="1" x14ac:dyDescent="0.25">
      <c r="A122" s="290" t="s">
        <v>715</v>
      </c>
      <c r="B122" s="520" t="s">
        <v>225</v>
      </c>
      <c r="C122" s="290" t="s">
        <v>192</v>
      </c>
      <c r="D122" s="290" t="s">
        <v>38</v>
      </c>
      <c r="E122" s="291">
        <f t="shared" si="65"/>
        <v>0</v>
      </c>
      <c r="F122" s="292"/>
      <c r="G122" s="292"/>
      <c r="H122" s="292"/>
      <c r="I122" s="292"/>
      <c r="J122" s="293">
        <f t="shared" si="62"/>
        <v>14547011</v>
      </c>
      <c r="K122" s="296">
        <v>14547011</v>
      </c>
      <c r="L122" s="292"/>
      <c r="M122" s="292"/>
      <c r="N122" s="292"/>
      <c r="O122" s="295">
        <f t="shared" si="63"/>
        <v>14547011</v>
      </c>
      <c r="P122" s="293">
        <f>E122+J122</f>
        <v>14547011</v>
      </c>
      <c r="Q122" s="370"/>
      <c r="R122" s="381"/>
    </row>
    <row r="123" spans="1:18" s="278" customFormat="1" ht="409.6" thickTop="1" thickBot="1" x14ac:dyDescent="0.7">
      <c r="A123" s="625" t="s">
        <v>716</v>
      </c>
      <c r="B123" s="625" t="s">
        <v>381</v>
      </c>
      <c r="C123" s="625" t="s">
        <v>192</v>
      </c>
      <c r="D123" s="346" t="s">
        <v>500</v>
      </c>
      <c r="E123" s="626"/>
      <c r="F123" s="627"/>
      <c r="G123" s="627"/>
      <c r="H123" s="627"/>
      <c r="I123" s="627"/>
      <c r="J123" s="626">
        <f t="shared" si="62"/>
        <v>190000</v>
      </c>
      <c r="K123" s="627"/>
      <c r="L123" s="627">
        <v>190000</v>
      </c>
      <c r="M123" s="627"/>
      <c r="N123" s="627"/>
      <c r="O123" s="619">
        <f>K123+0</f>
        <v>0</v>
      </c>
      <c r="P123" s="620">
        <f>E123+J123</f>
        <v>190000</v>
      </c>
      <c r="Q123" s="370"/>
      <c r="R123" s="381"/>
    </row>
    <row r="124" spans="1:18" s="278" customFormat="1" ht="184.5" thickTop="1" thickBot="1" x14ac:dyDescent="0.25">
      <c r="A124" s="625"/>
      <c r="B124" s="625"/>
      <c r="C124" s="625"/>
      <c r="D124" s="347" t="s">
        <v>501</v>
      </c>
      <c r="E124" s="626"/>
      <c r="F124" s="627"/>
      <c r="G124" s="627"/>
      <c r="H124" s="627"/>
      <c r="I124" s="627"/>
      <c r="J124" s="626"/>
      <c r="K124" s="627"/>
      <c r="L124" s="627"/>
      <c r="M124" s="627"/>
      <c r="N124" s="627"/>
      <c r="O124" s="619"/>
      <c r="P124" s="620"/>
      <c r="Q124" s="370"/>
      <c r="R124" s="381"/>
    </row>
    <row r="125" spans="1:18" s="278" customFormat="1" ht="184.5" thickTop="1" thickBot="1" x14ac:dyDescent="0.25">
      <c r="A125" s="290" t="s">
        <v>717</v>
      </c>
      <c r="B125" s="520" t="s">
        <v>602</v>
      </c>
      <c r="C125" s="290" t="s">
        <v>281</v>
      </c>
      <c r="D125" s="290" t="s">
        <v>603</v>
      </c>
      <c r="E125" s="291">
        <f>F125</f>
        <v>108400</v>
      </c>
      <c r="F125" s="292">
        <v>108400</v>
      </c>
      <c r="G125" s="292"/>
      <c r="H125" s="292"/>
      <c r="I125" s="292"/>
      <c r="J125" s="484">
        <f>L125+O125</f>
        <v>0</v>
      </c>
      <c r="K125" s="296"/>
      <c r="L125" s="292"/>
      <c r="M125" s="292"/>
      <c r="N125" s="292"/>
      <c r="O125" s="485">
        <f>K125</f>
        <v>0</v>
      </c>
      <c r="P125" s="484">
        <f>E125+J125</f>
        <v>108400</v>
      </c>
      <c r="Q125" s="370"/>
      <c r="R125" s="381"/>
    </row>
    <row r="126" spans="1:18" s="278" customFormat="1" ht="93" thickTop="1" thickBot="1" x14ac:dyDescent="0.25">
      <c r="A126" s="290" t="s">
        <v>718</v>
      </c>
      <c r="B126" s="520" t="s">
        <v>280</v>
      </c>
      <c r="C126" s="290" t="s">
        <v>281</v>
      </c>
      <c r="D126" s="290" t="s">
        <v>279</v>
      </c>
      <c r="E126" s="291">
        <f t="shared" ref="E126:E127" si="67">F126</f>
        <v>1833178</v>
      </c>
      <c r="F126" s="292">
        <v>1833178</v>
      </c>
      <c r="G126" s="292">
        <v>1494859</v>
      </c>
      <c r="H126" s="292">
        <v>20785</v>
      </c>
      <c r="I126" s="292"/>
      <c r="J126" s="293">
        <f>L126+O126</f>
        <v>0</v>
      </c>
      <c r="K126" s="296"/>
      <c r="L126" s="292"/>
      <c r="M126" s="292"/>
      <c r="N126" s="292"/>
      <c r="O126" s="295">
        <f>K126</f>
        <v>0</v>
      </c>
      <c r="P126" s="293">
        <f>E126+J126</f>
        <v>1833178</v>
      </c>
      <c r="Q126" s="370"/>
      <c r="R126" s="381"/>
    </row>
    <row r="127" spans="1:18" s="278" customFormat="1" ht="93" thickTop="1" thickBot="1" x14ac:dyDescent="0.25">
      <c r="A127" s="290" t="s">
        <v>719</v>
      </c>
      <c r="B127" s="520" t="s">
        <v>720</v>
      </c>
      <c r="C127" s="290" t="s">
        <v>281</v>
      </c>
      <c r="D127" s="290" t="s">
        <v>721</v>
      </c>
      <c r="E127" s="291">
        <f t="shared" si="67"/>
        <v>1219000</v>
      </c>
      <c r="F127" s="292">
        <v>1219000</v>
      </c>
      <c r="G127" s="292">
        <f>354000+540000</f>
        <v>894000</v>
      </c>
      <c r="H127" s="292">
        <f>6000+3000</f>
        <v>9000</v>
      </c>
      <c r="I127" s="292"/>
      <c r="J127" s="484">
        <f>L127+O127</f>
        <v>0</v>
      </c>
      <c r="K127" s="296"/>
      <c r="L127" s="292"/>
      <c r="M127" s="292"/>
      <c r="N127" s="292"/>
      <c r="O127" s="485">
        <f>K127</f>
        <v>0</v>
      </c>
      <c r="P127" s="484">
        <f>E127+J127</f>
        <v>1219000</v>
      </c>
      <c r="Q127" s="370"/>
      <c r="R127" s="381"/>
    </row>
    <row r="128" spans="1:18" ht="316.5" thickTop="1" thickBot="1" x14ac:dyDescent="0.25">
      <c r="A128" s="435" t="s">
        <v>27</v>
      </c>
      <c r="B128" s="435"/>
      <c r="C128" s="435"/>
      <c r="D128" s="436" t="s">
        <v>423</v>
      </c>
      <c r="E128" s="437">
        <f>E129</f>
        <v>3356515</v>
      </c>
      <c r="F128" s="438">
        <f t="shared" ref="F128:G128" si="68">F129</f>
        <v>3356515</v>
      </c>
      <c r="G128" s="438">
        <f t="shared" si="68"/>
        <v>2367850</v>
      </c>
      <c r="H128" s="438">
        <f>H129</f>
        <v>79370</v>
      </c>
      <c r="I128" s="438">
        <f t="shared" ref="I128" si="69">I129</f>
        <v>0</v>
      </c>
      <c r="J128" s="437">
        <f>J129</f>
        <v>49920675</v>
      </c>
      <c r="K128" s="438">
        <f>K129</f>
        <v>49920675</v>
      </c>
      <c r="L128" s="438">
        <f>L129</f>
        <v>0</v>
      </c>
      <c r="M128" s="438">
        <f t="shared" ref="M128" si="70">M129</f>
        <v>0</v>
      </c>
      <c r="N128" s="437">
        <f>N129</f>
        <v>0</v>
      </c>
      <c r="O128" s="437">
        <f>O129</f>
        <v>49920675</v>
      </c>
      <c r="P128" s="438">
        <f t="shared" ref="P128" si="71">P129</f>
        <v>53277190</v>
      </c>
    </row>
    <row r="129" spans="1:18" ht="271.5" thickTop="1" thickBot="1" x14ac:dyDescent="0.25">
      <c r="A129" s="439" t="s">
        <v>28</v>
      </c>
      <c r="B129" s="439"/>
      <c r="C129" s="439"/>
      <c r="D129" s="440" t="s">
        <v>422</v>
      </c>
      <c r="E129" s="441">
        <f>SUM(E130:E136)</f>
        <v>3356515</v>
      </c>
      <c r="F129" s="441">
        <f>SUM(F130:F136)</f>
        <v>3356515</v>
      </c>
      <c r="G129" s="441">
        <f>SUM(G130:G136)</f>
        <v>2367850</v>
      </c>
      <c r="H129" s="441">
        <f>SUM(H130:H136)</f>
        <v>79370</v>
      </c>
      <c r="I129" s="441">
        <f>SUM(I130:I136)</f>
        <v>0</v>
      </c>
      <c r="J129" s="441">
        <f>L129+O129</f>
        <v>49920675</v>
      </c>
      <c r="K129" s="441">
        <f>SUM(K130:K136)</f>
        <v>49920675</v>
      </c>
      <c r="L129" s="441">
        <f>SUM(L130:L136)</f>
        <v>0</v>
      </c>
      <c r="M129" s="441">
        <f>SUM(M130:M136)</f>
        <v>0</v>
      </c>
      <c r="N129" s="441">
        <f>SUM(N130:N136)</f>
        <v>0</v>
      </c>
      <c r="O129" s="441">
        <f>SUM(O130:O136)</f>
        <v>49920675</v>
      </c>
      <c r="P129" s="442">
        <f t="shared" ref="P129:P136" si="72">E129+J129</f>
        <v>53277190</v>
      </c>
      <c r="Q129" s="189" t="b">
        <f>P129=P132+P134+P135+P130+P136+P131+P133</f>
        <v>1</v>
      </c>
      <c r="R129" s="473" t="b">
        <f>K129='d6'!J129</f>
        <v>1</v>
      </c>
    </row>
    <row r="130" spans="1:18" ht="230.25" thickTop="1" thickBot="1" x14ac:dyDescent="0.25">
      <c r="A130" s="297" t="s">
        <v>468</v>
      </c>
      <c r="B130" s="521" t="s">
        <v>266</v>
      </c>
      <c r="C130" s="297" t="s">
        <v>264</v>
      </c>
      <c r="D130" s="297" t="s">
        <v>265</v>
      </c>
      <c r="E130" s="298">
        <f>F130</f>
        <v>3356515</v>
      </c>
      <c r="F130" s="299">
        <f>(2367850+520950+61660+322000+2000+1570+24500+53300+1610+1075)</f>
        <v>3356515</v>
      </c>
      <c r="G130" s="299">
        <v>2367850</v>
      </c>
      <c r="H130" s="299">
        <f>(1570+24500+53300)</f>
        <v>79370</v>
      </c>
      <c r="I130" s="299"/>
      <c r="J130" s="298">
        <f t="shared" ref="J130:J136" si="73">L130+O130</f>
        <v>0</v>
      </c>
      <c r="K130" s="299"/>
      <c r="L130" s="299"/>
      <c r="M130" s="299"/>
      <c r="N130" s="299"/>
      <c r="O130" s="300">
        <f>K130</f>
        <v>0</v>
      </c>
      <c r="P130" s="298">
        <f t="shared" si="72"/>
        <v>3356515</v>
      </c>
      <c r="Q130" s="380"/>
      <c r="R130" s="381"/>
    </row>
    <row r="131" spans="1:18" ht="321.75" thickTop="1" thickBot="1" x14ac:dyDescent="0.25">
      <c r="A131" s="297" t="s">
        <v>488</v>
      </c>
      <c r="B131" s="521" t="s">
        <v>490</v>
      </c>
      <c r="C131" s="297" t="s">
        <v>223</v>
      </c>
      <c r="D131" s="297" t="s">
        <v>489</v>
      </c>
      <c r="E131" s="298">
        <f t="shared" ref="E131:E134" si="74">F131</f>
        <v>0</v>
      </c>
      <c r="F131" s="299"/>
      <c r="G131" s="299"/>
      <c r="H131" s="299"/>
      <c r="I131" s="299"/>
      <c r="J131" s="298">
        <f t="shared" si="73"/>
        <v>10000000</v>
      </c>
      <c r="K131" s="299">
        <f>8000000+2000000</f>
        <v>10000000</v>
      </c>
      <c r="L131" s="299"/>
      <c r="M131" s="299"/>
      <c r="N131" s="299"/>
      <c r="O131" s="300">
        <f t="shared" ref="O131" si="75">K131</f>
        <v>10000000</v>
      </c>
      <c r="P131" s="298">
        <f t="shared" si="72"/>
        <v>10000000</v>
      </c>
      <c r="Q131" s="380"/>
      <c r="R131" s="381"/>
    </row>
    <row r="132" spans="1:18" ht="99.75" thickTop="1" thickBot="1" x14ac:dyDescent="0.25">
      <c r="A132" s="297" t="s">
        <v>346</v>
      </c>
      <c r="B132" s="521" t="s">
        <v>347</v>
      </c>
      <c r="C132" s="297" t="s">
        <v>335</v>
      </c>
      <c r="D132" s="297" t="s">
        <v>722</v>
      </c>
      <c r="E132" s="298">
        <f t="shared" si="74"/>
        <v>0</v>
      </c>
      <c r="F132" s="299"/>
      <c r="G132" s="299"/>
      <c r="H132" s="299"/>
      <c r="I132" s="299"/>
      <c r="J132" s="298">
        <f t="shared" si="73"/>
        <v>6855987</v>
      </c>
      <c r="K132" s="299">
        <v>6855987</v>
      </c>
      <c r="L132" s="299"/>
      <c r="M132" s="299"/>
      <c r="N132" s="299"/>
      <c r="O132" s="300">
        <f>K132</f>
        <v>6855987</v>
      </c>
      <c r="P132" s="298">
        <f t="shared" si="72"/>
        <v>6855987</v>
      </c>
      <c r="Q132" s="371"/>
    </row>
    <row r="133" spans="1:18" ht="99.75" thickTop="1" thickBot="1" x14ac:dyDescent="0.25">
      <c r="A133" s="297" t="s">
        <v>600</v>
      </c>
      <c r="B133" s="521" t="s">
        <v>601</v>
      </c>
      <c r="C133" s="297" t="s">
        <v>335</v>
      </c>
      <c r="D133" s="297" t="s">
        <v>723</v>
      </c>
      <c r="E133" s="298">
        <f t="shared" si="74"/>
        <v>0</v>
      </c>
      <c r="F133" s="299"/>
      <c r="G133" s="299"/>
      <c r="H133" s="299"/>
      <c r="I133" s="299"/>
      <c r="J133" s="298">
        <f t="shared" si="73"/>
        <v>200000</v>
      </c>
      <c r="K133" s="299">
        <v>200000</v>
      </c>
      <c r="L133" s="299"/>
      <c r="M133" s="299"/>
      <c r="N133" s="299"/>
      <c r="O133" s="300">
        <f>K133</f>
        <v>200000</v>
      </c>
      <c r="P133" s="298">
        <f t="shared" si="72"/>
        <v>200000</v>
      </c>
      <c r="Q133" s="371"/>
    </row>
    <row r="134" spans="1:18" ht="145.5" hidden="1" thickTop="1" thickBot="1" x14ac:dyDescent="0.25">
      <c r="A134" s="297" t="s">
        <v>348</v>
      </c>
      <c r="B134" s="521" t="s">
        <v>349</v>
      </c>
      <c r="C134" s="297" t="s">
        <v>335</v>
      </c>
      <c r="D134" s="297" t="s">
        <v>724</v>
      </c>
      <c r="E134" s="298">
        <f t="shared" si="74"/>
        <v>0</v>
      </c>
      <c r="F134" s="299"/>
      <c r="G134" s="299"/>
      <c r="H134" s="299"/>
      <c r="I134" s="299"/>
      <c r="J134" s="298">
        <f t="shared" si="73"/>
        <v>0</v>
      </c>
      <c r="K134" s="299">
        <v>0</v>
      </c>
      <c r="L134" s="299"/>
      <c r="M134" s="299"/>
      <c r="N134" s="299"/>
      <c r="O134" s="300">
        <f>K134</f>
        <v>0</v>
      </c>
      <c r="P134" s="298">
        <f t="shared" si="72"/>
        <v>0</v>
      </c>
      <c r="Q134" s="371"/>
    </row>
    <row r="135" spans="1:18" ht="99.75" thickTop="1" thickBot="1" x14ac:dyDescent="0.3">
      <c r="A135" s="297" t="s">
        <v>350</v>
      </c>
      <c r="B135" s="521" t="s">
        <v>351</v>
      </c>
      <c r="C135" s="297" t="s">
        <v>335</v>
      </c>
      <c r="D135" s="297" t="s">
        <v>725</v>
      </c>
      <c r="E135" s="298">
        <f>F135</f>
        <v>0</v>
      </c>
      <c r="F135" s="299"/>
      <c r="G135" s="299"/>
      <c r="H135" s="299"/>
      <c r="I135" s="299"/>
      <c r="J135" s="298">
        <f t="shared" si="73"/>
        <v>9126836</v>
      </c>
      <c r="K135" s="299">
        <v>9126836</v>
      </c>
      <c r="L135" s="299"/>
      <c r="M135" s="299"/>
      <c r="N135" s="299"/>
      <c r="O135" s="300">
        <f>K135</f>
        <v>9126836</v>
      </c>
      <c r="P135" s="298">
        <f t="shared" si="72"/>
        <v>9126836</v>
      </c>
      <c r="Q135" s="383"/>
    </row>
    <row r="136" spans="1:18" ht="138.75" thickTop="1" thickBot="1" x14ac:dyDescent="0.25">
      <c r="A136" s="297" t="s">
        <v>496</v>
      </c>
      <c r="B136" s="521" t="s">
        <v>396</v>
      </c>
      <c r="C136" s="297" t="s">
        <v>192</v>
      </c>
      <c r="D136" s="297" t="s">
        <v>292</v>
      </c>
      <c r="E136" s="298">
        <f>F136</f>
        <v>0</v>
      </c>
      <c r="F136" s="299"/>
      <c r="G136" s="299"/>
      <c r="H136" s="299"/>
      <c r="I136" s="299"/>
      <c r="J136" s="298">
        <f t="shared" si="73"/>
        <v>23737852</v>
      </c>
      <c r="K136" s="299">
        <v>23737852</v>
      </c>
      <c r="L136" s="299"/>
      <c r="M136" s="299"/>
      <c r="N136" s="299"/>
      <c r="O136" s="300">
        <f>K136</f>
        <v>23737852</v>
      </c>
      <c r="P136" s="298">
        <f t="shared" si="72"/>
        <v>23737852</v>
      </c>
    </row>
    <row r="137" spans="1:18" ht="316.5" thickTop="1" thickBot="1" x14ac:dyDescent="0.25">
      <c r="A137" s="435" t="s">
        <v>182</v>
      </c>
      <c r="B137" s="435"/>
      <c r="C137" s="435"/>
      <c r="D137" s="436" t="s">
        <v>726</v>
      </c>
      <c r="E137" s="437">
        <f>E138</f>
        <v>6523715</v>
      </c>
      <c r="F137" s="438">
        <f t="shared" ref="F137:G137" si="76">F138</f>
        <v>6523715</v>
      </c>
      <c r="G137" s="438">
        <f t="shared" si="76"/>
        <v>4925575</v>
      </c>
      <c r="H137" s="438">
        <f>H138</f>
        <v>129045</v>
      </c>
      <c r="I137" s="438">
        <f t="shared" ref="I137" si="77">I138</f>
        <v>0</v>
      </c>
      <c r="J137" s="437">
        <f>J138</f>
        <v>140000</v>
      </c>
      <c r="K137" s="438">
        <f>K138</f>
        <v>140000</v>
      </c>
      <c r="L137" s="438">
        <f>L138</f>
        <v>0</v>
      </c>
      <c r="M137" s="438">
        <f t="shared" ref="M137" si="78">M138</f>
        <v>0</v>
      </c>
      <c r="N137" s="437">
        <f>N138</f>
        <v>0</v>
      </c>
      <c r="O137" s="437">
        <f>O138</f>
        <v>140000</v>
      </c>
      <c r="P137" s="438">
        <f t="shared" ref="P137" si="79">P138</f>
        <v>6663715</v>
      </c>
    </row>
    <row r="138" spans="1:18" ht="316.5" thickTop="1" thickBot="1" x14ac:dyDescent="0.25">
      <c r="A138" s="439" t="s">
        <v>183</v>
      </c>
      <c r="B138" s="439"/>
      <c r="C138" s="439"/>
      <c r="D138" s="440" t="s">
        <v>727</v>
      </c>
      <c r="E138" s="441">
        <f>SUM(E139:E139)</f>
        <v>6523715</v>
      </c>
      <c r="F138" s="441">
        <f>SUM(F139:F139)</f>
        <v>6523715</v>
      </c>
      <c r="G138" s="441">
        <f>SUM(G139:G139)</f>
        <v>4925575</v>
      </c>
      <c r="H138" s="441">
        <f>SUM(H139:H139)</f>
        <v>129045</v>
      </c>
      <c r="I138" s="441">
        <f>SUM(I139:I139)</f>
        <v>0</v>
      </c>
      <c r="J138" s="441">
        <f>L138+O138</f>
        <v>140000</v>
      </c>
      <c r="K138" s="441">
        <f>SUM(K139:K139)</f>
        <v>140000</v>
      </c>
      <c r="L138" s="441">
        <f>SUM(L139:L139)</f>
        <v>0</v>
      </c>
      <c r="M138" s="441">
        <f>SUM(M139:M139)</f>
        <v>0</v>
      </c>
      <c r="N138" s="441">
        <f>SUM(N139:N139)</f>
        <v>0</v>
      </c>
      <c r="O138" s="441">
        <f>SUM(O139:O139)</f>
        <v>140000</v>
      </c>
      <c r="P138" s="442">
        <f>E138+J138</f>
        <v>6663715</v>
      </c>
      <c r="Q138" s="189" t="b">
        <f>P138=P139</f>
        <v>1</v>
      </c>
      <c r="R138" s="473" t="b">
        <f>K138='d6'!J148</f>
        <v>1</v>
      </c>
    </row>
    <row r="139" spans="1:18" ht="230.25" thickTop="1" thickBot="1" x14ac:dyDescent="0.25">
      <c r="A139" s="290" t="s">
        <v>470</v>
      </c>
      <c r="B139" s="520" t="s">
        <v>266</v>
      </c>
      <c r="C139" s="290" t="s">
        <v>264</v>
      </c>
      <c r="D139" s="290" t="s">
        <v>265</v>
      </c>
      <c r="E139" s="293">
        <f>F139</f>
        <v>6523715</v>
      </c>
      <c r="F139" s="296">
        <v>6523715</v>
      </c>
      <c r="G139" s="296">
        <v>4925575</v>
      </c>
      <c r="H139" s="296">
        <f>(97095+1950+30000)</f>
        <v>129045</v>
      </c>
      <c r="I139" s="296"/>
      <c r="J139" s="293">
        <f>L139+O139</f>
        <v>140000</v>
      </c>
      <c r="K139" s="296">
        <v>140000</v>
      </c>
      <c r="L139" s="296"/>
      <c r="M139" s="296"/>
      <c r="N139" s="296"/>
      <c r="O139" s="295">
        <f>K139</f>
        <v>140000</v>
      </c>
      <c r="P139" s="293">
        <f>E139+J139</f>
        <v>6663715</v>
      </c>
      <c r="Q139" s="380"/>
      <c r="R139" s="473" t="b">
        <f>K139='d6'!J150</f>
        <v>1</v>
      </c>
    </row>
    <row r="140" spans="1:18" ht="136.5" thickTop="1" thickBot="1" x14ac:dyDescent="0.25">
      <c r="A140" s="435" t="s">
        <v>504</v>
      </c>
      <c r="B140" s="435"/>
      <c r="C140" s="435"/>
      <c r="D140" s="436" t="s">
        <v>506</v>
      </c>
      <c r="E140" s="437">
        <f>E141</f>
        <v>58051693</v>
      </c>
      <c r="F140" s="438">
        <f t="shared" ref="F140:G140" si="80">F141</f>
        <v>58051693</v>
      </c>
      <c r="G140" s="438">
        <f t="shared" si="80"/>
        <v>2452610</v>
      </c>
      <c r="H140" s="438">
        <f>H141</f>
        <v>65145</v>
      </c>
      <c r="I140" s="438">
        <f t="shared" ref="I140" si="81">I141</f>
        <v>0</v>
      </c>
      <c r="J140" s="437">
        <f>J141</f>
        <v>18000</v>
      </c>
      <c r="K140" s="438">
        <f>K141</f>
        <v>18000</v>
      </c>
      <c r="L140" s="438">
        <f>L141</f>
        <v>0</v>
      </c>
      <c r="M140" s="438">
        <f t="shared" ref="M140" si="82">M141</f>
        <v>0</v>
      </c>
      <c r="N140" s="437">
        <f>N141</f>
        <v>0</v>
      </c>
      <c r="O140" s="437">
        <f>O141</f>
        <v>18000</v>
      </c>
      <c r="P140" s="438">
        <f t="shared" ref="P140" si="83">P141</f>
        <v>58069693</v>
      </c>
    </row>
    <row r="141" spans="1:18" ht="181.5" thickTop="1" thickBot="1" x14ac:dyDescent="0.25">
      <c r="A141" s="439" t="s">
        <v>505</v>
      </c>
      <c r="B141" s="439"/>
      <c r="C141" s="439"/>
      <c r="D141" s="440" t="s">
        <v>507</v>
      </c>
      <c r="E141" s="441">
        <f>SUM(E142:E144)</f>
        <v>58051693</v>
      </c>
      <c r="F141" s="441">
        <f t="shared" ref="F141:O141" si="84">SUM(F142:F144)</f>
        <v>58051693</v>
      </c>
      <c r="G141" s="441">
        <f t="shared" si="84"/>
        <v>2452610</v>
      </c>
      <c r="H141" s="441">
        <f t="shared" si="84"/>
        <v>65145</v>
      </c>
      <c r="I141" s="441">
        <f t="shared" si="84"/>
        <v>0</v>
      </c>
      <c r="J141" s="441">
        <f>L141+O141</f>
        <v>18000</v>
      </c>
      <c r="K141" s="441">
        <f t="shared" si="84"/>
        <v>18000</v>
      </c>
      <c r="L141" s="441">
        <f t="shared" si="84"/>
        <v>0</v>
      </c>
      <c r="M141" s="441">
        <f t="shared" si="84"/>
        <v>0</v>
      </c>
      <c r="N141" s="441">
        <f t="shared" si="84"/>
        <v>0</v>
      </c>
      <c r="O141" s="441">
        <f t="shared" si="84"/>
        <v>18000</v>
      </c>
      <c r="P141" s="442">
        <f>E141+J141</f>
        <v>58069693</v>
      </c>
      <c r="Q141" s="189" t="b">
        <f>P141=P142+P143+P144</f>
        <v>1</v>
      </c>
      <c r="R141" s="473" t="b">
        <f>K141='d6'!J152</f>
        <v>1</v>
      </c>
    </row>
    <row r="142" spans="1:18" ht="230.25" thickTop="1" thickBot="1" x14ac:dyDescent="0.25">
      <c r="A142" s="290" t="s">
        <v>508</v>
      </c>
      <c r="B142" s="520" t="s">
        <v>266</v>
      </c>
      <c r="C142" s="290" t="s">
        <v>264</v>
      </c>
      <c r="D142" s="290" t="s">
        <v>265</v>
      </c>
      <c r="E142" s="293">
        <f>F142</f>
        <v>3546620</v>
      </c>
      <c r="F142" s="296">
        <v>3546620</v>
      </c>
      <c r="G142" s="296">
        <v>2452610</v>
      </c>
      <c r="H142" s="296">
        <f>(40290+1200+22400+1255)</f>
        <v>65145</v>
      </c>
      <c r="I142" s="296"/>
      <c r="J142" s="293">
        <f>L142+O142</f>
        <v>18000</v>
      </c>
      <c r="K142" s="296">
        <v>18000</v>
      </c>
      <c r="L142" s="296"/>
      <c r="M142" s="296"/>
      <c r="N142" s="296"/>
      <c r="O142" s="295">
        <f>K142</f>
        <v>18000</v>
      </c>
      <c r="P142" s="293">
        <f>E142+J142</f>
        <v>3564620</v>
      </c>
      <c r="Q142" s="380"/>
      <c r="R142" s="473" t="b">
        <f>K142='d6'!J153</f>
        <v>1</v>
      </c>
    </row>
    <row r="143" spans="1:18" ht="93" hidden="1" thickTop="1" thickBot="1" x14ac:dyDescent="0.25">
      <c r="A143" s="290" t="s">
        <v>535</v>
      </c>
      <c r="B143" s="520" t="s">
        <v>463</v>
      </c>
      <c r="C143" s="290" t="s">
        <v>464</v>
      </c>
      <c r="D143" s="290" t="s">
        <v>465</v>
      </c>
      <c r="E143" s="293">
        <f>F143</f>
        <v>0</v>
      </c>
      <c r="F143" s="296">
        <f>(34016813)-19850000-9713396-4453417</f>
        <v>0</v>
      </c>
      <c r="G143" s="296"/>
      <c r="H143" s="296"/>
      <c r="I143" s="296"/>
      <c r="J143" s="293">
        <f>L143+O143</f>
        <v>0</v>
      </c>
      <c r="K143" s="296"/>
      <c r="L143" s="296"/>
      <c r="M143" s="296"/>
      <c r="N143" s="296"/>
      <c r="O143" s="295">
        <f>K143</f>
        <v>0</v>
      </c>
      <c r="P143" s="293">
        <f>E143+J143</f>
        <v>0</v>
      </c>
      <c r="Q143" s="380"/>
      <c r="R143" s="381"/>
    </row>
    <row r="144" spans="1:18" ht="93" thickTop="1" thickBot="1" x14ac:dyDescent="0.25">
      <c r="A144" s="290" t="s">
        <v>536</v>
      </c>
      <c r="B144" s="520" t="s">
        <v>321</v>
      </c>
      <c r="C144" s="290" t="s">
        <v>323</v>
      </c>
      <c r="D144" s="290" t="s">
        <v>322</v>
      </c>
      <c r="E144" s="293">
        <f>F144</f>
        <v>54505073</v>
      </c>
      <c r="F144" s="296">
        <v>54505073</v>
      </c>
      <c r="G144" s="296"/>
      <c r="H144" s="296"/>
      <c r="I144" s="296"/>
      <c r="J144" s="293">
        <f>L144+O144</f>
        <v>0</v>
      </c>
      <c r="K144" s="296"/>
      <c r="L144" s="296"/>
      <c r="M144" s="296"/>
      <c r="N144" s="296"/>
      <c r="O144" s="295">
        <f>K144</f>
        <v>0</v>
      </c>
      <c r="P144" s="293">
        <f>E144+J144</f>
        <v>54505073</v>
      </c>
      <c r="Q144" s="380"/>
      <c r="R144" s="381"/>
    </row>
    <row r="145" spans="1:18" ht="136.5" thickTop="1" thickBot="1" x14ac:dyDescent="0.25">
      <c r="A145" s="435" t="s">
        <v>188</v>
      </c>
      <c r="B145" s="435"/>
      <c r="C145" s="435"/>
      <c r="D145" s="436" t="s">
        <v>400</v>
      </c>
      <c r="E145" s="437">
        <f>E146</f>
        <v>9182780</v>
      </c>
      <c r="F145" s="438">
        <f t="shared" ref="F145:G145" si="85">F146</f>
        <v>9182780</v>
      </c>
      <c r="G145" s="438">
        <f t="shared" si="85"/>
        <v>0</v>
      </c>
      <c r="H145" s="438">
        <f>H146</f>
        <v>0</v>
      </c>
      <c r="I145" s="438">
        <f t="shared" ref="I145" si="86">I146</f>
        <v>0</v>
      </c>
      <c r="J145" s="437">
        <f>J146</f>
        <v>400000</v>
      </c>
      <c r="K145" s="438">
        <f>K146</f>
        <v>400000</v>
      </c>
      <c r="L145" s="438">
        <f>L146</f>
        <v>0</v>
      </c>
      <c r="M145" s="438">
        <f t="shared" ref="M145" si="87">M146</f>
        <v>0</v>
      </c>
      <c r="N145" s="437">
        <f>N146</f>
        <v>0</v>
      </c>
      <c r="O145" s="437">
        <f>O146</f>
        <v>400000</v>
      </c>
      <c r="P145" s="438">
        <f t="shared" ref="P145" si="88">P146</f>
        <v>9582780</v>
      </c>
    </row>
    <row r="146" spans="1:18" ht="136.5" thickTop="1" thickBot="1" x14ac:dyDescent="0.25">
      <c r="A146" s="439" t="s">
        <v>189</v>
      </c>
      <c r="B146" s="439"/>
      <c r="C146" s="439"/>
      <c r="D146" s="440" t="s">
        <v>401</v>
      </c>
      <c r="E146" s="441">
        <f>SUM(E147:E149)</f>
        <v>9182780</v>
      </c>
      <c r="F146" s="441">
        <f>SUM(F147:F149)</f>
        <v>9182780</v>
      </c>
      <c r="G146" s="441">
        <f>SUM(G147:G149)</f>
        <v>0</v>
      </c>
      <c r="H146" s="441">
        <f>SUM(H147:H149)</f>
        <v>0</v>
      </c>
      <c r="I146" s="441">
        <f>SUM(I147:I149)</f>
        <v>0</v>
      </c>
      <c r="J146" s="441">
        <f t="shared" ref="J146:J149" si="89">L146+O146</f>
        <v>400000</v>
      </c>
      <c r="K146" s="441">
        <f>SUM(K147:K149)</f>
        <v>400000</v>
      </c>
      <c r="L146" s="441">
        <f>SUM(L147:L149)</f>
        <v>0</v>
      </c>
      <c r="M146" s="441">
        <f>SUM(M147:M149)</f>
        <v>0</v>
      </c>
      <c r="N146" s="441">
        <f>SUM(N147:N149)</f>
        <v>0</v>
      </c>
      <c r="O146" s="441">
        <f>SUM(O147:O149)</f>
        <v>400000</v>
      </c>
      <c r="P146" s="442">
        <f t="shared" ref="P146:P149" si="90">E146+J146</f>
        <v>9582780</v>
      </c>
      <c r="Q146" s="189" t="b">
        <f>P146=P147+P148+P149</f>
        <v>1</v>
      </c>
      <c r="R146" s="473" t="b">
        <f>K146='d6'!J155</f>
        <v>1</v>
      </c>
    </row>
    <row r="147" spans="1:18" ht="93" thickTop="1" thickBot="1" x14ac:dyDescent="0.25">
      <c r="A147" s="517" t="s">
        <v>290</v>
      </c>
      <c r="B147" s="521" t="s">
        <v>291</v>
      </c>
      <c r="C147" s="517" t="s">
        <v>289</v>
      </c>
      <c r="D147" s="517" t="s">
        <v>288</v>
      </c>
      <c r="E147" s="518">
        <f t="shared" ref="E147:E149" si="91">F147</f>
        <v>5588200</v>
      </c>
      <c r="F147" s="299">
        <v>5588200</v>
      </c>
      <c r="G147" s="299"/>
      <c r="H147" s="299"/>
      <c r="I147" s="299"/>
      <c r="J147" s="518">
        <f t="shared" si="89"/>
        <v>0</v>
      </c>
      <c r="K147" s="299"/>
      <c r="L147" s="299"/>
      <c r="M147" s="299"/>
      <c r="N147" s="299"/>
      <c r="O147" s="516">
        <f>K147</f>
        <v>0</v>
      </c>
      <c r="P147" s="518">
        <f t="shared" si="90"/>
        <v>5588200</v>
      </c>
      <c r="R147" s="473"/>
    </row>
    <row r="148" spans="1:18" ht="138.75" thickTop="1" thickBot="1" x14ac:dyDescent="0.25">
      <c r="A148" s="517" t="s">
        <v>282</v>
      </c>
      <c r="B148" s="521" t="s">
        <v>284</v>
      </c>
      <c r="C148" s="517" t="s">
        <v>243</v>
      </c>
      <c r="D148" s="517" t="s">
        <v>283</v>
      </c>
      <c r="E148" s="518">
        <f t="shared" si="91"/>
        <v>745000</v>
      </c>
      <c r="F148" s="299">
        <v>745000</v>
      </c>
      <c r="G148" s="299"/>
      <c r="H148" s="299"/>
      <c r="I148" s="299"/>
      <c r="J148" s="518">
        <f t="shared" si="89"/>
        <v>0</v>
      </c>
      <c r="K148" s="299"/>
      <c r="L148" s="299"/>
      <c r="M148" s="299"/>
      <c r="N148" s="299"/>
      <c r="O148" s="516">
        <f>K148</f>
        <v>0</v>
      </c>
      <c r="P148" s="518">
        <f t="shared" si="90"/>
        <v>745000</v>
      </c>
      <c r="R148" s="473"/>
    </row>
    <row r="149" spans="1:18" ht="93" thickTop="1" thickBot="1" x14ac:dyDescent="0.25">
      <c r="A149" s="517" t="s">
        <v>286</v>
      </c>
      <c r="B149" s="521" t="s">
        <v>287</v>
      </c>
      <c r="C149" s="517" t="s">
        <v>192</v>
      </c>
      <c r="D149" s="517" t="s">
        <v>285</v>
      </c>
      <c r="E149" s="518">
        <f t="shared" si="91"/>
        <v>2849580</v>
      </c>
      <c r="F149" s="299">
        <f>(800000+2049580)</f>
        <v>2849580</v>
      </c>
      <c r="G149" s="299"/>
      <c r="H149" s="299"/>
      <c r="I149" s="299"/>
      <c r="J149" s="518">
        <f t="shared" si="89"/>
        <v>400000</v>
      </c>
      <c r="K149" s="299">
        <f>(400000)</f>
        <v>400000</v>
      </c>
      <c r="L149" s="299"/>
      <c r="M149" s="299"/>
      <c r="N149" s="299"/>
      <c r="O149" s="516">
        <f>K149</f>
        <v>400000</v>
      </c>
      <c r="P149" s="518">
        <f t="shared" si="90"/>
        <v>3249580</v>
      </c>
      <c r="R149" s="473" t="b">
        <f>K149='d6'!J156</f>
        <v>1</v>
      </c>
    </row>
    <row r="150" spans="1:18" ht="226.5" thickTop="1" thickBot="1" x14ac:dyDescent="0.25">
      <c r="A150" s="435" t="s">
        <v>186</v>
      </c>
      <c r="B150" s="435"/>
      <c r="C150" s="435"/>
      <c r="D150" s="436" t="s">
        <v>728</v>
      </c>
      <c r="E150" s="437">
        <f>E151</f>
        <v>5984385</v>
      </c>
      <c r="F150" s="438">
        <f t="shared" ref="F150:G150" si="92">F151</f>
        <v>5984385</v>
      </c>
      <c r="G150" s="438">
        <f t="shared" si="92"/>
        <v>4608055</v>
      </c>
      <c r="H150" s="438">
        <f>H151</f>
        <v>103700</v>
      </c>
      <c r="I150" s="438">
        <f t="shared" ref="I150" si="93">I151</f>
        <v>0</v>
      </c>
      <c r="J150" s="437">
        <f>J151</f>
        <v>648900</v>
      </c>
      <c r="K150" s="438">
        <f>K151</f>
        <v>18000</v>
      </c>
      <c r="L150" s="438">
        <f>L151</f>
        <v>630900</v>
      </c>
      <c r="M150" s="438">
        <f t="shared" ref="M150" si="94">M151</f>
        <v>0</v>
      </c>
      <c r="N150" s="437">
        <f>N151</f>
        <v>0</v>
      </c>
      <c r="O150" s="437">
        <f>O151</f>
        <v>18000</v>
      </c>
      <c r="P150" s="438">
        <f t="shared" ref="P150" si="95">P151</f>
        <v>6633285</v>
      </c>
    </row>
    <row r="151" spans="1:18" ht="226.5" thickTop="1" thickBot="1" x14ac:dyDescent="0.25">
      <c r="A151" s="439" t="s">
        <v>187</v>
      </c>
      <c r="B151" s="439"/>
      <c r="C151" s="439"/>
      <c r="D151" s="440" t="s">
        <v>729</v>
      </c>
      <c r="E151" s="441">
        <f>SUM(E152:E156)</f>
        <v>5984385</v>
      </c>
      <c r="F151" s="441">
        <f>SUM(F152:F156)</f>
        <v>5984385</v>
      </c>
      <c r="G151" s="441">
        <f>SUM(G152:G156)</f>
        <v>4608055</v>
      </c>
      <c r="H151" s="441">
        <f>SUM(H152:H156)</f>
        <v>103700</v>
      </c>
      <c r="I151" s="441">
        <f>SUM(I152:I156)</f>
        <v>0</v>
      </c>
      <c r="J151" s="441">
        <f>L151+O151</f>
        <v>648900</v>
      </c>
      <c r="K151" s="441">
        <f>SUM(K152:K156)</f>
        <v>18000</v>
      </c>
      <c r="L151" s="441">
        <f>SUM(L152:L156)</f>
        <v>630900</v>
      </c>
      <c r="M151" s="441">
        <f>SUM(M152:M156)</f>
        <v>0</v>
      </c>
      <c r="N151" s="441">
        <f>SUM(N152:N156)</f>
        <v>0</v>
      </c>
      <c r="O151" s="441">
        <f>SUM(O152:O156)</f>
        <v>18000</v>
      </c>
      <c r="P151" s="442">
        <f t="shared" ref="P151:P156" si="96">E151+J151</f>
        <v>6633285</v>
      </c>
      <c r="Q151" s="189" t="b">
        <f>P151=P153+P156+P152+P154+P155</f>
        <v>1</v>
      </c>
      <c r="R151" s="473" t="b">
        <f>K151='d6'!J157</f>
        <v>1</v>
      </c>
    </row>
    <row r="152" spans="1:18" s="158" customFormat="1" ht="230.25" thickTop="1" thickBot="1" x14ac:dyDescent="0.25">
      <c r="A152" s="290" t="s">
        <v>473</v>
      </c>
      <c r="B152" s="520" t="s">
        <v>266</v>
      </c>
      <c r="C152" s="290" t="s">
        <v>264</v>
      </c>
      <c r="D152" s="290" t="s">
        <v>265</v>
      </c>
      <c r="E152" s="293">
        <f>F152</f>
        <v>5984385</v>
      </c>
      <c r="F152" s="296">
        <v>5984385</v>
      </c>
      <c r="G152" s="296">
        <v>4608055</v>
      </c>
      <c r="H152" s="296">
        <f>(70880+8160+21000+3660)</f>
        <v>103700</v>
      </c>
      <c r="I152" s="296"/>
      <c r="J152" s="293">
        <f t="shared" ref="J152:J156" si="97">L152+O152</f>
        <v>18000</v>
      </c>
      <c r="K152" s="296">
        <v>18000</v>
      </c>
      <c r="L152" s="296"/>
      <c r="M152" s="296"/>
      <c r="N152" s="296"/>
      <c r="O152" s="295">
        <f>K152</f>
        <v>18000</v>
      </c>
      <c r="P152" s="293">
        <f t="shared" si="96"/>
        <v>6002385</v>
      </c>
      <c r="Q152" s="515"/>
      <c r="R152" s="473" t="b">
        <f>K152='d6'!J158</f>
        <v>1</v>
      </c>
    </row>
    <row r="153" spans="1:18" s="158" customFormat="1" ht="138.75" thickTop="1" thickBot="1" x14ac:dyDescent="0.25">
      <c r="A153" s="290" t="s">
        <v>341</v>
      </c>
      <c r="B153" s="520" t="s">
        <v>342</v>
      </c>
      <c r="C153" s="290" t="s">
        <v>56</v>
      </c>
      <c r="D153" s="290" t="s">
        <v>57</v>
      </c>
      <c r="E153" s="293">
        <f t="shared" ref="E153:E155" si="98">F153</f>
        <v>0</v>
      </c>
      <c r="F153" s="296"/>
      <c r="G153" s="296"/>
      <c r="H153" s="296"/>
      <c r="I153" s="296"/>
      <c r="J153" s="293">
        <f t="shared" si="97"/>
        <v>248900</v>
      </c>
      <c r="K153" s="296"/>
      <c r="L153" s="296">
        <v>248900</v>
      </c>
      <c r="M153" s="296"/>
      <c r="N153" s="296"/>
      <c r="O153" s="504">
        <f t="shared" ref="O153:O154" si="99">K153</f>
        <v>0</v>
      </c>
      <c r="P153" s="293">
        <f t="shared" si="96"/>
        <v>248900</v>
      </c>
      <c r="Q153" s="384"/>
      <c r="R153" s="384"/>
    </row>
    <row r="154" spans="1:18" s="158" customFormat="1" ht="48" thickTop="1" thickBot="1" x14ac:dyDescent="0.25">
      <c r="A154" s="290" t="s">
        <v>540</v>
      </c>
      <c r="B154" s="520" t="s">
        <v>541</v>
      </c>
      <c r="C154" s="290" t="s">
        <v>539</v>
      </c>
      <c r="D154" s="290" t="s">
        <v>542</v>
      </c>
      <c r="E154" s="293">
        <f t="shared" si="98"/>
        <v>0</v>
      </c>
      <c r="F154" s="296"/>
      <c r="G154" s="296"/>
      <c r="H154" s="296"/>
      <c r="I154" s="296"/>
      <c r="J154" s="293">
        <f t="shared" si="97"/>
        <v>70000</v>
      </c>
      <c r="K154" s="296"/>
      <c r="L154" s="296">
        <v>70000</v>
      </c>
      <c r="M154" s="296"/>
      <c r="N154" s="296"/>
      <c r="O154" s="504">
        <f t="shared" si="99"/>
        <v>0</v>
      </c>
      <c r="P154" s="293">
        <f t="shared" si="96"/>
        <v>70000</v>
      </c>
      <c r="Q154" s="384"/>
      <c r="R154" s="384"/>
    </row>
    <row r="155" spans="1:18" s="158" customFormat="1" ht="93" thickTop="1" thickBot="1" x14ac:dyDescent="0.25">
      <c r="A155" s="290" t="s">
        <v>606</v>
      </c>
      <c r="B155" s="520" t="s">
        <v>604</v>
      </c>
      <c r="C155" s="290" t="s">
        <v>607</v>
      </c>
      <c r="D155" s="290" t="s">
        <v>605</v>
      </c>
      <c r="E155" s="293">
        <f t="shared" si="98"/>
        <v>0</v>
      </c>
      <c r="F155" s="296"/>
      <c r="G155" s="296"/>
      <c r="H155" s="296"/>
      <c r="I155" s="296"/>
      <c r="J155" s="293">
        <f t="shared" si="97"/>
        <v>125000</v>
      </c>
      <c r="K155" s="296"/>
      <c r="L155" s="296">
        <v>125000</v>
      </c>
      <c r="M155" s="296"/>
      <c r="N155" s="296"/>
      <c r="O155" s="504">
        <f>K155</f>
        <v>0</v>
      </c>
      <c r="P155" s="293">
        <f t="shared" si="96"/>
        <v>125000</v>
      </c>
      <c r="Q155" s="384"/>
      <c r="R155" s="384"/>
    </row>
    <row r="156" spans="1:18" s="158" customFormat="1" ht="93" thickTop="1" thickBot="1" x14ac:dyDescent="0.25">
      <c r="A156" s="290" t="s">
        <v>343</v>
      </c>
      <c r="B156" s="520" t="s">
        <v>344</v>
      </c>
      <c r="C156" s="290" t="s">
        <v>58</v>
      </c>
      <c r="D156" s="290" t="s">
        <v>543</v>
      </c>
      <c r="E156" s="293">
        <v>0</v>
      </c>
      <c r="F156" s="296"/>
      <c r="G156" s="296"/>
      <c r="H156" s="296"/>
      <c r="I156" s="296"/>
      <c r="J156" s="293">
        <f t="shared" si="97"/>
        <v>187000</v>
      </c>
      <c r="K156" s="293"/>
      <c r="L156" s="296">
        <v>187000</v>
      </c>
      <c r="M156" s="296"/>
      <c r="N156" s="296"/>
      <c r="O156" s="295">
        <f>K156</f>
        <v>0</v>
      </c>
      <c r="P156" s="293">
        <f t="shared" si="96"/>
        <v>187000</v>
      </c>
      <c r="Q156" s="384"/>
      <c r="R156" s="384"/>
    </row>
    <row r="157" spans="1:18" ht="361.5" thickTop="1" thickBot="1" x14ac:dyDescent="0.25">
      <c r="A157" s="435" t="s">
        <v>184</v>
      </c>
      <c r="B157" s="435"/>
      <c r="C157" s="435"/>
      <c r="D157" s="436" t="s">
        <v>491</v>
      </c>
      <c r="E157" s="437">
        <f>E158</f>
        <v>5014525</v>
      </c>
      <c r="F157" s="438">
        <f t="shared" ref="F157:G157" si="100">F158</f>
        <v>5014525</v>
      </c>
      <c r="G157" s="438">
        <f t="shared" si="100"/>
        <v>3622500</v>
      </c>
      <c r="H157" s="438">
        <f>H158</f>
        <v>72700</v>
      </c>
      <c r="I157" s="438">
        <f t="shared" ref="I157" si="101">I158</f>
        <v>0</v>
      </c>
      <c r="J157" s="437">
        <f>J158</f>
        <v>250000</v>
      </c>
      <c r="K157" s="438">
        <f>K158</f>
        <v>250000</v>
      </c>
      <c r="L157" s="438">
        <f>L158</f>
        <v>0</v>
      </c>
      <c r="M157" s="438">
        <f t="shared" ref="M157" si="102">M158</f>
        <v>0</v>
      </c>
      <c r="N157" s="437">
        <f>N158</f>
        <v>0</v>
      </c>
      <c r="O157" s="437">
        <f>O158</f>
        <v>250000</v>
      </c>
      <c r="P157" s="438">
        <f t="shared" ref="P157" si="103">P158</f>
        <v>5264525</v>
      </c>
    </row>
    <row r="158" spans="1:18" ht="361.5" thickTop="1" thickBot="1" x14ac:dyDescent="0.25">
      <c r="A158" s="439" t="s">
        <v>185</v>
      </c>
      <c r="B158" s="439"/>
      <c r="C158" s="439"/>
      <c r="D158" s="440" t="s">
        <v>492</v>
      </c>
      <c r="E158" s="441">
        <f>SUM(E159:E161)</f>
        <v>5014525</v>
      </c>
      <c r="F158" s="441">
        <f>SUM(F159:F161)</f>
        <v>5014525</v>
      </c>
      <c r="G158" s="441">
        <f t="shared" ref="G158:N158" si="104">SUM(G159:G161)</f>
        <v>3622500</v>
      </c>
      <c r="H158" s="441">
        <f t="shared" si="104"/>
        <v>72700</v>
      </c>
      <c r="I158" s="441">
        <f t="shared" si="104"/>
        <v>0</v>
      </c>
      <c r="J158" s="441">
        <f>L158+O158</f>
        <v>250000</v>
      </c>
      <c r="K158" s="441">
        <f>SUM(K159:K161)</f>
        <v>250000</v>
      </c>
      <c r="L158" s="441">
        <f t="shared" si="104"/>
        <v>0</v>
      </c>
      <c r="M158" s="441">
        <f t="shared" si="104"/>
        <v>0</v>
      </c>
      <c r="N158" s="441">
        <f t="shared" si="104"/>
        <v>0</v>
      </c>
      <c r="O158" s="441">
        <f>SUM(O159:O161)</f>
        <v>250000</v>
      </c>
      <c r="P158" s="442">
        <f>E158+J158</f>
        <v>5264525</v>
      </c>
      <c r="Q158" s="189" t="b">
        <f>P158=P160+P161+P159</f>
        <v>1</v>
      </c>
      <c r="R158" s="189" t="b">
        <f>K158='d6'!J161</f>
        <v>1</v>
      </c>
    </row>
    <row r="159" spans="1:18" ht="230.25" thickTop="1" thickBot="1" x14ac:dyDescent="0.25">
      <c r="A159" s="290" t="s">
        <v>469</v>
      </c>
      <c r="B159" s="520" t="s">
        <v>266</v>
      </c>
      <c r="C159" s="290" t="s">
        <v>264</v>
      </c>
      <c r="D159" s="290" t="s">
        <v>265</v>
      </c>
      <c r="E159" s="293">
        <f>F159</f>
        <v>5014525</v>
      </c>
      <c r="F159" s="296">
        <v>5014525</v>
      </c>
      <c r="G159" s="296">
        <v>3622500</v>
      </c>
      <c r="H159" s="296">
        <f>(53320+2000+17380)</f>
        <v>72700</v>
      </c>
      <c r="I159" s="296"/>
      <c r="J159" s="293">
        <f>L159+O159</f>
        <v>0</v>
      </c>
      <c r="K159" s="296"/>
      <c r="L159" s="296"/>
      <c r="M159" s="296"/>
      <c r="N159" s="296"/>
      <c r="O159" s="295">
        <f>K159</f>
        <v>0</v>
      </c>
      <c r="P159" s="293">
        <f>E159+J159</f>
        <v>5014525</v>
      </c>
      <c r="Q159" s="380"/>
      <c r="R159" s="380"/>
    </row>
    <row r="160" spans="1:18" ht="93" thickTop="1" thickBot="1" x14ac:dyDescent="0.25">
      <c r="A160" s="290" t="s">
        <v>338</v>
      </c>
      <c r="B160" s="520" t="s">
        <v>339</v>
      </c>
      <c r="C160" s="290" t="s">
        <v>340</v>
      </c>
      <c r="D160" s="290" t="s">
        <v>526</v>
      </c>
      <c r="E160" s="293">
        <f>F160</f>
        <v>0</v>
      </c>
      <c r="F160" s="296"/>
      <c r="G160" s="296"/>
      <c r="H160" s="296"/>
      <c r="I160" s="296"/>
      <c r="J160" s="293">
        <f>L160+O160</f>
        <v>200000</v>
      </c>
      <c r="K160" s="296">
        <v>200000</v>
      </c>
      <c r="L160" s="296"/>
      <c r="M160" s="296"/>
      <c r="N160" s="296"/>
      <c r="O160" s="295">
        <v>200000</v>
      </c>
      <c r="P160" s="293">
        <f>E160+J160</f>
        <v>200000</v>
      </c>
    </row>
    <row r="161" spans="1:18" ht="138.75" thickTop="1" thickBot="1" x14ac:dyDescent="0.25">
      <c r="A161" s="290" t="s">
        <v>416</v>
      </c>
      <c r="B161" s="520" t="s">
        <v>417</v>
      </c>
      <c r="C161" s="290" t="s">
        <v>192</v>
      </c>
      <c r="D161" s="290" t="s">
        <v>418</v>
      </c>
      <c r="E161" s="293">
        <f>F161</f>
        <v>0</v>
      </c>
      <c r="F161" s="296"/>
      <c r="G161" s="296"/>
      <c r="H161" s="296"/>
      <c r="I161" s="296"/>
      <c r="J161" s="293">
        <f>L161+O161</f>
        <v>50000</v>
      </c>
      <c r="K161" s="296">
        <v>50000</v>
      </c>
      <c r="L161" s="296"/>
      <c r="M161" s="296"/>
      <c r="N161" s="296"/>
      <c r="O161" s="295">
        <f>K161</f>
        <v>50000</v>
      </c>
      <c r="P161" s="293">
        <f>E161+J161</f>
        <v>50000</v>
      </c>
    </row>
    <row r="162" spans="1:18" ht="136.5" thickTop="1" thickBot="1" x14ac:dyDescent="0.25">
      <c r="A162" s="435" t="s">
        <v>190</v>
      </c>
      <c r="B162" s="435"/>
      <c r="C162" s="435"/>
      <c r="D162" s="436" t="s">
        <v>29</v>
      </c>
      <c r="E162" s="437">
        <f>E163</f>
        <v>87015885</v>
      </c>
      <c r="F162" s="438">
        <f t="shared" ref="F162:G162" si="105">F163</f>
        <v>87015885</v>
      </c>
      <c r="G162" s="438">
        <f t="shared" si="105"/>
        <v>7700000</v>
      </c>
      <c r="H162" s="438">
        <f>H163</f>
        <v>131350</v>
      </c>
      <c r="I162" s="438">
        <f t="shared" ref="I162" si="106">I163</f>
        <v>0</v>
      </c>
      <c r="J162" s="437">
        <f>J163</f>
        <v>0</v>
      </c>
      <c r="K162" s="438">
        <f>K163</f>
        <v>0</v>
      </c>
      <c r="L162" s="438">
        <f>L163</f>
        <v>0</v>
      </c>
      <c r="M162" s="438">
        <f t="shared" ref="M162" si="107">M163</f>
        <v>0</v>
      </c>
      <c r="N162" s="437">
        <f>N163</f>
        <v>0</v>
      </c>
      <c r="O162" s="437">
        <f>O163</f>
        <v>0</v>
      </c>
      <c r="P162" s="438">
        <f t="shared" ref="P162" si="108">P163</f>
        <v>87015885</v>
      </c>
    </row>
    <row r="163" spans="1:18" ht="136.5" thickTop="1" thickBot="1" x14ac:dyDescent="0.25">
      <c r="A163" s="439" t="s">
        <v>191</v>
      </c>
      <c r="B163" s="439"/>
      <c r="C163" s="439"/>
      <c r="D163" s="440" t="s">
        <v>44</v>
      </c>
      <c r="E163" s="441">
        <f>SUM(E164:E167)</f>
        <v>87015885</v>
      </c>
      <c r="F163" s="441">
        <f t="shared" ref="F163:N163" si="109">SUM(F164:F167)</f>
        <v>87015885</v>
      </c>
      <c r="G163" s="441">
        <f t="shared" si="109"/>
        <v>7700000</v>
      </c>
      <c r="H163" s="441">
        <f t="shared" si="109"/>
        <v>131350</v>
      </c>
      <c r="I163" s="441">
        <f t="shared" si="109"/>
        <v>0</v>
      </c>
      <c r="J163" s="441">
        <f>L163+O163</f>
        <v>0</v>
      </c>
      <c r="K163" s="441">
        <f>SUM(K164:K167)</f>
        <v>0</v>
      </c>
      <c r="L163" s="441">
        <f t="shared" si="109"/>
        <v>0</v>
      </c>
      <c r="M163" s="441">
        <f t="shared" si="109"/>
        <v>0</v>
      </c>
      <c r="N163" s="441">
        <f t="shared" si="109"/>
        <v>0</v>
      </c>
      <c r="O163" s="441">
        <f>SUM(O164:O167)</f>
        <v>0</v>
      </c>
      <c r="P163" s="442">
        <f>E163+J163</f>
        <v>87015885</v>
      </c>
      <c r="Q163" s="189" t="b">
        <f>P163=P165+P166+P167+P164</f>
        <v>1</v>
      </c>
      <c r="R163" s="381"/>
    </row>
    <row r="164" spans="1:18" ht="230.25" thickTop="1" thickBot="1" x14ac:dyDescent="0.25">
      <c r="A164" s="517" t="s">
        <v>471</v>
      </c>
      <c r="B164" s="521" t="s">
        <v>266</v>
      </c>
      <c r="C164" s="517" t="s">
        <v>264</v>
      </c>
      <c r="D164" s="517" t="s">
        <v>265</v>
      </c>
      <c r="E164" s="518">
        <f>F164</f>
        <v>9678150</v>
      </c>
      <c r="F164" s="299">
        <f>(7700000+1540000+152690+146035+7000+71000+4400+51000+4950+1075)</f>
        <v>9678150</v>
      </c>
      <c r="G164" s="299">
        <v>7700000</v>
      </c>
      <c r="H164" s="299">
        <f>(71000+4400+51000+4950)</f>
        <v>131350</v>
      </c>
      <c r="I164" s="299"/>
      <c r="J164" s="518">
        <f>L164+O164</f>
        <v>0</v>
      </c>
      <c r="K164" s="299"/>
      <c r="L164" s="299"/>
      <c r="M164" s="299"/>
      <c r="N164" s="299"/>
      <c r="O164" s="516">
        <f>K164</f>
        <v>0</v>
      </c>
      <c r="P164" s="518">
        <f>E164+J164</f>
        <v>9678150</v>
      </c>
      <c r="Q164" s="380"/>
      <c r="R164" s="381"/>
    </row>
    <row r="165" spans="1:18" ht="93" thickTop="1" thickBot="1" x14ac:dyDescent="0.25">
      <c r="A165" s="490">
        <v>3718600</v>
      </c>
      <c r="B165" s="490">
        <v>8600</v>
      </c>
      <c r="C165" s="517" t="s">
        <v>410</v>
      </c>
      <c r="D165" s="490" t="s">
        <v>516</v>
      </c>
      <c r="E165" s="518">
        <f>F165</f>
        <v>1033835</v>
      </c>
      <c r="F165" s="299">
        <v>1033835</v>
      </c>
      <c r="G165" s="299"/>
      <c r="H165" s="299"/>
      <c r="I165" s="299"/>
      <c r="J165" s="518">
        <f>L165+O165</f>
        <v>0</v>
      </c>
      <c r="K165" s="299"/>
      <c r="L165" s="299"/>
      <c r="M165" s="299"/>
      <c r="N165" s="299"/>
      <c r="O165" s="516">
        <f>K165</f>
        <v>0</v>
      </c>
      <c r="P165" s="518">
        <f>E165+J165</f>
        <v>1033835</v>
      </c>
    </row>
    <row r="166" spans="1:18" ht="48" thickTop="1" thickBot="1" x14ac:dyDescent="0.25">
      <c r="A166" s="490">
        <v>3718700</v>
      </c>
      <c r="B166" s="490">
        <v>8700</v>
      </c>
      <c r="C166" s="517" t="s">
        <v>46</v>
      </c>
      <c r="D166" s="345" t="s">
        <v>515</v>
      </c>
      <c r="E166" s="518">
        <f>F166</f>
        <v>3000000</v>
      </c>
      <c r="F166" s="299">
        <v>3000000</v>
      </c>
      <c r="G166" s="299"/>
      <c r="H166" s="299"/>
      <c r="I166" s="299"/>
      <c r="J166" s="518">
        <f>L166+O166</f>
        <v>0</v>
      </c>
      <c r="K166" s="299"/>
      <c r="L166" s="299"/>
      <c r="M166" s="299"/>
      <c r="N166" s="299"/>
      <c r="O166" s="516">
        <f>K166</f>
        <v>0</v>
      </c>
      <c r="P166" s="518">
        <f>E166+J166</f>
        <v>3000000</v>
      </c>
    </row>
    <row r="167" spans="1:18" ht="48" thickTop="1" thickBot="1" x14ac:dyDescent="0.25">
      <c r="A167" s="490">
        <v>3719110</v>
      </c>
      <c r="B167" s="490">
        <v>9110</v>
      </c>
      <c r="C167" s="480" t="s">
        <v>47</v>
      </c>
      <c r="D167" s="345" t="s">
        <v>514</v>
      </c>
      <c r="E167" s="479">
        <f>F167</f>
        <v>73303900</v>
      </c>
      <c r="F167" s="299">
        <v>73303900</v>
      </c>
      <c r="G167" s="299"/>
      <c r="H167" s="299"/>
      <c r="I167" s="299"/>
      <c r="J167" s="479">
        <f>L167+O167</f>
        <v>0</v>
      </c>
      <c r="K167" s="299"/>
      <c r="L167" s="299"/>
      <c r="M167" s="299"/>
      <c r="N167" s="299"/>
      <c r="O167" s="481">
        <f>K167</f>
        <v>0</v>
      </c>
      <c r="P167" s="479">
        <f>E167+J167</f>
        <v>73303900</v>
      </c>
    </row>
    <row r="168" spans="1:18" ht="159.75" customHeight="1" thickTop="1" thickBot="1" x14ac:dyDescent="0.25">
      <c r="A168" s="491" t="s">
        <v>431</v>
      </c>
      <c r="B168" s="491" t="s">
        <v>431</v>
      </c>
      <c r="C168" s="491" t="s">
        <v>431</v>
      </c>
      <c r="D168" s="492" t="s">
        <v>441</v>
      </c>
      <c r="E168" s="526">
        <f t="shared" ref="E168:P168" si="110">E17+E30+E87+E41+E55+E77++E129+E138+E163+E146+E151+E158+E141+E112+E102</f>
        <v>2635221536</v>
      </c>
      <c r="F168" s="526">
        <f t="shared" si="110"/>
        <v>2635221536</v>
      </c>
      <c r="G168" s="526">
        <f t="shared" si="110"/>
        <v>1436990786</v>
      </c>
      <c r="H168" s="526">
        <f t="shared" si="110"/>
        <v>100042972</v>
      </c>
      <c r="I168" s="526">
        <f t="shared" si="110"/>
        <v>0</v>
      </c>
      <c r="J168" s="526">
        <f t="shared" si="110"/>
        <v>356021747.57999998</v>
      </c>
      <c r="K168" s="526">
        <f t="shared" si="110"/>
        <v>195335762.57999998</v>
      </c>
      <c r="L168" s="526">
        <f t="shared" si="110"/>
        <v>158742165</v>
      </c>
      <c r="M168" s="526">
        <f t="shared" si="110"/>
        <v>49533322</v>
      </c>
      <c r="N168" s="526">
        <f t="shared" si="110"/>
        <v>9357568</v>
      </c>
      <c r="O168" s="526">
        <f t="shared" si="110"/>
        <v>197279582.57999998</v>
      </c>
      <c r="P168" s="526">
        <f t="shared" si="110"/>
        <v>2991243283.5799999</v>
      </c>
      <c r="Q168" s="85" t="b">
        <f>K168='d6'!J165</f>
        <v>1</v>
      </c>
      <c r="R168" s="85" t="b">
        <f>P168=J168+E168</f>
        <v>1</v>
      </c>
    </row>
    <row r="169" spans="1:18" ht="37.5" customHeight="1" thickTop="1" x14ac:dyDescent="0.2">
      <c r="A169" s="645" t="s">
        <v>575</v>
      </c>
      <c r="B169" s="646"/>
      <c r="C169" s="646"/>
      <c r="D169" s="646"/>
      <c r="E169" s="646"/>
      <c r="F169" s="646"/>
      <c r="G169" s="646"/>
      <c r="H169" s="646"/>
      <c r="I169" s="646"/>
      <c r="J169" s="646"/>
      <c r="K169" s="646"/>
      <c r="L169" s="646"/>
      <c r="M169" s="646"/>
      <c r="N169" s="646"/>
      <c r="O169" s="646"/>
      <c r="P169" s="646"/>
      <c r="Q169" s="386"/>
    </row>
    <row r="170" spans="1:18" ht="60.75" hidden="1" x14ac:dyDescent="0.2">
      <c r="A170" s="206"/>
      <c r="B170" s="207"/>
      <c r="C170" s="207"/>
      <c r="D170" s="207"/>
      <c r="E170" s="135">
        <f>F170</f>
        <v>2635221536</v>
      </c>
      <c r="F170" s="135">
        <f>2638170564-'d4'!F14+'d2'!E22</f>
        <v>2635221536</v>
      </c>
      <c r="G170" s="135">
        <f>354000+540000+1494859+80242670+1114143912+4186600+68381820+89280550+40854695+37511680</f>
        <v>1436990786</v>
      </c>
      <c r="H170" s="135">
        <f>6000+3000+20785+3339900+87477970+201540+2063407+3907125+2243165+730080+50000</f>
        <v>100042972</v>
      </c>
      <c r="I170" s="135"/>
      <c r="J170" s="135">
        <f>356021747.58</f>
        <v>356021747.57999998</v>
      </c>
      <c r="K170" s="135">
        <f>356021747.58-4201200-630900-155853885</f>
        <v>195335762.57999998</v>
      </c>
      <c r="L170" s="135">
        <f>(4201200-49000)+630900+(155853885-1788820-106000)</f>
        <v>158742165</v>
      </c>
      <c r="M170" s="135">
        <f>866362+41217060+104000+7345900</f>
        <v>49533322</v>
      </c>
      <c r="N170" s="135">
        <f>308978+8654190+137000+257400</f>
        <v>9357568</v>
      </c>
      <c r="O170" s="135">
        <f>356021747.58-(4201200-49000)-630900-(155853885-1788820-106000)</f>
        <v>197279582.57999998</v>
      </c>
      <c r="P170" s="135">
        <f>2994192311.58-'d4'!F17+'d2'!E22</f>
        <v>2991243283.5799999</v>
      </c>
      <c r="Q170" s="85" t="b">
        <f>E170+J170=P170</f>
        <v>1</v>
      </c>
      <c r="R170" s="386"/>
    </row>
    <row r="171" spans="1:18" ht="45.75" x14ac:dyDescent="0.65">
      <c r="A171" s="206"/>
      <c r="B171" s="207"/>
      <c r="C171" s="207"/>
      <c r="D171" s="217" t="s">
        <v>677</v>
      </c>
      <c r="E171" s="217"/>
      <c r="F171" s="212"/>
      <c r="G171" s="212"/>
      <c r="H171" s="217"/>
      <c r="I171" s="187"/>
      <c r="J171" s="187"/>
      <c r="K171" s="217" t="s">
        <v>837</v>
      </c>
      <c r="L171" s="207"/>
      <c r="M171" s="207"/>
      <c r="N171" s="207"/>
      <c r="O171" s="207"/>
      <c r="P171" s="207"/>
      <c r="Q171" s="386"/>
    </row>
    <row r="172" spans="1:18" s="211" customFormat="1" ht="45.75" x14ac:dyDescent="0.2">
      <c r="A172" s="213"/>
      <c r="B172" s="214"/>
      <c r="C172" s="214"/>
      <c r="D172" s="214"/>
      <c r="E172" s="214"/>
      <c r="F172" s="214"/>
      <c r="G172" s="214"/>
      <c r="H172" s="214"/>
      <c r="I172" s="214"/>
      <c r="J172" s="214"/>
      <c r="K172" s="214"/>
      <c r="L172" s="214"/>
      <c r="M172" s="214"/>
      <c r="N172" s="214"/>
      <c r="O172" s="214"/>
      <c r="P172" s="214"/>
      <c r="Q172" s="386"/>
      <c r="R172" s="370"/>
    </row>
    <row r="173" spans="1:18" s="211" customFormat="1" ht="45.75" x14ac:dyDescent="0.65">
      <c r="A173" s="213"/>
      <c r="B173" s="214"/>
      <c r="C173" s="214"/>
      <c r="D173" s="217" t="s">
        <v>648</v>
      </c>
      <c r="E173" s="123"/>
      <c r="F173" s="123"/>
      <c r="G173" s="123"/>
      <c r="H173" s="217"/>
      <c r="I173" s="187"/>
      <c r="J173" s="187"/>
      <c r="K173" s="217" t="s">
        <v>649</v>
      </c>
      <c r="L173" s="187"/>
      <c r="M173" s="187"/>
      <c r="N173" s="187"/>
      <c r="O173" s="187"/>
      <c r="P173" s="187"/>
      <c r="Q173" s="386"/>
      <c r="R173" s="370"/>
    </row>
    <row r="174" spans="1:18" ht="45.75" x14ac:dyDescent="0.65">
      <c r="A174" s="200"/>
      <c r="B174" s="200"/>
      <c r="C174" s="200"/>
      <c r="D174" s="601"/>
      <c r="E174" s="601"/>
      <c r="F174" s="601"/>
      <c r="G174" s="601"/>
      <c r="H174" s="601"/>
      <c r="I174" s="601"/>
      <c r="J174" s="601"/>
      <c r="K174" s="601"/>
      <c r="L174" s="601"/>
      <c r="M174" s="601"/>
      <c r="N174" s="601"/>
      <c r="O174" s="601"/>
      <c r="P174" s="601"/>
      <c r="Q174" s="387"/>
    </row>
    <row r="175" spans="1:18" ht="150.75" hidden="1" customHeight="1" x14ac:dyDescent="0.65">
      <c r="D175" s="601" t="s">
        <v>650</v>
      </c>
      <c r="E175" s="601"/>
      <c r="F175" s="601"/>
      <c r="G175" s="601"/>
      <c r="H175" s="601"/>
      <c r="I175" s="601"/>
      <c r="J175" s="601"/>
      <c r="K175" s="601"/>
      <c r="L175" s="601"/>
      <c r="M175" s="601"/>
      <c r="N175" s="601"/>
      <c r="O175" s="601"/>
      <c r="P175" s="601"/>
    </row>
    <row r="176" spans="1:18" ht="95.25" customHeight="1" x14ac:dyDescent="0.55000000000000004">
      <c r="G176" s="581"/>
      <c r="H176" s="581"/>
      <c r="Q176" s="378"/>
    </row>
    <row r="177" spans="1:18" hidden="1" x14ac:dyDescent="0.2">
      <c r="E177" s="4"/>
      <c r="F177" s="3"/>
      <c r="G177" s="581"/>
      <c r="H177" s="581"/>
      <c r="J177" s="4"/>
      <c r="K177" s="4"/>
    </row>
    <row r="178" spans="1:18" hidden="1" x14ac:dyDescent="0.2">
      <c r="E178" s="4"/>
      <c r="F178" s="3"/>
      <c r="G178" s="581"/>
      <c r="H178" s="581"/>
      <c r="J178" s="4"/>
      <c r="K178" s="4"/>
    </row>
    <row r="179" spans="1:18" ht="60.75" x14ac:dyDescent="0.2">
      <c r="E179" s="85" t="b">
        <f>E170=E168</f>
        <v>1</v>
      </c>
      <c r="F179" s="85" t="b">
        <f>F170=F168</f>
        <v>1</v>
      </c>
      <c r="G179" s="85" t="b">
        <f>G170=G168</f>
        <v>1</v>
      </c>
      <c r="H179" s="85" t="b">
        <f t="shared" ref="H179:O179" si="111">H170=H168</f>
        <v>1</v>
      </c>
      <c r="I179" s="85" t="b">
        <f>I170=I168</f>
        <v>1</v>
      </c>
      <c r="J179" s="85" t="b">
        <f>J170=J168</f>
        <v>1</v>
      </c>
      <c r="K179" s="85" t="b">
        <f>K170=K168</f>
        <v>1</v>
      </c>
      <c r="L179" s="85" t="b">
        <f t="shared" si="111"/>
        <v>1</v>
      </c>
      <c r="M179" s="85" t="b">
        <f t="shared" si="111"/>
        <v>1</v>
      </c>
      <c r="N179" s="85" t="b">
        <f t="shared" si="111"/>
        <v>1</v>
      </c>
      <c r="O179" s="85" t="b">
        <f t="shared" si="111"/>
        <v>1</v>
      </c>
      <c r="P179" s="85" t="b">
        <f>P170=P168</f>
        <v>1</v>
      </c>
    </row>
    <row r="180" spans="1:18" ht="61.5" x14ac:dyDescent="0.2">
      <c r="E180" s="85" t="b">
        <f>E168=F168</f>
        <v>1</v>
      </c>
      <c r="F180" s="190">
        <f>F166/E168*100</f>
        <v>0.11384242117851301</v>
      </c>
      <c r="G180" s="92" t="s">
        <v>357</v>
      </c>
      <c r="H180" s="588"/>
      <c r="I180" s="191"/>
      <c r="J180" s="85" t="b">
        <f>J170=L170+O170</f>
        <v>1</v>
      </c>
      <c r="K180" s="192"/>
      <c r="L180" s="85"/>
      <c r="M180" s="191"/>
      <c r="N180" s="191"/>
      <c r="O180" s="85"/>
      <c r="P180" s="85" t="b">
        <f>E168+J168=P168</f>
        <v>1</v>
      </c>
    </row>
    <row r="181" spans="1:18" ht="60.75" x14ac:dyDescent="0.2">
      <c r="E181" s="193"/>
      <c r="F181" s="194"/>
      <c r="G181" s="193"/>
      <c r="H181" s="589"/>
      <c r="I181" s="193"/>
      <c r="J181" s="4"/>
      <c r="K181" s="4"/>
    </row>
    <row r="182" spans="1:18" ht="61.5" x14ac:dyDescent="0.2">
      <c r="A182" s="197"/>
      <c r="B182" s="197"/>
      <c r="C182" s="197"/>
      <c r="D182" s="6"/>
      <c r="E182" s="197"/>
      <c r="F182" s="92">
        <f>F166/P168*100</f>
        <v>0.10029274504244001</v>
      </c>
      <c r="G182" s="92" t="s">
        <v>357</v>
      </c>
      <c r="H182" s="588">
        <v>4918980</v>
      </c>
      <c r="I182" s="6"/>
      <c r="J182" s="98"/>
      <c r="K182" s="98"/>
      <c r="L182" s="98"/>
      <c r="M182" s="98"/>
      <c r="N182" s="98"/>
      <c r="O182" s="98"/>
      <c r="P182" s="98"/>
    </row>
    <row r="183" spans="1:18" ht="61.5" x14ac:dyDescent="0.2">
      <c r="D183" s="6"/>
      <c r="E183" s="98"/>
      <c r="F183" s="195"/>
      <c r="G183" s="85"/>
      <c r="H183" s="588"/>
      <c r="I183" s="6"/>
      <c r="J183" s="98"/>
      <c r="K183" s="98"/>
      <c r="L183" s="161"/>
      <c r="P183" s="85"/>
      <c r="Q183" s="382"/>
      <c r="R183" s="385"/>
    </row>
    <row r="184" spans="1:18" ht="60.75" x14ac:dyDescent="0.2">
      <c r="A184" s="197"/>
      <c r="B184" s="197"/>
      <c r="C184" s="197"/>
      <c r="D184" s="6"/>
      <c r="E184" s="188"/>
      <c r="F184" s="188"/>
      <c r="G184" s="188"/>
      <c r="H184" s="188"/>
      <c r="I184" s="196"/>
      <c r="J184" s="188"/>
      <c r="K184" s="188"/>
      <c r="L184" s="188"/>
      <c r="M184" s="188"/>
      <c r="N184" s="188"/>
      <c r="O184" s="188"/>
      <c r="P184" s="188"/>
      <c r="Q184" s="382"/>
      <c r="R184" s="385"/>
    </row>
    <row r="185" spans="1:18" ht="60.75" x14ac:dyDescent="0.2">
      <c r="D185" s="6"/>
      <c r="E185" s="98"/>
      <c r="F185" s="121"/>
      <c r="G185" s="536"/>
      <c r="O185" s="85"/>
      <c r="P185" s="85"/>
    </row>
    <row r="186" spans="1:18" ht="60.75" x14ac:dyDescent="0.2">
      <c r="A186" s="197"/>
      <c r="B186" s="197"/>
      <c r="C186" s="197"/>
      <c r="D186" s="6"/>
      <c r="E186" s="98"/>
      <c r="F186" s="92"/>
      <c r="G186" s="161"/>
      <c r="I186" s="208"/>
      <c r="J186" s="4"/>
      <c r="K186" s="4"/>
      <c r="L186" s="197"/>
      <c r="M186" s="197"/>
      <c r="N186" s="197"/>
      <c r="O186" s="197"/>
      <c r="P186" s="85"/>
    </row>
    <row r="187" spans="1:18" ht="62.25" x14ac:dyDescent="0.8">
      <c r="A187" s="197"/>
      <c r="B187" s="197"/>
      <c r="C187" s="197"/>
      <c r="D187" s="197"/>
      <c r="E187" s="10"/>
      <c r="F187" s="92"/>
      <c r="J187" s="4"/>
      <c r="K187" s="4"/>
      <c r="L187" s="197"/>
      <c r="M187" s="197"/>
      <c r="N187" s="197"/>
      <c r="O187" s="197"/>
      <c r="P187" s="102"/>
    </row>
    <row r="188" spans="1:18" ht="45.75" x14ac:dyDescent="0.2">
      <c r="E188" s="162">
        <f>E166/E168</f>
        <v>1.1384242117851301E-3</v>
      </c>
      <c r="F188" s="121"/>
    </row>
    <row r="189" spans="1:18" ht="45.75" x14ac:dyDescent="0.2">
      <c r="A189" s="197"/>
      <c r="B189" s="197"/>
      <c r="C189" s="197"/>
      <c r="D189" s="197"/>
      <c r="E189" s="10"/>
      <c r="F189" s="92"/>
      <c r="L189" s="197"/>
      <c r="M189" s="197"/>
      <c r="N189" s="197"/>
      <c r="O189" s="197"/>
      <c r="P189" s="197"/>
    </row>
    <row r="190" spans="1:18" ht="45.75" x14ac:dyDescent="0.2">
      <c r="E190" s="11"/>
      <c r="F190" s="121"/>
    </row>
    <row r="191" spans="1:18" ht="45.75" x14ac:dyDescent="0.2">
      <c r="E191" s="11"/>
      <c r="F191" s="121"/>
    </row>
    <row r="192" spans="1:18" ht="45.75" x14ac:dyDescent="0.2">
      <c r="E192" s="11"/>
      <c r="F192" s="121"/>
    </row>
    <row r="193" spans="1:16" ht="45.75" x14ac:dyDescent="0.2">
      <c r="A193" s="197"/>
      <c r="B193" s="197"/>
      <c r="C193" s="197"/>
      <c r="D193" s="197"/>
      <c r="E193" s="11"/>
      <c r="F193" s="121"/>
      <c r="G193" s="197"/>
      <c r="H193" s="197"/>
      <c r="I193" s="197"/>
      <c r="J193" s="197"/>
      <c r="K193" s="197"/>
      <c r="L193" s="197"/>
      <c r="M193" s="197"/>
      <c r="N193" s="197"/>
      <c r="O193" s="197"/>
      <c r="P193" s="197"/>
    </row>
    <row r="194" spans="1:16" ht="45.75" x14ac:dyDescent="0.2">
      <c r="A194" s="197"/>
      <c r="B194" s="197"/>
      <c r="C194" s="197"/>
      <c r="D194" s="197"/>
      <c r="E194" s="11"/>
      <c r="F194" s="121"/>
      <c r="G194" s="197"/>
      <c r="H194" s="197"/>
      <c r="I194" s="197"/>
      <c r="J194" s="197"/>
      <c r="K194" s="197"/>
      <c r="L194" s="197"/>
      <c r="M194" s="197"/>
      <c r="N194" s="197"/>
      <c r="O194" s="197"/>
      <c r="P194" s="197"/>
    </row>
    <row r="195" spans="1:16" ht="45.75" x14ac:dyDescent="0.2">
      <c r="A195" s="197"/>
      <c r="B195" s="197"/>
      <c r="C195" s="197"/>
      <c r="D195" s="197"/>
      <c r="E195" s="11"/>
      <c r="F195" s="121"/>
      <c r="G195" s="197"/>
      <c r="H195" s="197"/>
      <c r="I195" s="197"/>
      <c r="J195" s="197"/>
      <c r="K195" s="197"/>
      <c r="L195" s="197"/>
      <c r="M195" s="197"/>
      <c r="N195" s="197"/>
      <c r="O195" s="197"/>
      <c r="P195" s="197"/>
    </row>
    <row r="196" spans="1:16" ht="45.75" x14ac:dyDescent="0.2">
      <c r="A196" s="197"/>
      <c r="B196" s="197"/>
      <c r="C196" s="197"/>
      <c r="D196" s="197"/>
      <c r="E196" s="11"/>
      <c r="F196" s="121"/>
      <c r="G196" s="197"/>
      <c r="H196" s="197"/>
      <c r="I196" s="197"/>
      <c r="J196" s="197"/>
      <c r="K196" s="197"/>
      <c r="L196" s="197"/>
      <c r="M196" s="197"/>
      <c r="N196" s="197"/>
      <c r="O196" s="197"/>
      <c r="P196" s="197"/>
    </row>
  </sheetData>
  <mergeCells count="86">
    <mergeCell ref="D175:P175"/>
    <mergeCell ref="A169:P169"/>
    <mergeCell ref="D174:P174"/>
    <mergeCell ref="K23:K24"/>
    <mergeCell ref="L23:L24"/>
    <mergeCell ref="M23:M24"/>
    <mergeCell ref="N23:N24"/>
    <mergeCell ref="O23:O24"/>
    <mergeCell ref="P23:P24"/>
    <mergeCell ref="E109:E110"/>
    <mergeCell ref="F109:F110"/>
    <mergeCell ref="G109:G110"/>
    <mergeCell ref="H109:H110"/>
    <mergeCell ref="I109:I110"/>
    <mergeCell ref="J109:J110"/>
    <mergeCell ref="A23:A24"/>
    <mergeCell ref="B23:B24"/>
    <mergeCell ref="C23:C24"/>
    <mergeCell ref="N2:Q2"/>
    <mergeCell ref="N3:Q3"/>
    <mergeCell ref="O4:P4"/>
    <mergeCell ref="A6:P6"/>
    <mergeCell ref="A7:P7"/>
    <mergeCell ref="A9:B9"/>
    <mergeCell ref="J12:O12"/>
    <mergeCell ref="P12:P14"/>
    <mergeCell ref="E13:E14"/>
    <mergeCell ref="F13:F14"/>
    <mergeCell ref="G13:H13"/>
    <mergeCell ref="I13:I14"/>
    <mergeCell ref="J13:J14"/>
    <mergeCell ref="K13:K14"/>
    <mergeCell ref="L13:L14"/>
    <mergeCell ref="M13:N13"/>
    <mergeCell ref="O13:O14"/>
    <mergeCell ref="A10:B10"/>
    <mergeCell ref="A12:A14"/>
    <mergeCell ref="B12:B14"/>
    <mergeCell ref="C12:C14"/>
    <mergeCell ref="D12:D14"/>
    <mergeCell ref="E12:I12"/>
    <mergeCell ref="E23:E24"/>
    <mergeCell ref="F23:F24"/>
    <mergeCell ref="G23:G24"/>
    <mergeCell ref="H23:H24"/>
    <mergeCell ref="I23:I24"/>
    <mergeCell ref="J23:J24"/>
    <mergeCell ref="K123:K124"/>
    <mergeCell ref="L123:L124"/>
    <mergeCell ref="M123:M124"/>
    <mergeCell ref="N123:N124"/>
    <mergeCell ref="M109:M110"/>
    <mergeCell ref="N109:N110"/>
    <mergeCell ref="J74:J75"/>
    <mergeCell ref="O123:O124"/>
    <mergeCell ref="P123:P124"/>
    <mergeCell ref="A109:A110"/>
    <mergeCell ref="B109:B110"/>
    <mergeCell ref="C109:C110"/>
    <mergeCell ref="A123:A124"/>
    <mergeCell ref="B123:B124"/>
    <mergeCell ref="C123:C124"/>
    <mergeCell ref="E123:E124"/>
    <mergeCell ref="F123:F124"/>
    <mergeCell ref="G123:G124"/>
    <mergeCell ref="H123:H124"/>
    <mergeCell ref="I123:I124"/>
    <mergeCell ref="J123:J124"/>
    <mergeCell ref="K109:K110"/>
    <mergeCell ref="L109:L110"/>
    <mergeCell ref="O109:O110"/>
    <mergeCell ref="P109:P110"/>
    <mergeCell ref="K74:K75"/>
    <mergeCell ref="L74:L75"/>
    <mergeCell ref="M74:M75"/>
    <mergeCell ref="N74:N75"/>
    <mergeCell ref="O74:O75"/>
    <mergeCell ref="P74:P75"/>
    <mergeCell ref="G74:G75"/>
    <mergeCell ref="H74:H75"/>
    <mergeCell ref="I74:I75"/>
    <mergeCell ref="A74:A75"/>
    <mergeCell ref="B74:B75"/>
    <mergeCell ref="C74:C75"/>
    <mergeCell ref="E74:E75"/>
    <mergeCell ref="F74:F75"/>
  </mergeCells>
  <conditionalFormatting sqref="Q164:R164 Q163"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Q159 Q158:R158"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R163"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Q146:R146">
    <cfRule type="iconSet" priority="14">
      <iconSet iconSet="3Arrows">
        <cfvo type="percent" val="0"/>
        <cfvo type="percent" val="33"/>
        <cfvo type="percent" val="67"/>
      </iconSet>
    </cfRule>
  </conditionalFormatting>
  <conditionalFormatting sqref="Q142:Q144">
    <cfRule type="iconSet" priority="9">
      <iconSet iconSet="3Arrows">
        <cfvo type="percent" val="0"/>
        <cfvo type="percent" val="33"/>
        <cfvo type="percent" val="67"/>
      </iconSet>
    </cfRule>
  </conditionalFormatting>
  <conditionalFormatting sqref="R142:R144"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Q141">
    <cfRule type="iconSet" priority="7">
      <iconSet iconSet="3Arrows">
        <cfvo type="percent" val="0"/>
        <cfvo type="percent" val="33"/>
        <cfvo type="percent" val="67"/>
      </iconSet>
    </cfRule>
  </conditionalFormatting>
  <conditionalFormatting sqref="R141"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R159">
    <cfRule type="iconSet" priority="5">
      <iconSet iconSet="3Arrows">
        <cfvo type="percent" val="0"/>
        <cfvo type="percent" val="33"/>
        <cfvo type="percent" val="67"/>
      </iconSet>
    </cfRule>
  </conditionalFormatting>
  <conditionalFormatting sqref="R138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Q138:Q139">
    <cfRule type="iconSet" priority="19">
      <iconSet iconSet="3Arrows">
        <cfvo type="percent" val="0"/>
        <cfvo type="percent" val="33"/>
        <cfvo type="percent" val="67"/>
      </iconSet>
    </cfRule>
  </conditionalFormatting>
  <conditionalFormatting sqref="R139">
    <cfRule type="iconSet" priority="3">
      <iconSet iconSet="3Arrows">
        <cfvo type="percent" val="0"/>
        <cfvo type="percent" val="33"/>
        <cfvo type="percent" val="67"/>
      </iconSet>
    </cfRule>
  </conditionalFormatting>
  <conditionalFormatting sqref="R151"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R152">
    <cfRule type="iconSet" priority="1">
      <iconSet iconSet="3Arrows">
        <cfvo type="percent" val="0"/>
        <cfvo type="percent" val="33"/>
        <cfvo type="percent" val="67"/>
      </iconSet>
    </cfRule>
  </conditionalFormatting>
  <conditionalFormatting sqref="Q151:Q152">
    <cfRule type="iconSet" priority="20">
      <iconSet iconSet="3Arrows">
        <cfvo type="percent" val="0"/>
        <cfvo type="percent" val="33"/>
        <cfvo type="percent" val="67"/>
      </iconSet>
    </cfRule>
  </conditionalFormatting>
  <conditionalFormatting sqref="R147:R149">
    <cfRule type="iconSet" priority="26">
      <iconSet iconSet="3Arrows">
        <cfvo type="percent" val="0"/>
        <cfvo type="percent" val="33"/>
        <cfvo type="percent" val="67"/>
      </iconSet>
    </cfRule>
  </conditionalFormatting>
  <pageMargins left="0.23622047244094491" right="0.27559055118110237" top="0.27559055118110237" bottom="0.15748031496062992" header="0.23622047244094491" footer="0.27559055118110237"/>
  <pageSetup paperSize="9" scale="15" fitToHeight="0" orientation="landscape" r:id="rId1"/>
  <headerFooter alignWithMargins="0">
    <oddFooter>&amp;C&amp;"Times New Roman Cyr,курсив"Сторінка &amp;P з &amp;N</oddFooter>
  </headerFooter>
  <rowBreaks count="3" manualBreakCount="3">
    <brk id="32" max="16383" man="1"/>
    <brk id="52" max="16383" man="1"/>
    <brk id="150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4"/>
  <dimension ref="A2:R163"/>
  <sheetViews>
    <sheetView showGridLines="0" view="pageBreakPreview" topLeftCell="B1" zoomScale="85" zoomScaleNormal="85" zoomScaleSheetLayoutView="85" workbookViewId="0">
      <selection activeCell="P4" sqref="P4"/>
    </sheetView>
  </sheetViews>
  <sheetFormatPr defaultColWidth="7.85546875" defaultRowHeight="12.75" x14ac:dyDescent="0.2"/>
  <cols>
    <col min="1" max="1" width="0" style="8" hidden="1" customWidth="1"/>
    <col min="2" max="2" width="13" style="66" customWidth="1"/>
    <col min="3" max="3" width="13.5703125" style="66" customWidth="1"/>
    <col min="4" max="4" width="15.28515625" style="66" customWidth="1"/>
    <col min="5" max="5" width="37" style="66" customWidth="1"/>
    <col min="6" max="6" width="10.5703125" style="66" customWidth="1"/>
    <col min="7" max="7" width="11.85546875" style="66" customWidth="1"/>
    <col min="8" max="8" width="13.28515625" style="66" customWidth="1"/>
    <col min="9" max="9" width="12.5703125" style="66" customWidth="1"/>
    <col min="10" max="10" width="12.140625" style="66" customWidth="1"/>
    <col min="11" max="11" width="18.140625" style="66" customWidth="1"/>
    <col min="12" max="12" width="13.5703125" style="66" customWidth="1"/>
    <col min="13" max="13" width="13" style="66" customWidth="1"/>
    <col min="14" max="14" width="11.42578125" style="66" customWidth="1"/>
    <col min="15" max="15" width="12.7109375" style="66" customWidth="1"/>
    <col min="16" max="16" width="12.5703125" style="66" customWidth="1"/>
    <col min="17" max="17" width="12.7109375" style="66" customWidth="1"/>
    <col min="18" max="18" width="10" style="399" bestFit="1" customWidth="1"/>
    <col min="19" max="16384" width="7.85546875" style="66"/>
  </cols>
  <sheetData>
    <row r="2" spans="1:18" ht="64.5" customHeight="1" x14ac:dyDescent="0.2">
      <c r="B2" s="8"/>
      <c r="C2" s="8"/>
      <c r="D2" s="8"/>
      <c r="M2" s="652" t="s">
        <v>912</v>
      </c>
      <c r="N2" s="652"/>
      <c r="O2" s="652"/>
      <c r="P2" s="652"/>
      <c r="Q2" s="652"/>
    </row>
    <row r="3" spans="1:18" ht="18.75" x14ac:dyDescent="0.2">
      <c r="B3" s="655"/>
      <c r="C3" s="655"/>
      <c r="D3" s="8"/>
      <c r="E3" s="653" t="s">
        <v>770</v>
      </c>
      <c r="F3" s="653"/>
      <c r="G3" s="653"/>
      <c r="H3" s="653"/>
      <c r="I3" s="653"/>
      <c r="J3" s="653"/>
      <c r="K3" s="653"/>
      <c r="L3" s="653"/>
      <c r="M3" s="653"/>
      <c r="N3" s="68"/>
      <c r="O3" s="68"/>
      <c r="P3" s="68"/>
      <c r="Q3" s="68"/>
    </row>
    <row r="4" spans="1:18" s="283" customFormat="1" ht="21" customHeight="1" x14ac:dyDescent="0.2">
      <c r="A4" s="8"/>
      <c r="B4" s="281"/>
      <c r="C4" s="282"/>
      <c r="D4" s="70"/>
      <c r="E4" s="653" t="s">
        <v>769</v>
      </c>
      <c r="F4" s="663"/>
      <c r="G4" s="663"/>
      <c r="H4" s="663"/>
      <c r="I4" s="663"/>
      <c r="J4" s="663"/>
      <c r="K4" s="663"/>
      <c r="L4" s="663"/>
      <c r="M4" s="663"/>
      <c r="N4" s="8"/>
      <c r="O4" s="8"/>
      <c r="P4" s="8"/>
      <c r="Q4" s="71"/>
      <c r="R4" s="399"/>
    </row>
    <row r="5" spans="1:18" s="139" customFormat="1" ht="12" customHeight="1" x14ac:dyDescent="0.2">
      <c r="A5" s="8"/>
      <c r="B5" s="656">
        <v>22564000000</v>
      </c>
      <c r="C5" s="657"/>
      <c r="D5" s="70"/>
      <c r="E5" s="140"/>
      <c r="F5" s="140"/>
      <c r="G5" s="140"/>
      <c r="H5" s="140"/>
      <c r="I5" s="140"/>
      <c r="J5" s="140"/>
      <c r="K5" s="140"/>
      <c r="L5" s="140"/>
      <c r="M5" s="140"/>
      <c r="N5" s="8"/>
      <c r="O5" s="8"/>
      <c r="P5" s="8"/>
      <c r="Q5" s="71"/>
      <c r="R5" s="399"/>
    </row>
    <row r="6" spans="1:18" s="139" customFormat="1" ht="12" customHeight="1" x14ac:dyDescent="0.2">
      <c r="A6" s="8"/>
      <c r="B6" s="658" t="s">
        <v>568</v>
      </c>
      <c r="C6" s="659"/>
      <c r="D6" s="70"/>
      <c r="E6" s="140"/>
      <c r="F6" s="140"/>
      <c r="G6" s="140"/>
      <c r="H6" s="140"/>
      <c r="I6" s="140"/>
      <c r="J6" s="140"/>
      <c r="K6" s="140"/>
      <c r="L6" s="140"/>
      <c r="M6" s="140"/>
      <c r="N6" s="8"/>
      <c r="O6" s="8"/>
      <c r="P6" s="8"/>
      <c r="Q6" s="71"/>
      <c r="R6" s="399"/>
    </row>
    <row r="7" spans="1:18" ht="21" customHeight="1" thickBot="1" x14ac:dyDescent="0.35">
      <c r="B7" s="69"/>
      <c r="C7" s="69"/>
      <c r="D7" s="70"/>
      <c r="E7" s="67"/>
      <c r="F7" s="67"/>
      <c r="G7" s="67"/>
      <c r="H7" s="67"/>
      <c r="I7" s="67"/>
      <c r="J7" s="67"/>
      <c r="K7" s="67"/>
      <c r="L7" s="67"/>
      <c r="M7" s="67"/>
      <c r="N7" s="8"/>
      <c r="O7" s="8"/>
      <c r="P7" s="8"/>
      <c r="Q7" s="146" t="s">
        <v>454</v>
      </c>
    </row>
    <row r="8" spans="1:18" ht="17.45" customHeight="1" thickTop="1" thickBot="1" x14ac:dyDescent="0.25">
      <c r="A8" s="72"/>
      <c r="B8" s="654" t="s">
        <v>569</v>
      </c>
      <c r="C8" s="661" t="s">
        <v>570</v>
      </c>
      <c r="D8" s="661" t="s">
        <v>440</v>
      </c>
      <c r="E8" s="661" t="s">
        <v>773</v>
      </c>
      <c r="F8" s="654" t="s">
        <v>144</v>
      </c>
      <c r="G8" s="654"/>
      <c r="H8" s="654"/>
      <c r="I8" s="654"/>
      <c r="J8" s="654" t="s">
        <v>145</v>
      </c>
      <c r="K8" s="654"/>
      <c r="L8" s="654"/>
      <c r="M8" s="654"/>
      <c r="N8" s="654" t="s">
        <v>439</v>
      </c>
      <c r="O8" s="654"/>
      <c r="P8" s="654"/>
      <c r="Q8" s="654"/>
    </row>
    <row r="9" spans="1:18" ht="28.5" customHeight="1" thickTop="1" thickBot="1" x14ac:dyDescent="0.25">
      <c r="A9" s="73"/>
      <c r="B9" s="654"/>
      <c r="C9" s="636"/>
      <c r="D9" s="636"/>
      <c r="E9" s="662"/>
      <c r="F9" s="649" t="s">
        <v>436</v>
      </c>
      <c r="G9" s="649" t="s">
        <v>437</v>
      </c>
      <c r="H9" s="650"/>
      <c r="I9" s="649" t="s">
        <v>438</v>
      </c>
      <c r="J9" s="649" t="s">
        <v>436</v>
      </c>
      <c r="K9" s="649" t="s">
        <v>437</v>
      </c>
      <c r="L9" s="650"/>
      <c r="M9" s="649" t="s">
        <v>438</v>
      </c>
      <c r="N9" s="649" t="s">
        <v>436</v>
      </c>
      <c r="O9" s="649" t="s">
        <v>437</v>
      </c>
      <c r="P9" s="650"/>
      <c r="Q9" s="649" t="s">
        <v>438</v>
      </c>
    </row>
    <row r="10" spans="1:18" ht="65.25" customHeight="1" thickTop="1" thickBot="1" x14ac:dyDescent="0.25">
      <c r="A10" s="66"/>
      <c r="B10" s="654"/>
      <c r="C10" s="636"/>
      <c r="D10" s="636"/>
      <c r="E10" s="636"/>
      <c r="F10" s="649"/>
      <c r="G10" s="354" t="s">
        <v>434</v>
      </c>
      <c r="H10" s="354" t="s">
        <v>435</v>
      </c>
      <c r="I10" s="649"/>
      <c r="J10" s="649"/>
      <c r="K10" s="354" t="s">
        <v>434</v>
      </c>
      <c r="L10" s="354" t="s">
        <v>435</v>
      </c>
      <c r="M10" s="649"/>
      <c r="N10" s="649"/>
      <c r="O10" s="354" t="s">
        <v>434</v>
      </c>
      <c r="P10" s="354" t="s">
        <v>435</v>
      </c>
      <c r="Q10" s="649"/>
    </row>
    <row r="11" spans="1:18" ht="15" customHeight="1" thickTop="1" thickBot="1" x14ac:dyDescent="0.25">
      <c r="A11" s="66"/>
      <c r="B11" s="355">
        <v>1</v>
      </c>
      <c r="C11" s="356">
        <v>2</v>
      </c>
      <c r="D11" s="355">
        <v>3</v>
      </c>
      <c r="E11" s="356">
        <v>4</v>
      </c>
      <c r="F11" s="355">
        <v>5</v>
      </c>
      <c r="G11" s="356">
        <v>6</v>
      </c>
      <c r="H11" s="355">
        <v>7</v>
      </c>
      <c r="I11" s="356">
        <v>8</v>
      </c>
      <c r="J11" s="355">
        <v>9</v>
      </c>
      <c r="K11" s="356">
        <v>10</v>
      </c>
      <c r="L11" s="355">
        <v>11</v>
      </c>
      <c r="M11" s="356">
        <v>12</v>
      </c>
      <c r="N11" s="355">
        <v>13</v>
      </c>
      <c r="O11" s="356">
        <v>14</v>
      </c>
      <c r="P11" s="355">
        <v>15</v>
      </c>
      <c r="Q11" s="356">
        <v>16</v>
      </c>
    </row>
    <row r="12" spans="1:18" s="75" customFormat="1" ht="46.5" thickTop="1" thickBot="1" x14ac:dyDescent="0.25">
      <c r="A12" s="74"/>
      <c r="B12" s="443" t="s">
        <v>24</v>
      </c>
      <c r="C12" s="443"/>
      <c r="D12" s="443"/>
      <c r="E12" s="444" t="s">
        <v>25</v>
      </c>
      <c r="F12" s="446">
        <f>F13</f>
        <v>200000</v>
      </c>
      <c r="G12" s="446">
        <f t="shared" ref="G12:Q12" si="0">G13</f>
        <v>100000</v>
      </c>
      <c r="H12" s="446">
        <f t="shared" si="0"/>
        <v>0</v>
      </c>
      <c r="I12" s="446">
        <f>I13</f>
        <v>300000</v>
      </c>
      <c r="J12" s="446">
        <f t="shared" si="0"/>
        <v>0</v>
      </c>
      <c r="K12" s="446">
        <f t="shared" si="0"/>
        <v>-100000</v>
      </c>
      <c r="L12" s="446">
        <f t="shared" si="0"/>
        <v>0</v>
      </c>
      <c r="M12" s="446">
        <f>M13</f>
        <v>-100000</v>
      </c>
      <c r="N12" s="446">
        <f t="shared" si="0"/>
        <v>200000</v>
      </c>
      <c r="O12" s="446">
        <f t="shared" si="0"/>
        <v>0</v>
      </c>
      <c r="P12" s="446">
        <f t="shared" si="0"/>
        <v>0</v>
      </c>
      <c r="Q12" s="446">
        <f t="shared" si="0"/>
        <v>200000</v>
      </c>
      <c r="R12" s="400"/>
    </row>
    <row r="13" spans="1:18" ht="44.25" thickTop="1" thickBot="1" x14ac:dyDescent="0.25">
      <c r="B13" s="447" t="s">
        <v>23</v>
      </c>
      <c r="C13" s="447"/>
      <c r="D13" s="447"/>
      <c r="E13" s="448" t="s">
        <v>39</v>
      </c>
      <c r="F13" s="496">
        <f>F14</f>
        <v>200000</v>
      </c>
      <c r="G13" s="496">
        <f t="shared" ref="G13:H13" si="1">G14</f>
        <v>100000</v>
      </c>
      <c r="H13" s="496">
        <f t="shared" si="1"/>
        <v>0</v>
      </c>
      <c r="I13" s="496">
        <f>I14</f>
        <v>300000</v>
      </c>
      <c r="J13" s="496">
        <f>J15</f>
        <v>0</v>
      </c>
      <c r="K13" s="496">
        <f>K15+K14+K16</f>
        <v>-100000</v>
      </c>
      <c r="L13" s="496">
        <f t="shared" ref="L13" si="2">L15</f>
        <v>0</v>
      </c>
      <c r="M13" s="496">
        <f>M15+M14+M16</f>
        <v>-100000</v>
      </c>
      <c r="N13" s="496">
        <f>N15+N14+N16</f>
        <v>200000</v>
      </c>
      <c r="O13" s="496">
        <f>O15+O14+O16</f>
        <v>0</v>
      </c>
      <c r="P13" s="496">
        <f>P15+P14+P16</f>
        <v>0</v>
      </c>
      <c r="Q13" s="496">
        <f>Q15+Q14+Q16</f>
        <v>200000</v>
      </c>
    </row>
    <row r="14" spans="1:18" ht="61.5" thickTop="1" thickBot="1" x14ac:dyDescent="0.25">
      <c r="B14" s="497" t="s">
        <v>521</v>
      </c>
      <c r="C14" s="497" t="s">
        <v>524</v>
      </c>
      <c r="D14" s="497" t="s">
        <v>54</v>
      </c>
      <c r="E14" s="498" t="s">
        <v>520</v>
      </c>
      <c r="F14" s="499">
        <v>200000</v>
      </c>
      <c r="G14" s="499">
        <v>100000</v>
      </c>
      <c r="H14" s="499">
        <v>0</v>
      </c>
      <c r="I14" s="499">
        <f>F14+G14</f>
        <v>300000</v>
      </c>
      <c r="J14" s="499">
        <v>0</v>
      </c>
      <c r="K14" s="499">
        <v>0</v>
      </c>
      <c r="L14" s="499"/>
      <c r="M14" s="499">
        <f>J14+K14</f>
        <v>0</v>
      </c>
      <c r="N14" s="499">
        <f>F14+J14</f>
        <v>200000</v>
      </c>
      <c r="O14" s="499">
        <f>G14+K14</f>
        <v>100000</v>
      </c>
      <c r="P14" s="499"/>
      <c r="Q14" s="499">
        <f>I14+M14</f>
        <v>300000</v>
      </c>
    </row>
    <row r="15" spans="1:18" ht="61.5" thickTop="1" thickBot="1" x14ac:dyDescent="0.25">
      <c r="B15" s="497" t="s">
        <v>522</v>
      </c>
      <c r="C15" s="497" t="s">
        <v>525</v>
      </c>
      <c r="D15" s="497" t="s">
        <v>54</v>
      </c>
      <c r="E15" s="498" t="s">
        <v>523</v>
      </c>
      <c r="F15" s="499"/>
      <c r="G15" s="499">
        <f>H15+I15</f>
        <v>0</v>
      </c>
      <c r="H15" s="499"/>
      <c r="I15" s="499"/>
      <c r="J15" s="499"/>
      <c r="K15" s="499">
        <v>-100000</v>
      </c>
      <c r="L15" s="499"/>
      <c r="M15" s="499">
        <f>J15+K15</f>
        <v>-100000</v>
      </c>
      <c r="N15" s="499">
        <f>F15+J15</f>
        <v>0</v>
      </c>
      <c r="O15" s="499">
        <v>-100000</v>
      </c>
      <c r="P15" s="499"/>
      <c r="Q15" s="499">
        <f>I15+M15</f>
        <v>-100000</v>
      </c>
    </row>
    <row r="16" spans="1:18" s="159" customFormat="1" ht="61.5" hidden="1" thickTop="1" thickBot="1" x14ac:dyDescent="0.25">
      <c r="A16" s="8"/>
      <c r="B16" s="497" t="s">
        <v>584</v>
      </c>
      <c r="C16" s="497" t="s">
        <v>585</v>
      </c>
      <c r="D16" s="497" t="s">
        <v>54</v>
      </c>
      <c r="E16" s="498" t="s">
        <v>583</v>
      </c>
      <c r="F16" s="499"/>
      <c r="G16" s="499"/>
      <c r="H16" s="499"/>
      <c r="I16" s="499"/>
      <c r="J16" s="499"/>
      <c r="K16" s="499"/>
      <c r="L16" s="499"/>
      <c r="M16" s="499">
        <f>J16+K16</f>
        <v>0</v>
      </c>
      <c r="N16" s="499"/>
      <c r="O16" s="499">
        <f>G16+K16</f>
        <v>0</v>
      </c>
      <c r="P16" s="499"/>
      <c r="Q16" s="499">
        <f>I16+M16</f>
        <v>0</v>
      </c>
      <c r="R16" s="399"/>
    </row>
    <row r="17" spans="1:18" ht="27.75" customHeight="1" thickTop="1" thickBot="1" x14ac:dyDescent="0.25">
      <c r="B17" s="500" t="s">
        <v>431</v>
      </c>
      <c r="C17" s="500" t="s">
        <v>431</v>
      </c>
      <c r="D17" s="500" t="s">
        <v>431</v>
      </c>
      <c r="E17" s="501" t="s">
        <v>441</v>
      </c>
      <c r="F17" s="495">
        <f t="shared" ref="F17:M17" si="3">F12</f>
        <v>200000</v>
      </c>
      <c r="G17" s="495">
        <f t="shared" si="3"/>
        <v>100000</v>
      </c>
      <c r="H17" s="495">
        <f t="shared" si="3"/>
        <v>0</v>
      </c>
      <c r="I17" s="495">
        <f t="shared" si="3"/>
        <v>300000</v>
      </c>
      <c r="J17" s="495">
        <f t="shared" si="3"/>
        <v>0</v>
      </c>
      <c r="K17" s="495">
        <f t="shared" si="3"/>
        <v>-100000</v>
      </c>
      <c r="L17" s="495">
        <f t="shared" si="3"/>
        <v>0</v>
      </c>
      <c r="M17" s="495">
        <f t="shared" si="3"/>
        <v>-100000</v>
      </c>
      <c r="N17" s="495">
        <f>N14+N15</f>
        <v>200000</v>
      </c>
      <c r="O17" s="495">
        <f>O14+O15</f>
        <v>0</v>
      </c>
      <c r="P17" s="495">
        <f>P14+P15</f>
        <v>0</v>
      </c>
      <c r="Q17" s="495">
        <f>Q14+Q15</f>
        <v>200000</v>
      </c>
    </row>
    <row r="18" spans="1:18" s="178" customFormat="1" ht="27.75" customHeight="1" thickTop="1" x14ac:dyDescent="0.25">
      <c r="A18" s="168"/>
      <c r="B18" s="176"/>
      <c r="C18" s="176"/>
      <c r="D18" s="218" t="s">
        <v>677</v>
      </c>
      <c r="E18" s="218"/>
      <c r="F18" s="215"/>
      <c r="G18" s="215"/>
      <c r="H18" s="218"/>
      <c r="I18" s="209"/>
      <c r="J18" s="209"/>
      <c r="K18" s="218" t="s">
        <v>837</v>
      </c>
      <c r="L18" s="177"/>
      <c r="M18" s="177"/>
      <c r="N18" s="177"/>
      <c r="O18" s="177"/>
      <c r="P18" s="177"/>
      <c r="Q18" s="177"/>
      <c r="R18" s="401"/>
    </row>
    <row r="19" spans="1:18" s="178" customFormat="1" ht="27.75" customHeight="1" x14ac:dyDescent="0.25">
      <c r="A19" s="168"/>
      <c r="B19" s="176"/>
      <c r="C19" s="185"/>
      <c r="D19" s="218" t="s">
        <v>648</v>
      </c>
      <c r="E19" s="219"/>
      <c r="F19" s="219"/>
      <c r="G19" s="219"/>
      <c r="H19" s="218"/>
      <c r="I19" s="209"/>
      <c r="J19" s="209"/>
      <c r="K19" s="218" t="s">
        <v>649</v>
      </c>
      <c r="L19" s="210"/>
      <c r="M19" s="210"/>
      <c r="N19" s="186"/>
      <c r="O19" s="186"/>
      <c r="P19" s="186"/>
      <c r="Q19" s="177"/>
      <c r="R19" s="401"/>
    </row>
    <row r="20" spans="1:18" ht="39.75" hidden="1" customHeight="1" x14ac:dyDescent="0.25">
      <c r="B20" s="104"/>
      <c r="C20" s="184"/>
      <c r="D20" s="651" t="s">
        <v>651</v>
      </c>
      <c r="E20" s="651"/>
      <c r="F20" s="651"/>
      <c r="G20" s="651"/>
      <c r="H20" s="651"/>
      <c r="I20" s="651"/>
      <c r="J20" s="651"/>
      <c r="K20" s="651"/>
      <c r="L20" s="651"/>
      <c r="M20" s="651"/>
      <c r="N20" s="651"/>
      <c r="O20" s="651"/>
      <c r="P20" s="651"/>
      <c r="Q20" s="105"/>
    </row>
    <row r="21" spans="1:18" ht="15.75" customHeight="1" x14ac:dyDescent="0.25">
      <c r="B21" s="104"/>
      <c r="C21" s="104"/>
      <c r="D21" s="651"/>
      <c r="E21" s="651"/>
      <c r="F21" s="651"/>
      <c r="G21" s="651"/>
      <c r="H21" s="651"/>
      <c r="I21" s="651"/>
      <c r="J21" s="651"/>
      <c r="K21" s="651"/>
      <c r="L21" s="651"/>
      <c r="M21" s="651"/>
      <c r="N21" s="651"/>
      <c r="O21" s="651"/>
      <c r="P21" s="651"/>
      <c r="Q21" s="105"/>
    </row>
    <row r="22" spans="1:18" ht="15" x14ac:dyDescent="0.25">
      <c r="D22" s="651"/>
      <c r="E22" s="651"/>
      <c r="F22" s="651"/>
      <c r="G22" s="651"/>
      <c r="H22" s="651"/>
      <c r="I22" s="651"/>
      <c r="J22" s="651"/>
      <c r="K22" s="651"/>
      <c r="L22" s="651"/>
      <c r="M22" s="651"/>
      <c r="N22" s="651"/>
      <c r="O22" s="651"/>
      <c r="P22" s="651"/>
    </row>
    <row r="23" spans="1:18" ht="15" x14ac:dyDescent="0.25">
      <c r="D23" s="651"/>
      <c r="E23" s="651"/>
      <c r="F23" s="651"/>
      <c r="G23" s="651"/>
      <c r="H23" s="651"/>
      <c r="I23" s="651"/>
      <c r="J23" s="651"/>
      <c r="K23" s="651"/>
      <c r="L23" s="651"/>
      <c r="M23" s="651"/>
      <c r="N23" s="651"/>
      <c r="O23" s="651"/>
      <c r="P23" s="651"/>
    </row>
    <row r="24" spans="1:18" ht="15" x14ac:dyDescent="0.2">
      <c r="D24" s="106"/>
      <c r="E24" s="107"/>
      <c r="F24" s="108"/>
      <c r="G24" s="106">
        <f>H24+I24</f>
        <v>0</v>
      </c>
      <c r="H24" s="106"/>
      <c r="I24" s="109"/>
      <c r="J24" s="107"/>
      <c r="K24" s="109"/>
      <c r="L24" s="106"/>
      <c r="M24" s="106"/>
      <c r="N24" s="109"/>
      <c r="O24" s="110"/>
      <c r="P24" s="111"/>
    </row>
    <row r="25" spans="1:18" ht="15" x14ac:dyDescent="0.25">
      <c r="D25" s="112"/>
      <c r="E25" s="112"/>
      <c r="F25" s="112"/>
      <c r="G25" s="112">
        <f>H25+I25</f>
        <v>0</v>
      </c>
      <c r="H25" s="112"/>
      <c r="I25" s="112"/>
      <c r="J25" s="112"/>
      <c r="K25" s="112"/>
      <c r="L25" s="112"/>
      <c r="M25" s="112"/>
      <c r="N25" s="112"/>
      <c r="O25" s="112"/>
      <c r="P25" s="112"/>
    </row>
    <row r="26" spans="1:18" x14ac:dyDescent="0.2">
      <c r="G26" s="66">
        <f>H26+I26</f>
        <v>0</v>
      </c>
    </row>
    <row r="27" spans="1:18" x14ac:dyDescent="0.2">
      <c r="G27" s="66">
        <f>H27+I27</f>
        <v>0</v>
      </c>
    </row>
    <row r="28" spans="1:18" x14ac:dyDescent="0.2">
      <c r="G28" s="66">
        <f>H28+I28</f>
        <v>0</v>
      </c>
    </row>
    <row r="50" spans="7:7" x14ac:dyDescent="0.2">
      <c r="G50" s="66">
        <f>H50+I50</f>
        <v>0</v>
      </c>
    </row>
    <row r="52" spans="7:7" x14ac:dyDescent="0.2">
      <c r="G52" s="66">
        <f t="shared" ref="G52:G70" si="4">H52+I52</f>
        <v>0</v>
      </c>
    </row>
    <row r="53" spans="7:7" x14ac:dyDescent="0.2">
      <c r="G53" s="66">
        <f t="shared" si="4"/>
        <v>0</v>
      </c>
    </row>
    <row r="54" spans="7:7" x14ac:dyDescent="0.2">
      <c r="G54" s="66">
        <f t="shared" si="4"/>
        <v>0</v>
      </c>
    </row>
    <row r="55" spans="7:7" x14ac:dyDescent="0.2">
      <c r="G55" s="66">
        <f t="shared" si="4"/>
        <v>0</v>
      </c>
    </row>
    <row r="56" spans="7:7" x14ac:dyDescent="0.2">
      <c r="G56" s="66">
        <f t="shared" si="4"/>
        <v>0</v>
      </c>
    </row>
    <row r="57" spans="7:7" x14ac:dyDescent="0.2">
      <c r="G57" s="66">
        <f t="shared" si="4"/>
        <v>0</v>
      </c>
    </row>
    <row r="58" spans="7:7" x14ac:dyDescent="0.2">
      <c r="G58" s="66">
        <f t="shared" si="4"/>
        <v>0</v>
      </c>
    </row>
    <row r="59" spans="7:7" x14ac:dyDescent="0.2">
      <c r="G59" s="66">
        <f t="shared" si="4"/>
        <v>0</v>
      </c>
    </row>
    <row r="60" spans="7:7" x14ac:dyDescent="0.2">
      <c r="G60" s="66">
        <f t="shared" si="4"/>
        <v>0</v>
      </c>
    </row>
    <row r="61" spans="7:7" x14ac:dyDescent="0.2">
      <c r="G61" s="66">
        <f t="shared" si="4"/>
        <v>0</v>
      </c>
    </row>
    <row r="62" spans="7:7" x14ac:dyDescent="0.2">
      <c r="G62" s="66">
        <f t="shared" si="4"/>
        <v>0</v>
      </c>
    </row>
    <row r="63" spans="7:7" x14ac:dyDescent="0.2">
      <c r="G63" s="66">
        <f t="shared" si="4"/>
        <v>0</v>
      </c>
    </row>
    <row r="64" spans="7:7" x14ac:dyDescent="0.2">
      <c r="G64" s="66">
        <f t="shared" si="4"/>
        <v>0</v>
      </c>
    </row>
    <row r="65" spans="7:7" x14ac:dyDescent="0.2">
      <c r="G65" s="66">
        <f t="shared" si="4"/>
        <v>0</v>
      </c>
    </row>
    <row r="66" spans="7:7" x14ac:dyDescent="0.2">
      <c r="G66" s="66">
        <f t="shared" si="4"/>
        <v>0</v>
      </c>
    </row>
    <row r="67" spans="7:7" x14ac:dyDescent="0.2">
      <c r="G67" s="66">
        <f t="shared" si="4"/>
        <v>0</v>
      </c>
    </row>
    <row r="68" spans="7:7" x14ac:dyDescent="0.2">
      <c r="G68" s="66">
        <f t="shared" si="4"/>
        <v>0</v>
      </c>
    </row>
    <row r="69" spans="7:7" x14ac:dyDescent="0.2">
      <c r="G69" s="66">
        <f t="shared" si="4"/>
        <v>0</v>
      </c>
    </row>
    <row r="70" spans="7:7" x14ac:dyDescent="0.2">
      <c r="G70" s="66">
        <f t="shared" si="4"/>
        <v>0</v>
      </c>
    </row>
    <row r="72" spans="7:7" x14ac:dyDescent="0.2">
      <c r="G72" s="66">
        <f>H72+I72</f>
        <v>0</v>
      </c>
    </row>
    <row r="73" spans="7:7" x14ac:dyDescent="0.2">
      <c r="G73" s="66">
        <f>H73+I73</f>
        <v>0</v>
      </c>
    </row>
    <row r="74" spans="7:7" x14ac:dyDescent="0.2">
      <c r="G74" s="66">
        <f>H74+I74</f>
        <v>0</v>
      </c>
    </row>
    <row r="75" spans="7:7" x14ac:dyDescent="0.2">
      <c r="G75" s="66">
        <f>H75+I75</f>
        <v>0</v>
      </c>
    </row>
    <row r="77" spans="7:7" x14ac:dyDescent="0.2">
      <c r="G77" s="66">
        <f>H77+I77</f>
        <v>0</v>
      </c>
    </row>
    <row r="80" spans="7:7" x14ac:dyDescent="0.2">
      <c r="G80" s="660"/>
    </row>
    <row r="81" spans="7:7" x14ac:dyDescent="0.2">
      <c r="G81" s="594"/>
    </row>
    <row r="117" spans="7:7" x14ac:dyDescent="0.2">
      <c r="G117" s="66">
        <f>H117+I117</f>
        <v>0</v>
      </c>
    </row>
    <row r="119" spans="7:7" x14ac:dyDescent="0.2">
      <c r="G119" s="66">
        <f t="shared" ref="G119:G129" si="5">H119+I119</f>
        <v>0</v>
      </c>
    </row>
    <row r="120" spans="7:7" x14ac:dyDescent="0.2">
      <c r="G120" s="66">
        <f t="shared" si="5"/>
        <v>0</v>
      </c>
    </row>
    <row r="121" spans="7:7" x14ac:dyDescent="0.2">
      <c r="G121" s="66">
        <f t="shared" si="5"/>
        <v>0</v>
      </c>
    </row>
    <row r="122" spans="7:7" x14ac:dyDescent="0.2">
      <c r="G122" s="66">
        <f t="shared" si="5"/>
        <v>0</v>
      </c>
    </row>
    <row r="123" spans="7:7" x14ac:dyDescent="0.2">
      <c r="G123" s="66">
        <f t="shared" si="5"/>
        <v>0</v>
      </c>
    </row>
    <row r="124" spans="7:7" x14ac:dyDescent="0.2">
      <c r="G124" s="66">
        <f t="shared" si="5"/>
        <v>0</v>
      </c>
    </row>
    <row r="125" spans="7:7" x14ac:dyDescent="0.2">
      <c r="G125" s="66">
        <f t="shared" si="5"/>
        <v>0</v>
      </c>
    </row>
    <row r="126" spans="7:7" x14ac:dyDescent="0.2">
      <c r="G126" s="66">
        <f t="shared" si="5"/>
        <v>0</v>
      </c>
    </row>
    <row r="127" spans="7:7" x14ac:dyDescent="0.2">
      <c r="G127" s="66">
        <f t="shared" si="5"/>
        <v>0</v>
      </c>
    </row>
    <row r="128" spans="7:7" x14ac:dyDescent="0.2">
      <c r="G128" s="66">
        <f t="shared" si="5"/>
        <v>0</v>
      </c>
    </row>
    <row r="129" spans="7:10" x14ac:dyDescent="0.2">
      <c r="G129" s="66">
        <f t="shared" si="5"/>
        <v>0</v>
      </c>
    </row>
    <row r="131" spans="7:10" x14ac:dyDescent="0.2">
      <c r="G131" s="66">
        <f>H132+I132</f>
        <v>0</v>
      </c>
    </row>
    <row r="132" spans="7:10" x14ac:dyDescent="0.2">
      <c r="G132" s="66">
        <f t="shared" ref="G132" si="6">H132+I132</f>
        <v>0</v>
      </c>
    </row>
    <row r="133" spans="7:10" x14ac:dyDescent="0.2">
      <c r="G133" s="66">
        <f>H133+I133</f>
        <v>0</v>
      </c>
    </row>
    <row r="134" spans="7:10" x14ac:dyDescent="0.2">
      <c r="G134" s="66">
        <f>H134+I134</f>
        <v>0</v>
      </c>
    </row>
    <row r="135" spans="7:10" x14ac:dyDescent="0.2">
      <c r="G135" s="66">
        <f>H135+I135</f>
        <v>0</v>
      </c>
    </row>
    <row r="136" spans="7:10" x14ac:dyDescent="0.2">
      <c r="G136" s="66">
        <f>H136+I136</f>
        <v>0</v>
      </c>
    </row>
    <row r="141" spans="7:10" ht="46.5" x14ac:dyDescent="0.65">
      <c r="J141" s="130"/>
    </row>
    <row r="144" spans="7:10" ht="46.5" x14ac:dyDescent="0.65">
      <c r="G144" s="130">
        <f>H144+I144</f>
        <v>0</v>
      </c>
      <c r="J144" s="130"/>
    </row>
    <row r="163" spans="11:11" ht="90" x14ac:dyDescent="1.1499999999999999">
      <c r="K163" s="128" t="b">
        <f>G163=H163+I163</f>
        <v>1</v>
      </c>
    </row>
  </sheetData>
  <mergeCells count="27">
    <mergeCell ref="B3:C3"/>
    <mergeCell ref="B5:C5"/>
    <mergeCell ref="B6:C6"/>
    <mergeCell ref="G80:G81"/>
    <mergeCell ref="B8:B10"/>
    <mergeCell ref="C8:C10"/>
    <mergeCell ref="D8:D10"/>
    <mergeCell ref="E8:E10"/>
    <mergeCell ref="F8:I8"/>
    <mergeCell ref="F9:F10"/>
    <mergeCell ref="I9:I10"/>
    <mergeCell ref="E4:M4"/>
    <mergeCell ref="O9:P9"/>
    <mergeCell ref="D23:P23"/>
    <mergeCell ref="D20:P20"/>
    <mergeCell ref="D22:P22"/>
    <mergeCell ref="M2:Q2"/>
    <mergeCell ref="E3:M3"/>
    <mergeCell ref="J8:M8"/>
    <mergeCell ref="N8:Q8"/>
    <mergeCell ref="Q9:Q10"/>
    <mergeCell ref="M9:M10"/>
    <mergeCell ref="N9:N10"/>
    <mergeCell ref="J9:J10"/>
    <mergeCell ref="D21:P21"/>
    <mergeCell ref="G9:H9"/>
    <mergeCell ref="K9:L9"/>
  </mergeCells>
  <printOptions horizontalCentered="1"/>
  <pageMargins left="0.19685039370078741" right="0" top="0.59055118110236227" bottom="0.39370078740157483" header="0.31496062992125984" footer="0.31496062992125984"/>
  <pageSetup paperSize="9" scale="55" fitToHeight="0" orientation="landscape" r:id="rId1"/>
  <headerFooter alignWithMargins="0">
    <oddFooter>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3"/>
  <sheetViews>
    <sheetView view="pageBreakPreview" zoomScale="40" zoomScaleNormal="25" zoomScaleSheetLayoutView="40" zoomScalePageLayoutView="10" workbookViewId="0">
      <selection activeCell="D2" sqref="D2"/>
    </sheetView>
  </sheetViews>
  <sheetFormatPr defaultColWidth="9.140625" defaultRowHeight="12.75" x14ac:dyDescent="0.2"/>
  <cols>
    <col min="1" max="1" width="62.28515625" style="1" customWidth="1"/>
    <col min="2" max="2" width="49.140625" style="1" customWidth="1"/>
    <col min="3" max="3" width="131.5703125" style="1" customWidth="1"/>
    <col min="4" max="4" width="69.7109375" style="1" customWidth="1"/>
    <col min="5" max="5" width="32.42578125" style="539" customWidth="1"/>
    <col min="6" max="6" width="29.85546875" style="539" customWidth="1"/>
    <col min="7" max="16384" width="9.140625" style="539"/>
  </cols>
  <sheetData>
    <row r="1" spans="1:15" ht="48.75" customHeight="1" x14ac:dyDescent="0.35">
      <c r="B1" s="555"/>
      <c r="C1" s="555"/>
      <c r="D1" s="565" t="s">
        <v>841</v>
      </c>
      <c r="E1" s="556"/>
      <c r="F1" s="556"/>
      <c r="G1" s="556"/>
      <c r="H1" s="556"/>
    </row>
    <row r="2" spans="1:15" ht="84.75" customHeight="1" x14ac:dyDescent="0.35">
      <c r="A2" s="540"/>
      <c r="B2" s="555"/>
      <c r="C2" s="555"/>
      <c r="D2" s="565" t="s">
        <v>913</v>
      </c>
      <c r="E2" s="556"/>
      <c r="F2" s="556"/>
      <c r="G2" s="556"/>
      <c r="H2" s="556"/>
    </row>
    <row r="3" spans="1:15" ht="40.700000000000003" customHeight="1" x14ac:dyDescent="0.2">
      <c r="A3" s="540"/>
      <c r="B3" s="540"/>
      <c r="C3" s="548"/>
      <c r="D3" s="541"/>
      <c r="N3" s="638"/>
      <c r="O3" s="638"/>
    </row>
    <row r="4" spans="1:15" ht="45.75" hidden="1" x14ac:dyDescent="0.2">
      <c r="A4" s="540"/>
      <c r="B4" s="540"/>
      <c r="C4" s="548"/>
      <c r="D4" s="541"/>
      <c r="N4" s="638"/>
      <c r="O4" s="640"/>
    </row>
    <row r="5" spans="1:15" ht="45.75" x14ac:dyDescent="0.2">
      <c r="A5" s="641" t="s">
        <v>777</v>
      </c>
      <c r="B5" s="641"/>
      <c r="C5" s="641"/>
      <c r="D5" s="641"/>
      <c r="N5" s="638"/>
      <c r="O5" s="640"/>
    </row>
    <row r="6" spans="1:15" ht="45" x14ac:dyDescent="0.2">
      <c r="A6" s="641" t="s">
        <v>667</v>
      </c>
      <c r="B6" s="641"/>
      <c r="C6" s="641"/>
      <c r="D6" s="641"/>
    </row>
    <row r="7" spans="1:15" ht="45" x14ac:dyDescent="0.2">
      <c r="A7" s="641"/>
      <c r="B7" s="641"/>
      <c r="C7" s="641"/>
      <c r="D7" s="641"/>
    </row>
    <row r="8" spans="1:15" ht="45.75" x14ac:dyDescent="0.65">
      <c r="A8" s="642">
        <v>22564000000</v>
      </c>
      <c r="B8" s="607"/>
      <c r="C8" s="607"/>
      <c r="D8" s="607"/>
    </row>
    <row r="9" spans="1:15" ht="45.75" x14ac:dyDescent="0.2">
      <c r="A9" s="633" t="s">
        <v>568</v>
      </c>
      <c r="B9" s="607"/>
      <c r="C9" s="607"/>
      <c r="D9" s="607"/>
    </row>
    <row r="10" spans="1:15" s="543" customFormat="1" ht="45.75" x14ac:dyDescent="0.2">
      <c r="A10" s="550"/>
      <c r="B10" s="544"/>
      <c r="C10" s="544"/>
      <c r="D10" s="544"/>
    </row>
    <row r="11" spans="1:15" ht="53.45" customHeight="1" x14ac:dyDescent="0.2">
      <c r="A11" s="641" t="s">
        <v>845</v>
      </c>
      <c r="B11" s="639"/>
      <c r="C11" s="639"/>
      <c r="D11" s="639"/>
    </row>
    <row r="12" spans="1:15" s="543" customFormat="1" ht="45" x14ac:dyDescent="0.2">
      <c r="A12" s="549"/>
      <c r="B12" s="547"/>
      <c r="C12" s="547"/>
      <c r="D12" s="547"/>
    </row>
    <row r="13" spans="1:15" s="543" customFormat="1" ht="53.45" customHeight="1" thickBot="1" x14ac:dyDescent="0.25">
      <c r="A13" s="549"/>
      <c r="B13" s="549"/>
      <c r="C13" s="549"/>
      <c r="D13" s="6" t="s">
        <v>454</v>
      </c>
    </row>
    <row r="14" spans="1:15" ht="140.25" customHeight="1" thickTop="1" thickBot="1" x14ac:dyDescent="0.25">
      <c r="A14" s="489" t="s">
        <v>847</v>
      </c>
      <c r="B14" s="670" t="s">
        <v>846</v>
      </c>
      <c r="C14" s="671"/>
      <c r="D14" s="489" t="s">
        <v>433</v>
      </c>
    </row>
    <row r="15" spans="1:15" s="2" customFormat="1" ht="47.25" thickTop="1" thickBot="1" x14ac:dyDescent="0.25">
      <c r="A15" s="553" t="s">
        <v>2</v>
      </c>
      <c r="B15" s="672" t="s">
        <v>3</v>
      </c>
      <c r="C15" s="671"/>
      <c r="D15" s="553" t="s">
        <v>14</v>
      </c>
    </row>
    <row r="16" spans="1:15" s="2" customFormat="1" ht="66.75" customHeight="1" thickTop="1" thickBot="1" x14ac:dyDescent="0.25">
      <c r="A16" s="664" t="s">
        <v>848</v>
      </c>
      <c r="B16" s="665"/>
      <c r="C16" s="665"/>
      <c r="D16" s="666"/>
    </row>
    <row r="17" spans="1:4" s="2" customFormat="1" ht="47.25" thickTop="1" thickBot="1" x14ac:dyDescent="0.25">
      <c r="A17" s="561" t="s">
        <v>860</v>
      </c>
      <c r="B17" s="673" t="s">
        <v>497</v>
      </c>
      <c r="C17" s="674"/>
      <c r="D17" s="582">
        <v>623112400</v>
      </c>
    </row>
    <row r="18" spans="1:4" s="2" customFormat="1" ht="47.25" thickTop="1" thickBot="1" x14ac:dyDescent="0.25">
      <c r="A18" s="561" t="s">
        <v>859</v>
      </c>
      <c r="B18" s="673" t="s">
        <v>889</v>
      </c>
      <c r="C18" s="675"/>
      <c r="D18" s="563">
        <v>623112400</v>
      </c>
    </row>
    <row r="19" spans="1:4" s="2" customFormat="1" ht="47.25" thickTop="1" thickBot="1" x14ac:dyDescent="0.25">
      <c r="A19" s="421" t="s">
        <v>775</v>
      </c>
      <c r="B19" s="667" t="s">
        <v>776</v>
      </c>
      <c r="C19" s="668"/>
      <c r="D19" s="423">
        <v>623112400</v>
      </c>
    </row>
    <row r="20" spans="1:4" s="2" customFormat="1" ht="85.5" customHeight="1" thickTop="1" thickBot="1" x14ac:dyDescent="0.25">
      <c r="A20" s="561" t="s">
        <v>881</v>
      </c>
      <c r="B20" s="673" t="s">
        <v>389</v>
      </c>
      <c r="C20" s="675"/>
      <c r="D20" s="582">
        <v>6058967</v>
      </c>
    </row>
    <row r="21" spans="1:4" s="2" customFormat="1" ht="193.5" customHeight="1" thickTop="1" thickBot="1" x14ac:dyDescent="0.25">
      <c r="A21" s="561" t="s">
        <v>882</v>
      </c>
      <c r="B21" s="673" t="s">
        <v>890</v>
      </c>
      <c r="C21" s="675"/>
      <c r="D21" s="563">
        <v>6058967</v>
      </c>
    </row>
    <row r="22" spans="1:4" s="2" customFormat="1" ht="66.75" customHeight="1" thickTop="1" thickBot="1" x14ac:dyDescent="0.25">
      <c r="A22" s="421" t="s">
        <v>879</v>
      </c>
      <c r="B22" s="667" t="s">
        <v>880</v>
      </c>
      <c r="C22" s="668"/>
      <c r="D22" s="575">
        <v>6058967</v>
      </c>
    </row>
    <row r="23" spans="1:4" s="2" customFormat="1" ht="66.75" customHeight="1" thickTop="1" thickBot="1" x14ac:dyDescent="0.25">
      <c r="A23" s="561" t="s">
        <v>883</v>
      </c>
      <c r="B23" s="673" t="s">
        <v>884</v>
      </c>
      <c r="C23" s="675"/>
      <c r="D23" s="582">
        <f>D24+D25+D26</f>
        <v>23595940</v>
      </c>
    </row>
    <row r="24" spans="1:4" s="2" customFormat="1" ht="113.25" customHeight="1" thickTop="1" thickBot="1" x14ac:dyDescent="0.25">
      <c r="A24" s="561" t="s">
        <v>885</v>
      </c>
      <c r="B24" s="673" t="s">
        <v>886</v>
      </c>
      <c r="C24" s="675"/>
      <c r="D24" s="563">
        <v>7340558</v>
      </c>
    </row>
    <row r="25" spans="1:4" s="2" customFormat="1" ht="114" customHeight="1" thickTop="1" thickBot="1" x14ac:dyDescent="0.25">
      <c r="A25" s="561" t="s">
        <v>887</v>
      </c>
      <c r="B25" s="673" t="s">
        <v>886</v>
      </c>
      <c r="C25" s="675"/>
      <c r="D25" s="582">
        <v>7118182</v>
      </c>
    </row>
    <row r="26" spans="1:4" s="2" customFormat="1" ht="149.25" customHeight="1" thickTop="1" thickBot="1" x14ac:dyDescent="0.25">
      <c r="A26" s="561" t="s">
        <v>888</v>
      </c>
      <c r="B26" s="673" t="s">
        <v>891</v>
      </c>
      <c r="C26" s="675"/>
      <c r="D26" s="582">
        <v>9137200</v>
      </c>
    </row>
    <row r="27" spans="1:4" s="2" customFormat="1" ht="66.75" customHeight="1" thickTop="1" thickBot="1" x14ac:dyDescent="0.25">
      <c r="A27" s="421" t="s">
        <v>879</v>
      </c>
      <c r="B27" s="667" t="s">
        <v>880</v>
      </c>
      <c r="C27" s="668"/>
      <c r="D27" s="575">
        <v>23595940</v>
      </c>
    </row>
    <row r="28" spans="1:4" ht="61.5" customHeight="1" thickTop="1" thickBot="1" x14ac:dyDescent="0.25">
      <c r="A28" s="664" t="s">
        <v>849</v>
      </c>
      <c r="B28" s="665"/>
      <c r="C28" s="665"/>
      <c r="D28" s="666"/>
    </row>
    <row r="29" spans="1:4" ht="47.25" thickTop="1" thickBot="1" x14ac:dyDescent="0.25">
      <c r="A29" s="553"/>
      <c r="B29" s="667"/>
      <c r="C29" s="668"/>
      <c r="D29" s="551">
        <v>0</v>
      </c>
    </row>
    <row r="30" spans="1:4" ht="81" customHeight="1" thickTop="1" thickBot="1" x14ac:dyDescent="0.25">
      <c r="A30" s="557" t="s">
        <v>431</v>
      </c>
      <c r="B30" s="669" t="s">
        <v>850</v>
      </c>
      <c r="C30" s="668"/>
      <c r="D30" s="564">
        <f>D31+D32</f>
        <v>652767307</v>
      </c>
    </row>
    <row r="31" spans="1:4" s="543" customFormat="1" ht="47.25" thickTop="1" thickBot="1" x14ac:dyDescent="0.25">
      <c r="A31" s="553" t="s">
        <v>431</v>
      </c>
      <c r="B31" s="667" t="s">
        <v>436</v>
      </c>
      <c r="C31" s="668"/>
      <c r="D31" s="551">
        <f>D27+D22+D19</f>
        <v>652767307</v>
      </c>
    </row>
    <row r="32" spans="1:4" s="543" customFormat="1" ht="47.25" thickTop="1" thickBot="1" x14ac:dyDescent="0.25">
      <c r="A32" s="553" t="s">
        <v>431</v>
      </c>
      <c r="B32" s="667" t="s">
        <v>437</v>
      </c>
      <c r="C32" s="668"/>
      <c r="D32" s="551">
        <v>0</v>
      </c>
    </row>
    <row r="33" spans="1:6" s="543" customFormat="1" ht="31.7" customHeight="1" thickTop="1" x14ac:dyDescent="0.2">
      <c r="A33" s="545"/>
      <c r="B33" s="546"/>
      <c r="C33" s="546"/>
      <c r="D33" s="546"/>
    </row>
    <row r="34" spans="1:6" s="543" customFormat="1" ht="31.7" customHeight="1" x14ac:dyDescent="0.2">
      <c r="A34" s="545"/>
      <c r="B34" s="546"/>
      <c r="C34" s="546"/>
      <c r="D34" s="546"/>
    </row>
    <row r="35" spans="1:6" s="543" customFormat="1" ht="60" customHeight="1" x14ac:dyDescent="0.2">
      <c r="A35" s="641" t="s">
        <v>851</v>
      </c>
      <c r="B35" s="639"/>
      <c r="C35" s="639"/>
      <c r="D35" s="639"/>
    </row>
    <row r="36" spans="1:6" s="543" customFormat="1" ht="45" x14ac:dyDescent="0.2">
      <c r="A36" s="549"/>
      <c r="B36" s="547"/>
      <c r="C36" s="547"/>
      <c r="D36" s="547"/>
    </row>
    <row r="37" spans="1:6" s="543" customFormat="1" ht="54" customHeight="1" thickBot="1" x14ac:dyDescent="0.25">
      <c r="A37" s="545"/>
      <c r="B37" s="546"/>
      <c r="C37" s="546"/>
      <c r="D37" s="6" t="s">
        <v>454</v>
      </c>
    </row>
    <row r="38" spans="1:6" s="543" customFormat="1" ht="325.5" customHeight="1" thickTop="1" thickBot="1" x14ac:dyDescent="0.25">
      <c r="A38" s="489" t="s">
        <v>852</v>
      </c>
      <c r="B38" s="554" t="s">
        <v>570</v>
      </c>
      <c r="C38" s="489" t="s">
        <v>853</v>
      </c>
      <c r="D38" s="489" t="s">
        <v>433</v>
      </c>
    </row>
    <row r="39" spans="1:6" s="543" customFormat="1" ht="50.25" customHeight="1" thickTop="1" thickBot="1" x14ac:dyDescent="0.25">
      <c r="A39" s="553" t="s">
        <v>2</v>
      </c>
      <c r="B39" s="553" t="s">
        <v>3</v>
      </c>
      <c r="C39" s="553"/>
      <c r="D39" s="553" t="s">
        <v>14</v>
      </c>
    </row>
    <row r="40" spans="1:6" s="543" customFormat="1" ht="65.25" customHeight="1" thickTop="1" thickBot="1" x14ac:dyDescent="0.25">
      <c r="A40" s="664" t="s">
        <v>854</v>
      </c>
      <c r="B40" s="665"/>
      <c r="C40" s="665"/>
      <c r="D40" s="666"/>
    </row>
    <row r="41" spans="1:6" s="543" customFormat="1" ht="230.25" thickTop="1" thickBot="1" x14ac:dyDescent="0.25">
      <c r="A41" s="561" t="s">
        <v>275</v>
      </c>
      <c r="B41" s="561" t="s">
        <v>276</v>
      </c>
      <c r="C41" s="562" t="s">
        <v>503</v>
      </c>
      <c r="D41" s="563">
        <f>SUM(D42:D43)</f>
        <v>300000</v>
      </c>
      <c r="E41" s="552" t="b">
        <f>D41='d3'!E27</f>
        <v>1</v>
      </c>
      <c r="F41" s="2"/>
    </row>
    <row r="42" spans="1:6" s="543" customFormat="1" ht="93" thickTop="1" thickBot="1" x14ac:dyDescent="0.25">
      <c r="A42" s="421" t="s">
        <v>774</v>
      </c>
      <c r="B42" s="421"/>
      <c r="C42" s="559" t="s">
        <v>785</v>
      </c>
      <c r="D42" s="423">
        <v>150000</v>
      </c>
      <c r="E42" s="2"/>
      <c r="F42" s="2"/>
    </row>
    <row r="43" spans="1:6" s="543" customFormat="1" ht="93" thickTop="1" thickBot="1" x14ac:dyDescent="0.25">
      <c r="A43" s="421" t="s">
        <v>786</v>
      </c>
      <c r="B43" s="421"/>
      <c r="C43" s="559" t="s">
        <v>787</v>
      </c>
      <c r="D43" s="423">
        <v>150000</v>
      </c>
      <c r="E43" s="2"/>
      <c r="F43" s="2"/>
    </row>
    <row r="44" spans="1:6" s="543" customFormat="1" ht="47.25" thickTop="1" thickBot="1" x14ac:dyDescent="0.25">
      <c r="A44" s="561" t="s">
        <v>782</v>
      </c>
      <c r="B44" s="561" t="s">
        <v>411</v>
      </c>
      <c r="C44" s="562" t="s">
        <v>412</v>
      </c>
      <c r="D44" s="563">
        <f>SUM(D45)</f>
        <v>120100</v>
      </c>
      <c r="E44" s="552" t="b">
        <f>D44='d3'!E28</f>
        <v>1</v>
      </c>
      <c r="F44" s="2"/>
    </row>
    <row r="45" spans="1:6" s="543" customFormat="1" ht="93" thickTop="1" thickBot="1" x14ac:dyDescent="0.25">
      <c r="A45" s="421" t="s">
        <v>783</v>
      </c>
      <c r="B45" s="421"/>
      <c r="C45" s="559" t="s">
        <v>784</v>
      </c>
      <c r="D45" s="423">
        <v>120100</v>
      </c>
      <c r="E45" s="2"/>
      <c r="F45" s="2"/>
    </row>
    <row r="46" spans="1:6" s="543" customFormat="1" ht="47.25" thickTop="1" thickBot="1" x14ac:dyDescent="0.25">
      <c r="A46" s="561" t="s">
        <v>825</v>
      </c>
      <c r="B46" s="561" t="s">
        <v>411</v>
      </c>
      <c r="C46" s="562" t="s">
        <v>412</v>
      </c>
      <c r="D46" s="563">
        <f>SUM(D47)</f>
        <v>558137</v>
      </c>
      <c r="E46" s="552" t="b">
        <f>D46='d3'!E85</f>
        <v>1</v>
      </c>
      <c r="F46" s="2"/>
    </row>
    <row r="47" spans="1:6" s="543" customFormat="1" ht="93" thickTop="1" thickBot="1" x14ac:dyDescent="0.25">
      <c r="A47" s="421" t="s">
        <v>788</v>
      </c>
      <c r="B47" s="421"/>
      <c r="C47" s="559" t="s">
        <v>789</v>
      </c>
      <c r="D47" s="423">
        <v>558137</v>
      </c>
      <c r="E47" s="2"/>
      <c r="F47" s="2"/>
    </row>
    <row r="48" spans="1:6" s="543" customFormat="1" ht="47.25" thickTop="1" thickBot="1" x14ac:dyDescent="0.25">
      <c r="A48" s="561" t="s">
        <v>856</v>
      </c>
      <c r="B48" s="561" t="s">
        <v>857</v>
      </c>
      <c r="C48" s="562" t="s">
        <v>514</v>
      </c>
      <c r="D48" s="563">
        <f>SUM(D49)</f>
        <v>73303900</v>
      </c>
      <c r="E48" s="2"/>
      <c r="F48" s="2"/>
    </row>
    <row r="49" spans="1:6" s="543" customFormat="1" ht="47.25" thickTop="1" thickBot="1" x14ac:dyDescent="0.25">
      <c r="A49" s="421" t="s">
        <v>775</v>
      </c>
      <c r="B49" s="421"/>
      <c r="C49" s="559" t="s">
        <v>776</v>
      </c>
      <c r="D49" s="423">
        <v>73303900</v>
      </c>
      <c r="E49" s="2"/>
      <c r="F49" s="2"/>
    </row>
    <row r="50" spans="1:6" s="543" customFormat="1" ht="77.25" customHeight="1" thickTop="1" thickBot="1" x14ac:dyDescent="0.25">
      <c r="A50" s="664" t="s">
        <v>855</v>
      </c>
      <c r="B50" s="665"/>
      <c r="C50" s="665"/>
      <c r="D50" s="666"/>
      <c r="E50" s="2"/>
      <c r="F50" s="2"/>
    </row>
    <row r="51" spans="1:6" s="543" customFormat="1" ht="47.25" thickTop="1" thickBot="1" x14ac:dyDescent="0.25">
      <c r="A51" s="553"/>
      <c r="B51" s="560"/>
      <c r="C51" s="560"/>
      <c r="D51" s="551">
        <v>0</v>
      </c>
      <c r="E51" s="2"/>
      <c r="F51" s="2"/>
    </row>
    <row r="52" spans="1:6" s="543" customFormat="1" ht="84.75" customHeight="1" thickTop="1" thickBot="1" x14ac:dyDescent="0.25">
      <c r="A52" s="557" t="s">
        <v>431</v>
      </c>
      <c r="B52" s="557" t="s">
        <v>431</v>
      </c>
      <c r="C52" s="558" t="s">
        <v>850</v>
      </c>
      <c r="D52" s="564">
        <f>D46+D44+D41+D48</f>
        <v>74282137</v>
      </c>
      <c r="E52" s="552" t="b">
        <f>D52=D53+D54</f>
        <v>1</v>
      </c>
      <c r="F52" s="552" t="b">
        <f>D52='d3'!P85+'d3'!P28+'d3'!P27+'d3'!P167</f>
        <v>1</v>
      </c>
    </row>
    <row r="53" spans="1:6" ht="47.25" thickTop="1" thickBot="1" x14ac:dyDescent="0.25">
      <c r="A53" s="553" t="s">
        <v>431</v>
      </c>
      <c r="B53" s="553" t="s">
        <v>431</v>
      </c>
      <c r="C53" s="560" t="s">
        <v>436</v>
      </c>
      <c r="D53" s="551">
        <f>'d3'!E167+'d3'!E85+'d3'!E28+'d3'!E27</f>
        <v>74282137</v>
      </c>
      <c r="E53" s="2"/>
      <c r="F53" s="2"/>
    </row>
    <row r="54" spans="1:6" s="543" customFormat="1" ht="47.25" thickTop="1" thickBot="1" x14ac:dyDescent="0.25">
      <c r="A54" s="553" t="s">
        <v>431</v>
      </c>
      <c r="B54" s="553" t="s">
        <v>431</v>
      </c>
      <c r="C54" s="560" t="s">
        <v>437</v>
      </c>
      <c r="D54" s="551">
        <f>'d3'!J27+'d3'!J28+'d3'!J85+'d3'!J167</f>
        <v>0</v>
      </c>
      <c r="E54" s="2"/>
      <c r="F54" s="2"/>
    </row>
    <row r="55" spans="1:6" s="543" customFormat="1" ht="31.7" customHeight="1" thickTop="1" x14ac:dyDescent="0.2">
      <c r="A55" s="545"/>
      <c r="B55" s="546"/>
      <c r="C55" s="546"/>
      <c r="D55" s="546"/>
    </row>
    <row r="56" spans="1:6" s="543" customFormat="1" ht="31.7" customHeight="1" x14ac:dyDescent="0.2">
      <c r="A56" s="545"/>
      <c r="B56" s="546"/>
      <c r="C56" s="546"/>
      <c r="D56" s="546"/>
    </row>
    <row r="57" spans="1:6" s="543" customFormat="1" ht="31.7" customHeight="1" x14ac:dyDescent="0.2">
      <c r="A57" s="545"/>
      <c r="B57" s="546"/>
      <c r="C57" s="546"/>
      <c r="D57" s="546"/>
    </row>
    <row r="58" spans="1:6" ht="45" customHeight="1" x14ac:dyDescent="0.2">
      <c r="A58" s="542"/>
      <c r="B58" s="187" t="s">
        <v>677</v>
      </c>
      <c r="C58" s="187"/>
      <c r="D58" s="187" t="s">
        <v>678</v>
      </c>
    </row>
    <row r="59" spans="1:6" ht="61.5" customHeight="1" x14ac:dyDescent="0.65">
      <c r="A59" s="540"/>
      <c r="B59" s="601"/>
      <c r="C59" s="601"/>
      <c r="D59" s="601"/>
    </row>
    <row r="60" spans="1:6" ht="45.75" x14ac:dyDescent="0.65">
      <c r="B60" s="217" t="s">
        <v>648</v>
      </c>
      <c r="C60" s="217"/>
      <c r="D60" s="217" t="s">
        <v>649</v>
      </c>
    </row>
    <row r="61" spans="1:6" ht="45.75" x14ac:dyDescent="0.65">
      <c r="B61" s="601"/>
      <c r="C61" s="601"/>
      <c r="D61" s="601"/>
    </row>
    <row r="64" spans="1:6" x14ac:dyDescent="0.2">
      <c r="A64" s="539"/>
      <c r="B64" s="539"/>
      <c r="C64" s="543"/>
    </row>
    <row r="66" spans="1:4" x14ac:dyDescent="0.2">
      <c r="A66" s="539"/>
      <c r="B66" s="539"/>
      <c r="C66" s="543"/>
    </row>
    <row r="70" spans="1:4" x14ac:dyDescent="0.2">
      <c r="A70" s="539"/>
      <c r="B70" s="539"/>
      <c r="C70" s="543"/>
      <c r="D70" s="539"/>
    </row>
    <row r="71" spans="1:4" x14ac:dyDescent="0.2">
      <c r="A71" s="539"/>
      <c r="B71" s="539"/>
      <c r="C71" s="543"/>
      <c r="D71" s="539"/>
    </row>
    <row r="72" spans="1:4" x14ac:dyDescent="0.2">
      <c r="A72" s="539"/>
      <c r="B72" s="539"/>
      <c r="C72" s="543"/>
      <c r="D72" s="539"/>
    </row>
    <row r="73" spans="1:4" x14ac:dyDescent="0.2">
      <c r="A73" s="539"/>
      <c r="B73" s="539"/>
      <c r="C73" s="543"/>
      <c r="D73" s="539"/>
    </row>
  </sheetData>
  <mergeCells count="33">
    <mergeCell ref="A5:D5"/>
    <mergeCell ref="A6:D6"/>
    <mergeCell ref="A7:D7"/>
    <mergeCell ref="A11:D11"/>
    <mergeCell ref="N3:O3"/>
    <mergeCell ref="N4:O4"/>
    <mergeCell ref="N5:O5"/>
    <mergeCell ref="A8:D8"/>
    <mergeCell ref="A9:D9"/>
    <mergeCell ref="A16:D16"/>
    <mergeCell ref="A28:D28"/>
    <mergeCell ref="A35:D35"/>
    <mergeCell ref="B14:C14"/>
    <mergeCell ref="B15:C15"/>
    <mergeCell ref="B17:C17"/>
    <mergeCell ref="B20:C20"/>
    <mergeCell ref="B21:C21"/>
    <mergeCell ref="B23:C23"/>
    <mergeCell ref="B24:C24"/>
    <mergeCell ref="B25:C25"/>
    <mergeCell ref="B26:C26"/>
    <mergeCell ref="B19:C19"/>
    <mergeCell ref="B18:C18"/>
    <mergeCell ref="B22:C22"/>
    <mergeCell ref="B27:C27"/>
    <mergeCell ref="B59:D59"/>
    <mergeCell ref="B61:D61"/>
    <mergeCell ref="A40:D40"/>
    <mergeCell ref="A50:D50"/>
    <mergeCell ref="B29:C29"/>
    <mergeCell ref="B31:C31"/>
    <mergeCell ref="B32:C32"/>
    <mergeCell ref="B30:C30"/>
  </mergeCells>
  <pageMargins left="0.23622047244094491" right="0.27559055118110237" top="0.27559055118110237" bottom="0.15748031496062992" header="0.23622047244094491" footer="0.27559055118110237"/>
  <pageSetup paperSize="9" scale="32" fitToHeight="0" orientation="portrait" r:id="rId1"/>
  <headerFooter alignWithMargins="0">
    <oddFooter>&amp;C&amp;"Times New Roman Cyr,курсив"Сторінка &amp;P з &amp;N</oddFooter>
  </headerFooter>
  <rowBreaks count="1" manualBreakCount="1">
    <brk id="60" max="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05"/>
  <sheetViews>
    <sheetView view="pageBreakPreview" topLeftCell="B1" zoomScale="70" zoomScaleNormal="40" zoomScaleSheetLayoutView="70" workbookViewId="0">
      <pane ySplit="11" topLeftCell="A145" activePane="bottomLeft" state="frozen"/>
      <selection activeCell="F175" sqref="F175"/>
      <selection pane="bottomLeft" activeCell="G2" sqref="G2:K2"/>
    </sheetView>
  </sheetViews>
  <sheetFormatPr defaultColWidth="7.85546875" defaultRowHeight="12.75" x14ac:dyDescent="0.2"/>
  <cols>
    <col min="1" max="1" width="3.28515625" style="8" hidden="1" customWidth="1"/>
    <col min="2" max="3" width="15.42578125" style="96" customWidth="1"/>
    <col min="4" max="4" width="16.85546875" style="96" customWidth="1"/>
    <col min="5" max="5" width="41.5703125" style="96" customWidth="1"/>
    <col min="6" max="6" width="38.5703125" style="96" customWidth="1"/>
    <col min="7" max="11" width="18.140625" style="166" customWidth="1"/>
    <col min="12" max="12" width="30.7109375" style="390" customWidth="1"/>
    <col min="13" max="13" width="16.5703125" style="390" customWidth="1"/>
    <col min="14" max="14" width="13.7109375" style="390" customWidth="1"/>
    <col min="15" max="15" width="12.7109375" style="390" customWidth="1"/>
    <col min="16" max="19" width="7.85546875" style="390"/>
    <col min="20" max="16384" width="7.85546875" style="8"/>
  </cols>
  <sheetData>
    <row r="1" spans="1:19" s="7" customFormat="1" ht="22.7" customHeight="1" x14ac:dyDescent="0.25">
      <c r="B1" s="680"/>
      <c r="C1" s="680"/>
      <c r="D1" s="680"/>
      <c r="E1" s="680"/>
      <c r="F1" s="680"/>
      <c r="G1" s="680"/>
      <c r="H1" s="680"/>
      <c r="I1" s="680"/>
      <c r="J1" s="680"/>
      <c r="K1" s="680"/>
      <c r="L1" s="389"/>
      <c r="M1" s="389"/>
      <c r="N1" s="389"/>
      <c r="O1" s="389"/>
      <c r="P1" s="389"/>
      <c r="Q1" s="389"/>
      <c r="R1" s="389"/>
      <c r="S1" s="389"/>
    </row>
    <row r="2" spans="1:19" ht="41.25" customHeight="1" x14ac:dyDescent="0.2">
      <c r="G2" s="652" t="s">
        <v>914</v>
      </c>
      <c r="H2" s="652"/>
      <c r="I2" s="652"/>
      <c r="J2" s="652"/>
      <c r="K2" s="652"/>
    </row>
    <row r="3" spans="1:19" ht="29.25" customHeight="1" x14ac:dyDescent="0.2">
      <c r="G3" s="202"/>
      <c r="H3" s="202"/>
      <c r="I3" s="202"/>
      <c r="J3" s="202"/>
      <c r="K3" s="202"/>
    </row>
    <row r="4" spans="1:19" ht="31.5" customHeight="1" x14ac:dyDescent="0.2">
      <c r="B4" s="681" t="s">
        <v>762</v>
      </c>
      <c r="C4" s="653"/>
      <c r="D4" s="653"/>
      <c r="E4" s="653"/>
      <c r="F4" s="653"/>
      <c r="G4" s="653"/>
      <c r="H4" s="653"/>
      <c r="I4" s="653"/>
      <c r="J4" s="653"/>
      <c r="K4" s="653"/>
    </row>
    <row r="5" spans="1:19" ht="57" customHeight="1" x14ac:dyDescent="0.2">
      <c r="B5" s="681" t="s">
        <v>840</v>
      </c>
      <c r="C5" s="653"/>
      <c r="D5" s="653"/>
      <c r="E5" s="653"/>
      <c r="F5" s="653"/>
      <c r="G5" s="653"/>
      <c r="H5" s="653"/>
      <c r="I5" s="653"/>
      <c r="J5" s="653"/>
      <c r="K5" s="653"/>
    </row>
    <row r="6" spans="1:19" ht="22.5" x14ac:dyDescent="0.2">
      <c r="B6" s="205"/>
      <c r="C6" s="203"/>
      <c r="D6" s="203"/>
      <c r="E6" s="203"/>
      <c r="F6" s="203"/>
      <c r="G6" s="203"/>
      <c r="H6" s="203"/>
      <c r="I6" s="203"/>
      <c r="J6" s="203"/>
      <c r="K6" s="203"/>
    </row>
    <row r="7" spans="1:19" ht="18.75" x14ac:dyDescent="0.2">
      <c r="B7" s="682">
        <v>22564000000</v>
      </c>
      <c r="C7" s="683"/>
      <c r="D7" s="203"/>
      <c r="E7" s="203"/>
      <c r="F7" s="203"/>
      <c r="G7" s="203"/>
      <c r="H7" s="203"/>
      <c r="I7" s="203"/>
      <c r="J7" s="203"/>
      <c r="K7" s="203"/>
    </row>
    <row r="8" spans="1:19" ht="18.75" x14ac:dyDescent="0.2">
      <c r="B8" s="684" t="s">
        <v>568</v>
      </c>
      <c r="C8" s="685"/>
      <c r="D8" s="203"/>
      <c r="E8" s="203"/>
      <c r="F8" s="203"/>
      <c r="G8" s="203"/>
      <c r="H8" s="203"/>
      <c r="I8" s="203"/>
      <c r="J8" s="203"/>
      <c r="K8" s="203"/>
    </row>
    <row r="9" spans="1:19" ht="6" customHeight="1" thickBot="1" x14ac:dyDescent="0.25">
      <c r="B9" s="163"/>
      <c r="C9" s="198"/>
      <c r="D9" s="203"/>
      <c r="E9" s="203"/>
      <c r="F9" s="203"/>
      <c r="G9" s="203"/>
      <c r="H9" s="203"/>
      <c r="I9" s="203"/>
      <c r="J9" s="203"/>
      <c r="K9" s="203"/>
    </row>
    <row r="10" spans="1:19" ht="120" customHeight="1" thickTop="1" thickBot="1" x14ac:dyDescent="0.25">
      <c r="B10" s="164" t="s">
        <v>569</v>
      </c>
      <c r="C10" s="164" t="s">
        <v>570</v>
      </c>
      <c r="D10" s="164" t="s">
        <v>440</v>
      </c>
      <c r="E10" s="164" t="s">
        <v>773</v>
      </c>
      <c r="F10" s="165" t="s">
        <v>609</v>
      </c>
      <c r="G10" s="165" t="s">
        <v>610</v>
      </c>
      <c r="H10" s="165" t="s">
        <v>611</v>
      </c>
      <c r="I10" s="165" t="s">
        <v>612</v>
      </c>
      <c r="J10" s="165" t="s">
        <v>613</v>
      </c>
      <c r="K10" s="165" t="s">
        <v>614</v>
      </c>
    </row>
    <row r="11" spans="1:19" ht="20.25" customHeight="1" thickTop="1" thickBot="1" x14ac:dyDescent="0.25">
      <c r="B11" s="160">
        <v>1</v>
      </c>
      <c r="C11" s="160">
        <v>2</v>
      </c>
      <c r="D11" s="160">
        <v>3</v>
      </c>
      <c r="E11" s="160">
        <v>4</v>
      </c>
      <c r="F11" s="160">
        <v>5</v>
      </c>
      <c r="G11" s="160">
        <v>6</v>
      </c>
      <c r="H11" s="160">
        <v>7</v>
      </c>
      <c r="I11" s="160">
        <v>8</v>
      </c>
      <c r="J11" s="160">
        <v>9</v>
      </c>
      <c r="K11" s="160">
        <v>10</v>
      </c>
    </row>
    <row r="12" spans="1:19" ht="39.75" customHeight="1" thickTop="1" thickBot="1" x14ac:dyDescent="0.25">
      <c r="B12" s="443" t="s">
        <v>170</v>
      </c>
      <c r="C12" s="443"/>
      <c r="D12" s="443"/>
      <c r="E12" s="444" t="s">
        <v>172</v>
      </c>
      <c r="F12" s="445"/>
      <c r="G12" s="446"/>
      <c r="H12" s="446"/>
      <c r="I12" s="446"/>
      <c r="J12" s="445">
        <f>J13</f>
        <v>3063500</v>
      </c>
      <c r="K12" s="445"/>
    </row>
    <row r="13" spans="1:19" ht="47.25" customHeight="1" thickTop="1" thickBot="1" x14ac:dyDescent="0.25">
      <c r="B13" s="447" t="s">
        <v>171</v>
      </c>
      <c r="C13" s="447"/>
      <c r="D13" s="447"/>
      <c r="E13" s="448" t="s">
        <v>173</v>
      </c>
      <c r="F13" s="449"/>
      <c r="G13" s="449"/>
      <c r="H13" s="449"/>
      <c r="I13" s="449"/>
      <c r="J13" s="449">
        <f>SUM(J14:J15)</f>
        <v>3063500</v>
      </c>
      <c r="K13" s="449"/>
    </row>
    <row r="14" spans="1:19" ht="91.5" thickTop="1" thickBot="1" x14ac:dyDescent="0.25">
      <c r="B14" s="301" t="s">
        <v>262</v>
      </c>
      <c r="C14" s="301" t="s">
        <v>263</v>
      </c>
      <c r="D14" s="301" t="s">
        <v>264</v>
      </c>
      <c r="E14" s="301" t="s">
        <v>261</v>
      </c>
      <c r="F14" s="302" t="s">
        <v>615</v>
      </c>
      <c r="G14" s="338"/>
      <c r="H14" s="339"/>
      <c r="I14" s="338"/>
      <c r="J14" s="174">
        <f>(977200+330000+15000+241300)</f>
        <v>1563500</v>
      </c>
      <c r="K14" s="174"/>
    </row>
    <row r="15" spans="1:19" ht="31.5" thickTop="1" thickBot="1" x14ac:dyDescent="0.25">
      <c r="B15" s="450" t="s">
        <v>268</v>
      </c>
      <c r="C15" s="450" t="s">
        <v>269</v>
      </c>
      <c r="D15" s="450" t="s">
        <v>270</v>
      </c>
      <c r="E15" s="450" t="s">
        <v>267</v>
      </c>
      <c r="F15" s="302" t="s">
        <v>615</v>
      </c>
      <c r="G15" s="255"/>
      <c r="H15" s="256"/>
      <c r="I15" s="255"/>
      <c r="J15" s="174">
        <v>1500000</v>
      </c>
      <c r="K15" s="257"/>
    </row>
    <row r="16" spans="1:19" ht="46.5" thickTop="1" thickBot="1" x14ac:dyDescent="0.25">
      <c r="A16" s="9"/>
      <c r="B16" s="443" t="s">
        <v>174</v>
      </c>
      <c r="C16" s="443"/>
      <c r="D16" s="443"/>
      <c r="E16" s="444" t="s">
        <v>0</v>
      </c>
      <c r="F16" s="445"/>
      <c r="G16" s="446"/>
      <c r="H16" s="446"/>
      <c r="I16" s="446"/>
      <c r="J16" s="445">
        <f>J17</f>
        <v>21641699</v>
      </c>
      <c r="K16" s="445"/>
    </row>
    <row r="17" spans="1:11" ht="44.25" thickTop="1" thickBot="1" x14ac:dyDescent="0.25">
      <c r="A17" s="9"/>
      <c r="B17" s="447" t="s">
        <v>175</v>
      </c>
      <c r="C17" s="447"/>
      <c r="D17" s="447"/>
      <c r="E17" s="448" t="s">
        <v>1</v>
      </c>
      <c r="F17" s="449"/>
      <c r="G17" s="449"/>
      <c r="H17" s="449"/>
      <c r="I17" s="449"/>
      <c r="J17" s="449">
        <f>SUM(J18:J40)</f>
        <v>21641699</v>
      </c>
      <c r="K17" s="449"/>
    </row>
    <row r="18" spans="1:11" ht="31.5" thickTop="1" thickBot="1" x14ac:dyDescent="0.25">
      <c r="B18" s="301" t="s">
        <v>226</v>
      </c>
      <c r="C18" s="301" t="s">
        <v>227</v>
      </c>
      <c r="D18" s="301" t="s">
        <v>229</v>
      </c>
      <c r="E18" s="301" t="s">
        <v>230</v>
      </c>
      <c r="F18" s="302" t="s">
        <v>615</v>
      </c>
      <c r="G18" s="303"/>
      <c r="H18" s="304"/>
      <c r="I18" s="304"/>
      <c r="J18" s="174">
        <f>(30333+15000+1172122)</f>
        <v>1217455</v>
      </c>
      <c r="K18" s="174"/>
    </row>
    <row r="19" spans="1:11" ht="91.5" thickTop="1" thickBot="1" x14ac:dyDescent="0.25">
      <c r="B19" s="450" t="s">
        <v>226</v>
      </c>
      <c r="C19" s="450" t="s">
        <v>227</v>
      </c>
      <c r="D19" s="450" t="s">
        <v>229</v>
      </c>
      <c r="E19" s="450" t="s">
        <v>230</v>
      </c>
      <c r="F19" s="451" t="s">
        <v>869</v>
      </c>
      <c r="G19" s="452" t="s">
        <v>636</v>
      </c>
      <c r="H19" s="333">
        <v>2298771.4900000002</v>
      </c>
      <c r="I19" s="453">
        <f>(984339.94+460000)/H19</f>
        <v>0.6283094889087909</v>
      </c>
      <c r="J19" s="454">
        <v>800000</v>
      </c>
      <c r="K19" s="453">
        <f>(J19+984339.94+460000)/H19</f>
        <v>0.97632146116445861</v>
      </c>
    </row>
    <row r="20" spans="1:11" ht="106.5" thickTop="1" thickBot="1" x14ac:dyDescent="0.25">
      <c r="B20" s="450" t="s">
        <v>226</v>
      </c>
      <c r="C20" s="450" t="s">
        <v>227</v>
      </c>
      <c r="D20" s="450" t="s">
        <v>229</v>
      </c>
      <c r="E20" s="450" t="s">
        <v>230</v>
      </c>
      <c r="F20" s="464" t="s">
        <v>868</v>
      </c>
      <c r="G20" s="303"/>
      <c r="H20" s="333"/>
      <c r="I20" s="453"/>
      <c r="J20" s="454">
        <v>160000</v>
      </c>
      <c r="K20" s="453"/>
    </row>
    <row r="21" spans="1:11" ht="76.5" thickTop="1" thickBot="1" x14ac:dyDescent="0.25">
      <c r="B21" s="301" t="s">
        <v>226</v>
      </c>
      <c r="C21" s="301" t="s">
        <v>227</v>
      </c>
      <c r="D21" s="301" t="s">
        <v>229</v>
      </c>
      <c r="E21" s="301" t="s">
        <v>230</v>
      </c>
      <c r="F21" s="302" t="s">
        <v>616</v>
      </c>
      <c r="G21" s="303" t="s">
        <v>636</v>
      </c>
      <c r="H21" s="304">
        <v>8521327.8499999996</v>
      </c>
      <c r="I21" s="306">
        <f>((999840+3536574)/H21)</f>
        <v>0.53235998894233372</v>
      </c>
      <c r="J21" s="174">
        <v>3100000</v>
      </c>
      <c r="K21" s="306">
        <f>(J21+999840+3536574)/H21</f>
        <v>0.89615305670934842</v>
      </c>
    </row>
    <row r="22" spans="1:11" ht="76.5" thickTop="1" thickBot="1" x14ac:dyDescent="0.25">
      <c r="B22" s="301" t="s">
        <v>226</v>
      </c>
      <c r="C22" s="301" t="s">
        <v>227</v>
      </c>
      <c r="D22" s="301" t="s">
        <v>229</v>
      </c>
      <c r="E22" s="301" t="s">
        <v>230</v>
      </c>
      <c r="F22" s="302" t="s">
        <v>617</v>
      </c>
      <c r="G22" s="303" t="s">
        <v>564</v>
      </c>
      <c r="H22" s="304">
        <v>742721</v>
      </c>
      <c r="I22" s="306">
        <f>((300000)/H22)</f>
        <v>0.40392017998683222</v>
      </c>
      <c r="J22" s="174">
        <v>440000</v>
      </c>
      <c r="K22" s="306">
        <f>(300000+J22)/H22</f>
        <v>0.99633644396751941</v>
      </c>
    </row>
    <row r="23" spans="1:11" ht="46.5" thickTop="1" thickBot="1" x14ac:dyDescent="0.25">
      <c r="B23" s="301" t="s">
        <v>226</v>
      </c>
      <c r="C23" s="301" t="s">
        <v>227</v>
      </c>
      <c r="D23" s="301" t="s">
        <v>229</v>
      </c>
      <c r="E23" s="301" t="s">
        <v>230</v>
      </c>
      <c r="F23" s="302" t="s">
        <v>871</v>
      </c>
      <c r="G23" s="452"/>
      <c r="H23" s="333"/>
      <c r="I23" s="453"/>
      <c r="J23" s="454">
        <v>130000</v>
      </c>
      <c r="K23" s="453"/>
    </row>
    <row r="24" spans="1:11" ht="46.5" thickTop="1" thickBot="1" x14ac:dyDescent="0.25">
      <c r="B24" s="301" t="s">
        <v>226</v>
      </c>
      <c r="C24" s="301" t="s">
        <v>227</v>
      </c>
      <c r="D24" s="301" t="s">
        <v>229</v>
      </c>
      <c r="E24" s="301" t="s">
        <v>230</v>
      </c>
      <c r="F24" s="302" t="s">
        <v>872</v>
      </c>
      <c r="G24" s="452"/>
      <c r="H24" s="333"/>
      <c r="I24" s="453"/>
      <c r="J24" s="454">
        <v>300000</v>
      </c>
      <c r="K24" s="453"/>
    </row>
    <row r="25" spans="1:11" ht="61.5" thickTop="1" thickBot="1" x14ac:dyDescent="0.25">
      <c r="B25" s="301" t="s">
        <v>231</v>
      </c>
      <c r="C25" s="301" t="s">
        <v>228</v>
      </c>
      <c r="D25" s="301" t="s">
        <v>232</v>
      </c>
      <c r="E25" s="301" t="s">
        <v>576</v>
      </c>
      <c r="F25" s="302" t="s">
        <v>615</v>
      </c>
      <c r="G25" s="303"/>
      <c r="H25" s="304"/>
      <c r="I25" s="306"/>
      <c r="J25" s="174">
        <f>(2000000+3000000+1970000+92450+400000+1224076)</f>
        <v>8686526</v>
      </c>
      <c r="K25" s="306"/>
    </row>
    <row r="26" spans="1:11" ht="61.5" thickTop="1" thickBot="1" x14ac:dyDescent="0.25">
      <c r="B26" s="301" t="s">
        <v>231</v>
      </c>
      <c r="C26" s="301" t="s">
        <v>228</v>
      </c>
      <c r="D26" s="301" t="s">
        <v>232</v>
      </c>
      <c r="E26" s="301" t="s">
        <v>576</v>
      </c>
      <c r="F26" s="455" t="s">
        <v>792</v>
      </c>
      <c r="G26" s="303"/>
      <c r="H26" s="304"/>
      <c r="I26" s="306"/>
      <c r="J26" s="333">
        <v>200000</v>
      </c>
      <c r="K26" s="306"/>
    </row>
    <row r="27" spans="1:11" ht="121.5" thickTop="1" thickBot="1" x14ac:dyDescent="0.25">
      <c r="B27" s="301" t="s">
        <v>231</v>
      </c>
      <c r="C27" s="301" t="s">
        <v>228</v>
      </c>
      <c r="D27" s="301" t="s">
        <v>232</v>
      </c>
      <c r="E27" s="301" t="s">
        <v>576</v>
      </c>
      <c r="F27" s="464" t="s">
        <v>796</v>
      </c>
      <c r="G27" s="303"/>
      <c r="H27" s="304"/>
      <c r="I27" s="306"/>
      <c r="J27" s="333">
        <v>500000</v>
      </c>
      <c r="K27" s="306"/>
    </row>
    <row r="28" spans="1:11" ht="61.5" thickTop="1" thickBot="1" x14ac:dyDescent="0.25">
      <c r="B28" s="301" t="s">
        <v>231</v>
      </c>
      <c r="C28" s="301" t="s">
        <v>228</v>
      </c>
      <c r="D28" s="301" t="s">
        <v>232</v>
      </c>
      <c r="E28" s="301" t="s">
        <v>576</v>
      </c>
      <c r="F28" s="455" t="s">
        <v>793</v>
      </c>
      <c r="G28" s="303"/>
      <c r="H28" s="304"/>
      <c r="I28" s="306"/>
      <c r="J28" s="333">
        <v>1000000</v>
      </c>
      <c r="K28" s="306"/>
    </row>
    <row r="29" spans="1:11" ht="61.5" thickTop="1" thickBot="1" x14ac:dyDescent="0.25">
      <c r="B29" s="301" t="s">
        <v>231</v>
      </c>
      <c r="C29" s="301" t="s">
        <v>228</v>
      </c>
      <c r="D29" s="301" t="s">
        <v>232</v>
      </c>
      <c r="E29" s="301" t="s">
        <v>576</v>
      </c>
      <c r="F29" s="455" t="s">
        <v>906</v>
      </c>
      <c r="G29" s="303"/>
      <c r="H29" s="304"/>
      <c r="I29" s="306"/>
      <c r="J29" s="454">
        <v>50000</v>
      </c>
      <c r="K29" s="306"/>
    </row>
    <row r="30" spans="1:11" ht="106.5" thickTop="1" thickBot="1" x14ac:dyDescent="0.25">
      <c r="B30" s="301" t="s">
        <v>231</v>
      </c>
      <c r="C30" s="301" t="s">
        <v>228</v>
      </c>
      <c r="D30" s="301" t="s">
        <v>232</v>
      </c>
      <c r="E30" s="301" t="s">
        <v>576</v>
      </c>
      <c r="F30" s="455" t="s">
        <v>795</v>
      </c>
      <c r="G30" s="303"/>
      <c r="H30" s="304"/>
      <c r="I30" s="306"/>
      <c r="J30" s="454">
        <v>300000</v>
      </c>
      <c r="K30" s="306"/>
    </row>
    <row r="31" spans="1:11" ht="61.5" thickTop="1" thickBot="1" x14ac:dyDescent="0.25">
      <c r="B31" s="301" t="s">
        <v>231</v>
      </c>
      <c r="C31" s="301" t="s">
        <v>228</v>
      </c>
      <c r="D31" s="301" t="s">
        <v>232</v>
      </c>
      <c r="E31" s="301" t="s">
        <v>576</v>
      </c>
      <c r="F31" s="455" t="s">
        <v>870</v>
      </c>
      <c r="G31" s="303"/>
      <c r="H31" s="304"/>
      <c r="I31" s="306"/>
      <c r="J31" s="454">
        <v>750000</v>
      </c>
      <c r="K31" s="306"/>
    </row>
    <row r="32" spans="1:11" ht="106.5" thickTop="1" thickBot="1" x14ac:dyDescent="0.25">
      <c r="A32" s="456"/>
      <c r="B32" s="301" t="s">
        <v>231</v>
      </c>
      <c r="C32" s="301" t="s">
        <v>228</v>
      </c>
      <c r="D32" s="301" t="s">
        <v>232</v>
      </c>
      <c r="E32" s="301" t="s">
        <v>576</v>
      </c>
      <c r="F32" s="455" t="s">
        <v>618</v>
      </c>
      <c r="G32" s="303" t="s">
        <v>564</v>
      </c>
      <c r="H32" s="304">
        <v>2263021</v>
      </c>
      <c r="I32" s="306">
        <f>(50000/H32)</f>
        <v>2.2094359707665108E-2</v>
      </c>
      <c r="J32" s="454">
        <v>500000</v>
      </c>
      <c r="K32" s="306">
        <f>(J32+50000)/H32*100%</f>
        <v>0.24303795678431619</v>
      </c>
    </row>
    <row r="33" spans="1:13" ht="76.5" thickTop="1" thickBot="1" x14ac:dyDescent="0.25">
      <c r="B33" s="301" t="s">
        <v>231</v>
      </c>
      <c r="C33" s="301" t="s">
        <v>228</v>
      </c>
      <c r="D33" s="301" t="s">
        <v>232</v>
      </c>
      <c r="E33" s="301" t="s">
        <v>576</v>
      </c>
      <c r="F33" s="464" t="s">
        <v>858</v>
      </c>
      <c r="G33" s="303"/>
      <c r="H33" s="304"/>
      <c r="I33" s="306"/>
      <c r="J33" s="454">
        <v>750000</v>
      </c>
      <c r="K33" s="306"/>
    </row>
    <row r="34" spans="1:13" ht="166.5" hidden="1" thickTop="1" thickBot="1" x14ac:dyDescent="0.25">
      <c r="B34" s="262" t="s">
        <v>231</v>
      </c>
      <c r="C34" s="262" t="s">
        <v>228</v>
      </c>
      <c r="D34" s="262" t="s">
        <v>232</v>
      </c>
      <c r="E34" s="262" t="s">
        <v>576</v>
      </c>
      <c r="F34" s="266" t="s">
        <v>619</v>
      </c>
      <c r="G34" s="263"/>
      <c r="H34" s="264"/>
      <c r="I34" s="265"/>
      <c r="J34" s="261"/>
      <c r="K34" s="265"/>
    </row>
    <row r="35" spans="1:13" ht="151.5" thickTop="1" thickBot="1" x14ac:dyDescent="0.25">
      <c r="B35" s="301" t="s">
        <v>231</v>
      </c>
      <c r="C35" s="301" t="s">
        <v>228</v>
      </c>
      <c r="D35" s="301" t="s">
        <v>232</v>
      </c>
      <c r="E35" s="301" t="s">
        <v>576</v>
      </c>
      <c r="F35" s="455" t="s">
        <v>790</v>
      </c>
      <c r="G35" s="303" t="s">
        <v>564</v>
      </c>
      <c r="H35" s="304">
        <v>1489695</v>
      </c>
      <c r="I35" s="306">
        <f>(940877/H35)</f>
        <v>0.63159035910035277</v>
      </c>
      <c r="J35" s="454">
        <v>548818</v>
      </c>
      <c r="K35" s="306">
        <f>(J35+940877)/H35</f>
        <v>1</v>
      </c>
      <c r="L35" s="391"/>
      <c r="M35" s="392"/>
    </row>
    <row r="36" spans="1:13" ht="166.5" thickTop="1" thickBot="1" x14ac:dyDescent="0.25">
      <c r="B36" s="301" t="s">
        <v>231</v>
      </c>
      <c r="C36" s="301" t="s">
        <v>228</v>
      </c>
      <c r="D36" s="301" t="s">
        <v>232</v>
      </c>
      <c r="E36" s="301" t="s">
        <v>576</v>
      </c>
      <c r="F36" s="455" t="s">
        <v>836</v>
      </c>
      <c r="G36" s="303"/>
      <c r="H36" s="304"/>
      <c r="I36" s="306"/>
      <c r="J36" s="454">
        <v>50000</v>
      </c>
      <c r="K36" s="306"/>
      <c r="L36" s="391"/>
      <c r="M36" s="392"/>
    </row>
    <row r="37" spans="1:13" ht="121.5" thickTop="1" thickBot="1" x14ac:dyDescent="0.25">
      <c r="B37" s="301" t="s">
        <v>231</v>
      </c>
      <c r="C37" s="301" t="s">
        <v>228</v>
      </c>
      <c r="D37" s="301" t="s">
        <v>232</v>
      </c>
      <c r="E37" s="301" t="s">
        <v>576</v>
      </c>
      <c r="F37" s="455" t="s">
        <v>791</v>
      </c>
      <c r="G37" s="303" t="s">
        <v>564</v>
      </c>
      <c r="H37" s="304">
        <v>1499260</v>
      </c>
      <c r="I37" s="306">
        <f>(59000/H37)</f>
        <v>3.9352747355361976E-2</v>
      </c>
      <c r="J37" s="454">
        <v>750000</v>
      </c>
      <c r="K37" s="306">
        <f>(J37+59000)/H37</f>
        <v>0.5395995357709803</v>
      </c>
      <c r="L37" s="391"/>
      <c r="M37" s="392"/>
    </row>
    <row r="38" spans="1:13" ht="76.5" thickTop="1" thickBot="1" x14ac:dyDescent="0.25">
      <c r="B38" s="301" t="s">
        <v>578</v>
      </c>
      <c r="C38" s="301" t="s">
        <v>233</v>
      </c>
      <c r="D38" s="301" t="s">
        <v>235</v>
      </c>
      <c r="E38" s="301" t="s">
        <v>577</v>
      </c>
      <c r="F38" s="302" t="s">
        <v>615</v>
      </c>
      <c r="G38" s="303"/>
      <c r="H38" s="304"/>
      <c r="I38" s="304"/>
      <c r="J38" s="174">
        <f>(100000+120000+38430+59425+30000)</f>
        <v>347855</v>
      </c>
      <c r="K38" s="174"/>
    </row>
    <row r="39" spans="1:13" ht="76.5" thickTop="1" thickBot="1" x14ac:dyDescent="0.25">
      <c r="B39" s="301" t="s">
        <v>578</v>
      </c>
      <c r="C39" s="301" t="s">
        <v>233</v>
      </c>
      <c r="D39" s="301" t="s">
        <v>235</v>
      </c>
      <c r="E39" s="301" t="s">
        <v>577</v>
      </c>
      <c r="F39" s="455" t="s">
        <v>794</v>
      </c>
      <c r="G39" s="303"/>
      <c r="H39" s="259"/>
      <c r="I39" s="259"/>
      <c r="J39" s="174">
        <v>300000</v>
      </c>
      <c r="K39" s="257"/>
    </row>
    <row r="40" spans="1:13" ht="76.5" thickTop="1" thickBot="1" x14ac:dyDescent="0.25">
      <c r="B40" s="301" t="s">
        <v>236</v>
      </c>
      <c r="C40" s="301" t="s">
        <v>219</v>
      </c>
      <c r="D40" s="301" t="s">
        <v>208</v>
      </c>
      <c r="E40" s="301" t="s">
        <v>579</v>
      </c>
      <c r="F40" s="302" t="s">
        <v>620</v>
      </c>
      <c r="G40" s="303" t="s">
        <v>621</v>
      </c>
      <c r="H40" s="304">
        <v>15246271</v>
      </c>
      <c r="I40" s="306">
        <f>(10870900.41+3614326)/H40</f>
        <v>0.9500832308437912</v>
      </c>
      <c r="J40" s="174">
        <v>761045</v>
      </c>
      <c r="K40" s="306">
        <f>(10870900.41+3614326+J40)/H40</f>
        <v>1.0000000268918217</v>
      </c>
    </row>
    <row r="41" spans="1:13" ht="46.5" thickTop="1" thickBot="1" x14ac:dyDescent="0.25">
      <c r="B41" s="443" t="s">
        <v>176</v>
      </c>
      <c r="C41" s="443"/>
      <c r="D41" s="443"/>
      <c r="E41" s="444" t="s">
        <v>20</v>
      </c>
      <c r="F41" s="445"/>
      <c r="G41" s="446"/>
      <c r="H41" s="446"/>
      <c r="I41" s="446"/>
      <c r="J41" s="445">
        <f>J42</f>
        <v>7424775</v>
      </c>
      <c r="K41" s="445"/>
    </row>
    <row r="42" spans="1:13" ht="44.25" thickTop="1" thickBot="1" x14ac:dyDescent="0.25">
      <c r="B42" s="447" t="s">
        <v>177</v>
      </c>
      <c r="C42" s="447"/>
      <c r="D42" s="447"/>
      <c r="E42" s="448" t="s">
        <v>40</v>
      </c>
      <c r="F42" s="449"/>
      <c r="G42" s="449"/>
      <c r="H42" s="449"/>
      <c r="I42" s="449"/>
      <c r="J42" s="449">
        <f>SUM(J43:J54)</f>
        <v>7424775</v>
      </c>
      <c r="K42" s="449"/>
    </row>
    <row r="43" spans="1:13" ht="91.5" thickTop="1" thickBot="1" x14ac:dyDescent="0.25">
      <c r="B43" s="301" t="s">
        <v>493</v>
      </c>
      <c r="C43" s="301" t="s">
        <v>225</v>
      </c>
      <c r="D43" s="301" t="s">
        <v>192</v>
      </c>
      <c r="E43" s="301" t="s">
        <v>38</v>
      </c>
      <c r="F43" s="465" t="s">
        <v>877</v>
      </c>
      <c r="G43" s="303"/>
      <c r="H43" s="304"/>
      <c r="I43" s="306"/>
      <c r="J43" s="174">
        <v>437500</v>
      </c>
      <c r="K43" s="306"/>
    </row>
    <row r="44" spans="1:13" ht="151.5" thickTop="1" thickBot="1" x14ac:dyDescent="0.25">
      <c r="B44" s="301" t="s">
        <v>493</v>
      </c>
      <c r="C44" s="301" t="s">
        <v>225</v>
      </c>
      <c r="D44" s="301" t="s">
        <v>192</v>
      </c>
      <c r="E44" s="301" t="s">
        <v>38</v>
      </c>
      <c r="F44" s="465" t="s">
        <v>878</v>
      </c>
      <c r="G44" s="303" t="s">
        <v>564</v>
      </c>
      <c r="H44" s="304">
        <v>725500</v>
      </c>
      <c r="I44" s="306">
        <f>457500/H44</f>
        <v>0.63059958649207448</v>
      </c>
      <c r="J44" s="174">
        <v>268000</v>
      </c>
      <c r="K44" s="306">
        <f>(J44+457500)/H44</f>
        <v>1</v>
      </c>
    </row>
    <row r="45" spans="1:13" ht="196.5" thickTop="1" thickBot="1" x14ac:dyDescent="0.25">
      <c r="A45" s="456"/>
      <c r="B45" s="301" t="s">
        <v>493</v>
      </c>
      <c r="C45" s="301" t="s">
        <v>225</v>
      </c>
      <c r="D45" s="301" t="s">
        <v>192</v>
      </c>
      <c r="E45" s="301" t="s">
        <v>38</v>
      </c>
      <c r="F45" s="464" t="s">
        <v>799</v>
      </c>
      <c r="G45" s="452" t="s">
        <v>564</v>
      </c>
      <c r="H45" s="333">
        <v>1860900</v>
      </c>
      <c r="I45" s="453">
        <f>(49400)/H45</f>
        <v>2.6546294803589662E-2</v>
      </c>
      <c r="J45" s="454">
        <v>900000</v>
      </c>
      <c r="K45" s="453">
        <f>(J45+49400)/H45</f>
        <v>0.51018324466655918</v>
      </c>
    </row>
    <row r="46" spans="1:13" ht="91.5" thickTop="1" thickBot="1" x14ac:dyDescent="0.25">
      <c r="A46" s="456"/>
      <c r="B46" s="301" t="s">
        <v>493</v>
      </c>
      <c r="C46" s="301" t="s">
        <v>225</v>
      </c>
      <c r="D46" s="301" t="s">
        <v>192</v>
      </c>
      <c r="E46" s="450" t="s">
        <v>38</v>
      </c>
      <c r="F46" s="466" t="s">
        <v>622</v>
      </c>
      <c r="G46" s="452"/>
      <c r="H46" s="333"/>
      <c r="I46" s="453"/>
      <c r="J46" s="454">
        <v>129406</v>
      </c>
      <c r="K46" s="453"/>
    </row>
    <row r="47" spans="1:13" ht="166.5" thickTop="1" thickBot="1" x14ac:dyDescent="0.25">
      <c r="B47" s="301" t="s">
        <v>493</v>
      </c>
      <c r="C47" s="301" t="s">
        <v>225</v>
      </c>
      <c r="D47" s="301" t="s">
        <v>192</v>
      </c>
      <c r="E47" s="301" t="s">
        <v>38</v>
      </c>
      <c r="F47" s="465" t="s">
        <v>806</v>
      </c>
      <c r="G47" s="452" t="s">
        <v>636</v>
      </c>
      <c r="H47" s="333">
        <v>2286900</v>
      </c>
      <c r="I47" s="453">
        <f>41107/H47</f>
        <v>1.7974987974987974E-2</v>
      </c>
      <c r="J47" s="454">
        <f>2286900-41107</f>
        <v>2245793</v>
      </c>
      <c r="K47" s="453">
        <f>(J47+41107)/H47</f>
        <v>1</v>
      </c>
    </row>
    <row r="48" spans="1:13" ht="166.5" thickTop="1" thickBot="1" x14ac:dyDescent="0.25">
      <c r="B48" s="301" t="s">
        <v>493</v>
      </c>
      <c r="C48" s="301" t="s">
        <v>225</v>
      </c>
      <c r="D48" s="301" t="s">
        <v>192</v>
      </c>
      <c r="E48" s="301" t="s">
        <v>38</v>
      </c>
      <c r="F48" s="465" t="s">
        <v>873</v>
      </c>
      <c r="G48" s="452" t="s">
        <v>874</v>
      </c>
      <c r="H48" s="333">
        <v>24579593</v>
      </c>
      <c r="I48" s="453">
        <f>600000/H48</f>
        <v>2.4410493696946079E-2</v>
      </c>
      <c r="J48" s="454">
        <v>500000</v>
      </c>
      <c r="K48" s="453">
        <f>(J48+600000)/H48</f>
        <v>4.4752571777734479E-2</v>
      </c>
    </row>
    <row r="49" spans="1:12" ht="91.5" thickTop="1" thickBot="1" x14ac:dyDescent="0.25">
      <c r="B49" s="301" t="s">
        <v>493</v>
      </c>
      <c r="C49" s="301" t="s">
        <v>225</v>
      </c>
      <c r="D49" s="301" t="s">
        <v>192</v>
      </c>
      <c r="E49" s="301" t="s">
        <v>38</v>
      </c>
      <c r="F49" s="465" t="s">
        <v>640</v>
      </c>
      <c r="G49" s="303"/>
      <c r="H49" s="304"/>
      <c r="I49" s="306"/>
      <c r="J49" s="174">
        <v>1000000</v>
      </c>
      <c r="K49" s="306"/>
    </row>
    <row r="50" spans="1:12" ht="151.5" thickTop="1" thickBot="1" x14ac:dyDescent="0.25">
      <c r="B50" s="301" t="s">
        <v>493</v>
      </c>
      <c r="C50" s="301" t="s">
        <v>225</v>
      </c>
      <c r="D50" s="301" t="s">
        <v>192</v>
      </c>
      <c r="E50" s="301" t="s">
        <v>38</v>
      </c>
      <c r="F50" s="465" t="s">
        <v>805</v>
      </c>
      <c r="G50" s="452" t="s">
        <v>741</v>
      </c>
      <c r="H50" s="333">
        <v>299806.42</v>
      </c>
      <c r="I50" s="453">
        <v>0</v>
      </c>
      <c r="J50" s="454">
        <v>299806</v>
      </c>
      <c r="K50" s="453">
        <f>(J50)/H50</f>
        <v>0.99999859909604338</v>
      </c>
    </row>
    <row r="51" spans="1:12" ht="106.5" thickTop="1" thickBot="1" x14ac:dyDescent="0.25">
      <c r="B51" s="301" t="s">
        <v>493</v>
      </c>
      <c r="C51" s="301" t="s">
        <v>225</v>
      </c>
      <c r="D51" s="301" t="s">
        <v>192</v>
      </c>
      <c r="E51" s="301" t="s">
        <v>38</v>
      </c>
      <c r="F51" s="465" t="s">
        <v>905</v>
      </c>
      <c r="G51" s="452"/>
      <c r="H51" s="333"/>
      <c r="I51" s="453"/>
      <c r="J51" s="454">
        <v>500000</v>
      </c>
      <c r="K51" s="453"/>
    </row>
    <row r="52" spans="1:12" ht="106.5" thickTop="1" thickBot="1" x14ac:dyDescent="0.25">
      <c r="B52" s="301" t="s">
        <v>493</v>
      </c>
      <c r="C52" s="301" t="s">
        <v>225</v>
      </c>
      <c r="D52" s="301" t="s">
        <v>192</v>
      </c>
      <c r="E52" s="301" t="s">
        <v>38</v>
      </c>
      <c r="F52" s="465" t="s">
        <v>623</v>
      </c>
      <c r="G52" s="303"/>
      <c r="H52" s="304"/>
      <c r="I52" s="303"/>
      <c r="J52" s="174">
        <f>(700000+136258+107000)</f>
        <v>943258</v>
      </c>
      <c r="K52" s="453"/>
    </row>
    <row r="53" spans="1:12" ht="166.5" thickTop="1" thickBot="1" x14ac:dyDescent="0.25">
      <c r="B53" s="301" t="s">
        <v>493</v>
      </c>
      <c r="C53" s="301" t="s">
        <v>225</v>
      </c>
      <c r="D53" s="301" t="s">
        <v>192</v>
      </c>
      <c r="E53" s="301" t="s">
        <v>38</v>
      </c>
      <c r="F53" s="465" t="s">
        <v>875</v>
      </c>
      <c r="G53" s="452" t="s">
        <v>741</v>
      </c>
      <c r="H53" s="454">
        <v>77072</v>
      </c>
      <c r="I53" s="453">
        <v>0</v>
      </c>
      <c r="J53" s="454">
        <v>77072</v>
      </c>
      <c r="K53" s="453">
        <f>(J53)/H53</f>
        <v>1</v>
      </c>
    </row>
    <row r="54" spans="1:12" ht="166.5" thickTop="1" thickBot="1" x14ac:dyDescent="0.25">
      <c r="A54" s="456"/>
      <c r="B54" s="301" t="s">
        <v>493</v>
      </c>
      <c r="C54" s="301" t="s">
        <v>225</v>
      </c>
      <c r="D54" s="301" t="s">
        <v>192</v>
      </c>
      <c r="E54" s="301" t="s">
        <v>38</v>
      </c>
      <c r="F54" s="465" t="s">
        <v>876</v>
      </c>
      <c r="G54" s="452" t="s">
        <v>741</v>
      </c>
      <c r="H54" s="304">
        <v>123940</v>
      </c>
      <c r="I54" s="453">
        <v>0</v>
      </c>
      <c r="J54" s="174">
        <v>123940</v>
      </c>
      <c r="K54" s="453">
        <f>(J54)/H54</f>
        <v>1</v>
      </c>
    </row>
    <row r="55" spans="1:12" ht="46.5" thickTop="1" thickBot="1" x14ac:dyDescent="0.25">
      <c r="B55" s="443" t="s">
        <v>178</v>
      </c>
      <c r="C55" s="443"/>
      <c r="D55" s="443"/>
      <c r="E55" s="444" t="s">
        <v>41</v>
      </c>
      <c r="F55" s="445"/>
      <c r="G55" s="446"/>
      <c r="H55" s="446"/>
      <c r="I55" s="446"/>
      <c r="J55" s="445">
        <f>J56</f>
        <v>5648340</v>
      </c>
      <c r="K55" s="445"/>
    </row>
    <row r="56" spans="1:12" ht="58.5" thickTop="1" thickBot="1" x14ac:dyDescent="0.25">
      <c r="B56" s="447" t="s">
        <v>179</v>
      </c>
      <c r="C56" s="447"/>
      <c r="D56" s="447"/>
      <c r="E56" s="448" t="s">
        <v>42</v>
      </c>
      <c r="F56" s="449"/>
      <c r="G56" s="449"/>
      <c r="H56" s="449"/>
      <c r="I56" s="449"/>
      <c r="J56" s="449">
        <f>SUM(J57:J61)</f>
        <v>5648340</v>
      </c>
      <c r="K56" s="449"/>
    </row>
    <row r="57" spans="1:12" ht="61.5" thickTop="1" thickBot="1" x14ac:dyDescent="0.25">
      <c r="B57" s="301" t="s">
        <v>466</v>
      </c>
      <c r="C57" s="301" t="s">
        <v>266</v>
      </c>
      <c r="D57" s="301" t="s">
        <v>264</v>
      </c>
      <c r="E57" s="301" t="s">
        <v>265</v>
      </c>
      <c r="F57" s="465" t="s">
        <v>615</v>
      </c>
      <c r="G57" s="303"/>
      <c r="H57" s="304"/>
      <c r="I57" s="303"/>
      <c r="J57" s="304">
        <v>911000</v>
      </c>
      <c r="K57" s="304"/>
    </row>
    <row r="58" spans="1:12" ht="46.5" thickTop="1" thickBot="1" x14ac:dyDescent="0.25">
      <c r="B58" s="301" t="s">
        <v>299</v>
      </c>
      <c r="C58" s="301" t="s">
        <v>300</v>
      </c>
      <c r="D58" s="301" t="s">
        <v>233</v>
      </c>
      <c r="E58" s="470" t="s">
        <v>301</v>
      </c>
      <c r="F58" s="302" t="s">
        <v>624</v>
      </c>
      <c r="G58" s="303" t="s">
        <v>741</v>
      </c>
      <c r="H58" s="471"/>
      <c r="I58" s="472"/>
      <c r="J58" s="174">
        <v>199000</v>
      </c>
      <c r="K58" s="306">
        <v>1</v>
      </c>
    </row>
    <row r="59" spans="1:12" ht="46.5" thickTop="1" thickBot="1" x14ac:dyDescent="0.25">
      <c r="B59" s="301" t="s">
        <v>368</v>
      </c>
      <c r="C59" s="301" t="s">
        <v>370</v>
      </c>
      <c r="D59" s="301" t="s">
        <v>219</v>
      </c>
      <c r="E59" s="468" t="s">
        <v>372</v>
      </c>
      <c r="F59" s="465" t="s">
        <v>615</v>
      </c>
      <c r="G59" s="174"/>
      <c r="H59" s="174"/>
      <c r="I59" s="469"/>
      <c r="J59" s="304">
        <f>(72894+138259+40788+136399)</f>
        <v>388340</v>
      </c>
      <c r="K59" s="304"/>
    </row>
    <row r="60" spans="1:12" ht="31.5" thickTop="1" thickBot="1" x14ac:dyDescent="0.25">
      <c r="B60" s="301" t="s">
        <v>369</v>
      </c>
      <c r="C60" s="301" t="s">
        <v>371</v>
      </c>
      <c r="D60" s="301" t="s">
        <v>219</v>
      </c>
      <c r="E60" s="468" t="s">
        <v>373</v>
      </c>
      <c r="F60" s="302" t="s">
        <v>624</v>
      </c>
      <c r="G60" s="303" t="s">
        <v>741</v>
      </c>
      <c r="H60" s="174"/>
      <c r="I60" s="469"/>
      <c r="J60" s="304">
        <v>150000</v>
      </c>
      <c r="K60" s="306">
        <v>1</v>
      </c>
      <c r="L60" s="393"/>
    </row>
    <row r="61" spans="1:12" ht="31.5" thickTop="1" thickBot="1" x14ac:dyDescent="0.25">
      <c r="B61" s="301" t="s">
        <v>415</v>
      </c>
      <c r="C61" s="301" t="s">
        <v>413</v>
      </c>
      <c r="D61" s="301" t="s">
        <v>384</v>
      </c>
      <c r="E61" s="468" t="s">
        <v>414</v>
      </c>
      <c r="F61" s="303" t="s">
        <v>625</v>
      </c>
      <c r="G61" s="303"/>
      <c r="H61" s="174"/>
      <c r="I61" s="469"/>
      <c r="J61" s="304">
        <v>4000000</v>
      </c>
      <c r="K61" s="306"/>
    </row>
    <row r="62" spans="1:12" ht="46.5" thickTop="1" thickBot="1" x14ac:dyDescent="0.25">
      <c r="A62" s="131"/>
      <c r="B62" s="443">
        <v>1000000</v>
      </c>
      <c r="C62" s="443"/>
      <c r="D62" s="443"/>
      <c r="E62" s="444" t="s">
        <v>26</v>
      </c>
      <c r="F62" s="445"/>
      <c r="G62" s="446"/>
      <c r="H62" s="446"/>
      <c r="I62" s="446"/>
      <c r="J62" s="445">
        <f>J63</f>
        <v>3313500</v>
      </c>
      <c r="K62" s="445"/>
    </row>
    <row r="63" spans="1:12" ht="44.25" thickTop="1" thickBot="1" x14ac:dyDescent="0.25">
      <c r="A63" s="131"/>
      <c r="B63" s="447">
        <v>1010000</v>
      </c>
      <c r="C63" s="447"/>
      <c r="D63" s="447"/>
      <c r="E63" s="448" t="s">
        <v>43</v>
      </c>
      <c r="F63" s="449"/>
      <c r="G63" s="449"/>
      <c r="H63" s="449"/>
      <c r="I63" s="449"/>
      <c r="J63" s="449">
        <f>SUM(J64:J68)</f>
        <v>3313500</v>
      </c>
      <c r="K63" s="449"/>
    </row>
    <row r="64" spans="1:12" ht="31.5" thickTop="1" thickBot="1" x14ac:dyDescent="0.25">
      <c r="A64" s="131"/>
      <c r="B64" s="301" t="s">
        <v>198</v>
      </c>
      <c r="C64" s="301" t="s">
        <v>199</v>
      </c>
      <c r="D64" s="301" t="s">
        <v>200</v>
      </c>
      <c r="E64" s="301" t="s">
        <v>201</v>
      </c>
      <c r="F64" s="302" t="s">
        <v>615</v>
      </c>
      <c r="G64" s="304"/>
      <c r="H64" s="304"/>
      <c r="I64" s="320"/>
      <c r="J64" s="304">
        <f>(10000+28000)</f>
        <v>38000</v>
      </c>
      <c r="K64" s="320"/>
    </row>
    <row r="65" spans="1:19" ht="76.5" thickTop="1" thickBot="1" x14ac:dyDescent="0.25">
      <c r="A65" s="131"/>
      <c r="B65" s="301" t="s">
        <v>198</v>
      </c>
      <c r="C65" s="301" t="s">
        <v>199</v>
      </c>
      <c r="D65" s="301" t="s">
        <v>200</v>
      </c>
      <c r="E65" s="301" t="s">
        <v>201</v>
      </c>
      <c r="F65" s="302" t="s">
        <v>822</v>
      </c>
      <c r="G65" s="303"/>
      <c r="H65" s="304"/>
      <c r="I65" s="320"/>
      <c r="J65" s="304">
        <v>84000</v>
      </c>
      <c r="K65" s="306"/>
    </row>
    <row r="66" spans="1:19" ht="46.5" thickTop="1" thickBot="1" x14ac:dyDescent="0.25">
      <c r="A66" s="487"/>
      <c r="B66" s="301" t="s">
        <v>198</v>
      </c>
      <c r="C66" s="301" t="s">
        <v>199</v>
      </c>
      <c r="D66" s="301" t="s">
        <v>200</v>
      </c>
      <c r="E66" s="301" t="s">
        <v>201</v>
      </c>
      <c r="F66" s="302" t="s">
        <v>823</v>
      </c>
      <c r="G66" s="303"/>
      <c r="H66" s="304"/>
      <c r="I66" s="320"/>
      <c r="J66" s="304">
        <v>67000</v>
      </c>
      <c r="K66" s="306"/>
    </row>
    <row r="67" spans="1:19" ht="61.5" thickTop="1" thickBot="1" x14ac:dyDescent="0.25">
      <c r="A67" s="131"/>
      <c r="B67" s="301" t="s">
        <v>202</v>
      </c>
      <c r="C67" s="301" t="s">
        <v>203</v>
      </c>
      <c r="D67" s="301" t="s">
        <v>200</v>
      </c>
      <c r="E67" s="301" t="s">
        <v>531</v>
      </c>
      <c r="F67" s="455" t="s">
        <v>17</v>
      </c>
      <c r="G67" s="304" t="s">
        <v>626</v>
      </c>
      <c r="H67" s="304">
        <v>27064985</v>
      </c>
      <c r="I67" s="320">
        <f>(1430336+2994769.5+4929931.79+5600000)/H67</f>
        <v>0.55256033912451819</v>
      </c>
      <c r="J67" s="304">
        <v>3000000</v>
      </c>
      <c r="K67" s="320">
        <f>(1430336+2994769.5+4929931.79+5600000+J67)/H67</f>
        <v>0.6634046643661542</v>
      </c>
    </row>
    <row r="68" spans="1:19" ht="46.5" thickTop="1" thickBot="1" x14ac:dyDescent="0.25">
      <c r="A68" s="131"/>
      <c r="B68" s="301" t="s">
        <v>204</v>
      </c>
      <c r="C68" s="301" t="s">
        <v>195</v>
      </c>
      <c r="D68" s="301" t="s">
        <v>205</v>
      </c>
      <c r="E68" s="301" t="s">
        <v>206</v>
      </c>
      <c r="F68" s="302" t="s">
        <v>615</v>
      </c>
      <c r="G68" s="304"/>
      <c r="H68" s="304"/>
      <c r="I68" s="320"/>
      <c r="J68" s="304">
        <v>124500</v>
      </c>
      <c r="K68" s="320"/>
    </row>
    <row r="69" spans="1:19" ht="46.5" thickTop="1" thickBot="1" x14ac:dyDescent="0.25">
      <c r="B69" s="443" t="s">
        <v>24</v>
      </c>
      <c r="C69" s="443"/>
      <c r="D69" s="443"/>
      <c r="E69" s="444" t="s">
        <v>25</v>
      </c>
      <c r="F69" s="445"/>
      <c r="G69" s="446"/>
      <c r="H69" s="446"/>
      <c r="I69" s="446"/>
      <c r="J69" s="445">
        <f>J70</f>
        <v>1648281</v>
      </c>
      <c r="K69" s="445"/>
    </row>
    <row r="70" spans="1:19" ht="44.25" thickTop="1" thickBot="1" x14ac:dyDescent="0.25">
      <c r="B70" s="447" t="s">
        <v>23</v>
      </c>
      <c r="C70" s="447"/>
      <c r="D70" s="447"/>
      <c r="E70" s="448" t="s">
        <v>39</v>
      </c>
      <c r="F70" s="449"/>
      <c r="G70" s="449"/>
      <c r="H70" s="449"/>
      <c r="I70" s="449"/>
      <c r="J70" s="449">
        <f>SUM(J71:J78)</f>
        <v>1648281</v>
      </c>
      <c r="K70" s="449"/>
    </row>
    <row r="71" spans="1:19" ht="46.5" thickTop="1" thickBot="1" x14ac:dyDescent="0.25">
      <c r="B71" s="301" t="s">
        <v>217</v>
      </c>
      <c r="C71" s="301" t="s">
        <v>218</v>
      </c>
      <c r="D71" s="301" t="s">
        <v>212</v>
      </c>
      <c r="E71" s="301" t="s">
        <v>10</v>
      </c>
      <c r="F71" s="302" t="s">
        <v>828</v>
      </c>
      <c r="G71" s="303" t="s">
        <v>741</v>
      </c>
      <c r="H71" s="174">
        <v>733957</v>
      </c>
      <c r="I71" s="306">
        <f>0/H71</f>
        <v>0</v>
      </c>
      <c r="J71" s="174">
        <v>733957</v>
      </c>
      <c r="K71" s="306">
        <f>(J71)/H71</f>
        <v>1</v>
      </c>
    </row>
    <row r="72" spans="1:19" s="97" customFormat="1" ht="46.5" thickTop="1" thickBot="1" x14ac:dyDescent="0.25">
      <c r="B72" s="301" t="s">
        <v>30</v>
      </c>
      <c r="C72" s="301" t="s">
        <v>220</v>
      </c>
      <c r="D72" s="301" t="s">
        <v>223</v>
      </c>
      <c r="E72" s="301" t="s">
        <v>52</v>
      </c>
      <c r="F72" s="302" t="s">
        <v>615</v>
      </c>
      <c r="G72" s="303"/>
      <c r="H72" s="304"/>
      <c r="I72" s="303"/>
      <c r="J72" s="174">
        <f>(77910+32400+91670)</f>
        <v>201980</v>
      </c>
      <c r="K72" s="174"/>
      <c r="L72" s="394"/>
      <c r="M72" s="394"/>
      <c r="N72" s="394"/>
      <c r="O72" s="394"/>
      <c r="P72" s="394"/>
      <c r="Q72" s="394"/>
      <c r="R72" s="394"/>
      <c r="S72" s="394"/>
    </row>
    <row r="73" spans="1:19" s="97" customFormat="1" ht="61.5" thickTop="1" thickBot="1" x14ac:dyDescent="0.25">
      <c r="B73" s="301" t="s">
        <v>30</v>
      </c>
      <c r="C73" s="301" t="s">
        <v>220</v>
      </c>
      <c r="D73" s="301" t="s">
        <v>223</v>
      </c>
      <c r="E73" s="301" t="s">
        <v>52</v>
      </c>
      <c r="F73" s="302" t="s">
        <v>827</v>
      </c>
      <c r="G73" s="303"/>
      <c r="H73" s="304"/>
      <c r="I73" s="303"/>
      <c r="J73" s="174">
        <v>16200</v>
      </c>
      <c r="K73" s="174"/>
      <c r="L73" s="394"/>
      <c r="M73" s="394"/>
      <c r="N73" s="394"/>
      <c r="O73" s="394"/>
      <c r="P73" s="394"/>
      <c r="Q73" s="394"/>
      <c r="R73" s="394"/>
      <c r="S73" s="394"/>
    </row>
    <row r="74" spans="1:19" s="97" customFormat="1" ht="61.5" thickTop="1" thickBot="1" x14ac:dyDescent="0.25">
      <c r="B74" s="301" t="s">
        <v>30</v>
      </c>
      <c r="C74" s="301" t="s">
        <v>220</v>
      </c>
      <c r="D74" s="301" t="s">
        <v>223</v>
      </c>
      <c r="E74" s="301" t="s">
        <v>52</v>
      </c>
      <c r="F74" s="302" t="s">
        <v>866</v>
      </c>
      <c r="G74" s="303"/>
      <c r="H74" s="304"/>
      <c r="I74" s="303"/>
      <c r="J74" s="174">
        <v>405800</v>
      </c>
      <c r="K74" s="174"/>
      <c r="L74" s="394"/>
      <c r="M74" s="394"/>
      <c r="N74" s="394"/>
      <c r="O74" s="394"/>
      <c r="P74" s="394"/>
      <c r="Q74" s="394"/>
      <c r="R74" s="394"/>
      <c r="S74" s="394"/>
    </row>
    <row r="75" spans="1:19" s="97" customFormat="1" ht="61.5" thickTop="1" thickBot="1" x14ac:dyDescent="0.25">
      <c r="B75" s="301" t="s">
        <v>30</v>
      </c>
      <c r="C75" s="301" t="s">
        <v>220</v>
      </c>
      <c r="D75" s="301" t="s">
        <v>223</v>
      </c>
      <c r="E75" s="301" t="s">
        <v>52</v>
      </c>
      <c r="F75" s="302" t="s">
        <v>867</v>
      </c>
      <c r="G75" s="303"/>
      <c r="H75" s="304"/>
      <c r="I75" s="303"/>
      <c r="J75" s="174">
        <v>200000</v>
      </c>
      <c r="K75" s="174"/>
      <c r="L75" s="394"/>
      <c r="M75" s="394"/>
      <c r="N75" s="394"/>
      <c r="O75" s="394"/>
      <c r="P75" s="394"/>
      <c r="Q75" s="394"/>
      <c r="R75" s="394"/>
      <c r="S75" s="394"/>
    </row>
    <row r="76" spans="1:19" s="97" customFormat="1" ht="46.5" thickTop="1" thickBot="1" x14ac:dyDescent="0.25">
      <c r="B76" s="301" t="s">
        <v>31</v>
      </c>
      <c r="C76" s="301" t="s">
        <v>221</v>
      </c>
      <c r="D76" s="301" t="s">
        <v>223</v>
      </c>
      <c r="E76" s="301" t="s">
        <v>53</v>
      </c>
      <c r="F76" s="302" t="s">
        <v>615</v>
      </c>
      <c r="G76" s="303"/>
      <c r="H76" s="174"/>
      <c r="I76" s="306"/>
      <c r="J76" s="174">
        <v>15200</v>
      </c>
      <c r="K76" s="306"/>
      <c r="L76" s="394"/>
      <c r="M76" s="394"/>
      <c r="N76" s="394"/>
      <c r="O76" s="394"/>
      <c r="P76" s="394"/>
      <c r="Q76" s="394"/>
      <c r="R76" s="394"/>
      <c r="S76" s="394"/>
    </row>
    <row r="77" spans="1:19" s="97" customFormat="1" ht="31.5" thickTop="1" thickBot="1" x14ac:dyDescent="0.25">
      <c r="B77" s="502" t="s">
        <v>34</v>
      </c>
      <c r="C77" s="502" t="s">
        <v>224</v>
      </c>
      <c r="D77" s="502" t="s">
        <v>223</v>
      </c>
      <c r="E77" s="450" t="s">
        <v>35</v>
      </c>
      <c r="F77" s="302" t="s">
        <v>615</v>
      </c>
      <c r="G77" s="258"/>
      <c r="H77" s="259"/>
      <c r="I77" s="260"/>
      <c r="J77" s="174">
        <v>30000</v>
      </c>
      <c r="K77" s="260"/>
      <c r="L77" s="395"/>
      <c r="M77" s="394"/>
      <c r="N77" s="394"/>
      <c r="O77" s="394"/>
      <c r="P77" s="394"/>
      <c r="Q77" s="394"/>
      <c r="R77" s="394"/>
      <c r="S77" s="394"/>
    </row>
    <row r="78" spans="1:19" s="97" customFormat="1" ht="121.5" thickTop="1" thickBot="1" x14ac:dyDescent="0.25">
      <c r="B78" s="450" t="s">
        <v>864</v>
      </c>
      <c r="C78" s="450" t="s">
        <v>225</v>
      </c>
      <c r="D78" s="450" t="s">
        <v>192</v>
      </c>
      <c r="E78" s="450" t="s">
        <v>38</v>
      </c>
      <c r="F78" s="464" t="s">
        <v>865</v>
      </c>
      <c r="G78" s="258"/>
      <c r="H78" s="259"/>
      <c r="I78" s="260"/>
      <c r="J78" s="174">
        <v>45144</v>
      </c>
      <c r="K78" s="260"/>
      <c r="L78" s="395"/>
      <c r="M78" s="394"/>
      <c r="N78" s="394"/>
      <c r="O78" s="394"/>
      <c r="P78" s="394"/>
      <c r="Q78" s="394"/>
      <c r="R78" s="394"/>
      <c r="S78" s="394"/>
    </row>
    <row r="79" spans="1:19" s="97" customFormat="1" ht="46.5" thickTop="1" thickBot="1" x14ac:dyDescent="0.25">
      <c r="B79" s="443" t="s">
        <v>180</v>
      </c>
      <c r="C79" s="443"/>
      <c r="D79" s="443"/>
      <c r="E79" s="444" t="s">
        <v>754</v>
      </c>
      <c r="F79" s="445"/>
      <c r="G79" s="446"/>
      <c r="H79" s="446"/>
      <c r="I79" s="446"/>
      <c r="J79" s="445">
        <f>J80</f>
        <v>30602001</v>
      </c>
      <c r="K79" s="445"/>
      <c r="L79" s="395"/>
      <c r="M79" s="394"/>
      <c r="N79" s="394"/>
      <c r="O79" s="394"/>
      <c r="P79" s="394"/>
      <c r="Q79" s="394"/>
      <c r="R79" s="394"/>
      <c r="S79" s="394"/>
    </row>
    <row r="80" spans="1:19" s="97" customFormat="1" ht="44.25" thickTop="1" thickBot="1" x14ac:dyDescent="0.25">
      <c r="B80" s="447" t="s">
        <v>181</v>
      </c>
      <c r="C80" s="447"/>
      <c r="D80" s="447"/>
      <c r="E80" s="448" t="s">
        <v>755</v>
      </c>
      <c r="F80" s="449"/>
      <c r="G80" s="449"/>
      <c r="H80" s="449"/>
      <c r="I80" s="449"/>
      <c r="J80" s="449">
        <f>J81+J82+J83+J84+J89</f>
        <v>30602001</v>
      </c>
      <c r="K80" s="449"/>
      <c r="L80" s="395"/>
      <c r="M80" s="394"/>
      <c r="N80" s="394"/>
      <c r="O80" s="394"/>
      <c r="P80" s="394"/>
      <c r="Q80" s="394"/>
      <c r="R80" s="394"/>
      <c r="S80" s="394"/>
    </row>
    <row r="81" spans="2:19" s="97" customFormat="1" ht="61.5" thickTop="1" thickBot="1" x14ac:dyDescent="0.25">
      <c r="B81" s="301" t="s">
        <v>472</v>
      </c>
      <c r="C81" s="301" t="s">
        <v>266</v>
      </c>
      <c r="D81" s="301" t="s">
        <v>264</v>
      </c>
      <c r="E81" s="301" t="s">
        <v>265</v>
      </c>
      <c r="F81" s="302" t="s">
        <v>615</v>
      </c>
      <c r="G81" s="303"/>
      <c r="H81" s="304"/>
      <c r="I81" s="303"/>
      <c r="J81" s="174">
        <v>36000</v>
      </c>
      <c r="K81" s="174"/>
      <c r="L81" s="395"/>
      <c r="M81" s="394"/>
      <c r="N81" s="394"/>
      <c r="O81" s="394"/>
      <c r="P81" s="394"/>
      <c r="Q81" s="394"/>
      <c r="R81" s="394"/>
      <c r="S81" s="394"/>
    </row>
    <row r="82" spans="2:19" s="97" customFormat="1" ht="31.5" thickTop="1" thickBot="1" x14ac:dyDescent="0.25">
      <c r="B82" s="301" t="s">
        <v>310</v>
      </c>
      <c r="C82" s="301" t="s">
        <v>311</v>
      </c>
      <c r="D82" s="301" t="s">
        <v>384</v>
      </c>
      <c r="E82" s="301" t="s">
        <v>312</v>
      </c>
      <c r="F82" s="303" t="s">
        <v>628</v>
      </c>
      <c r="G82" s="303"/>
      <c r="H82" s="304"/>
      <c r="I82" s="303"/>
      <c r="J82" s="174">
        <v>10345240</v>
      </c>
      <c r="K82" s="174"/>
      <c r="L82" s="395"/>
      <c r="M82" s="394"/>
      <c r="N82" s="394"/>
      <c r="O82" s="394"/>
      <c r="P82" s="394"/>
      <c r="Q82" s="394"/>
      <c r="R82" s="394"/>
      <c r="S82" s="394"/>
    </row>
    <row r="83" spans="2:19" s="97" customFormat="1" ht="31.5" thickTop="1" thickBot="1" x14ac:dyDescent="0.25">
      <c r="B83" s="301" t="s">
        <v>332</v>
      </c>
      <c r="C83" s="301" t="s">
        <v>333</v>
      </c>
      <c r="D83" s="301" t="s">
        <v>313</v>
      </c>
      <c r="E83" s="301" t="s">
        <v>334</v>
      </c>
      <c r="F83" s="303" t="s">
        <v>646</v>
      </c>
      <c r="G83" s="303"/>
      <c r="H83" s="304"/>
      <c r="I83" s="303"/>
      <c r="J83" s="174">
        <v>5000000</v>
      </c>
      <c r="K83" s="174"/>
      <c r="L83" s="395"/>
      <c r="M83" s="394"/>
      <c r="N83" s="394"/>
      <c r="O83" s="394"/>
      <c r="P83" s="394"/>
      <c r="Q83" s="394"/>
      <c r="R83" s="394"/>
      <c r="S83" s="394"/>
    </row>
    <row r="84" spans="2:19" s="97" customFormat="1" ht="46.5" thickTop="1" thickBot="1" x14ac:dyDescent="0.25">
      <c r="B84" s="301" t="s">
        <v>314</v>
      </c>
      <c r="C84" s="301" t="s">
        <v>315</v>
      </c>
      <c r="D84" s="301" t="s">
        <v>313</v>
      </c>
      <c r="E84" s="301" t="s">
        <v>534</v>
      </c>
      <c r="F84" s="303" t="s">
        <v>629</v>
      </c>
      <c r="G84" s="305"/>
      <c r="H84" s="304"/>
      <c r="I84" s="306"/>
      <c r="J84" s="174">
        <f>J85+J86+J87+J88</f>
        <v>13120761</v>
      </c>
      <c r="K84" s="306"/>
      <c r="L84" s="395"/>
      <c r="M84" s="394"/>
      <c r="N84" s="394"/>
      <c r="O84" s="394"/>
      <c r="P84" s="394"/>
      <c r="Q84" s="394"/>
      <c r="R84" s="394"/>
      <c r="S84" s="394"/>
    </row>
    <row r="85" spans="2:19" s="97" customFormat="1" ht="46.5" thickTop="1" thickBot="1" x14ac:dyDescent="0.25">
      <c r="B85" s="301" t="s">
        <v>314</v>
      </c>
      <c r="C85" s="301" t="s">
        <v>315</v>
      </c>
      <c r="D85" s="301" t="s">
        <v>313</v>
      </c>
      <c r="E85" s="307" t="s">
        <v>534</v>
      </c>
      <c r="F85" s="308" t="s">
        <v>641</v>
      </c>
      <c r="G85" s="303"/>
      <c r="H85" s="304"/>
      <c r="I85" s="303"/>
      <c r="J85" s="309">
        <v>1948000</v>
      </c>
      <c r="K85" s="174"/>
      <c r="L85" s="395"/>
      <c r="M85" s="394"/>
      <c r="N85" s="394"/>
      <c r="O85" s="394"/>
      <c r="P85" s="394"/>
      <c r="Q85" s="394"/>
      <c r="R85" s="394"/>
      <c r="S85" s="394"/>
    </row>
    <row r="86" spans="2:19" s="97" customFormat="1" ht="46.5" thickTop="1" thickBot="1" x14ac:dyDescent="0.25">
      <c r="B86" s="301" t="s">
        <v>314</v>
      </c>
      <c r="C86" s="301" t="s">
        <v>315</v>
      </c>
      <c r="D86" s="301" t="s">
        <v>313</v>
      </c>
      <c r="E86" s="307" t="s">
        <v>534</v>
      </c>
      <c r="F86" s="308" t="s">
        <v>630</v>
      </c>
      <c r="G86" s="305"/>
      <c r="H86" s="174"/>
      <c r="I86" s="306"/>
      <c r="J86" s="309">
        <v>10658900</v>
      </c>
      <c r="K86" s="306"/>
      <c r="L86" s="395"/>
      <c r="M86" s="394"/>
      <c r="N86" s="394"/>
      <c r="O86" s="394"/>
      <c r="P86" s="394"/>
      <c r="Q86" s="394"/>
      <c r="R86" s="394"/>
      <c r="S86" s="394"/>
    </row>
    <row r="87" spans="2:19" s="97" customFormat="1" ht="46.5" thickTop="1" thickBot="1" x14ac:dyDescent="0.25">
      <c r="B87" s="301" t="s">
        <v>314</v>
      </c>
      <c r="C87" s="301" t="s">
        <v>315</v>
      </c>
      <c r="D87" s="301" t="s">
        <v>313</v>
      </c>
      <c r="E87" s="307" t="s">
        <v>534</v>
      </c>
      <c r="F87" s="308" t="s">
        <v>642</v>
      </c>
      <c r="G87" s="303"/>
      <c r="H87" s="174"/>
      <c r="I87" s="306"/>
      <c r="J87" s="309">
        <v>461561</v>
      </c>
      <c r="K87" s="306"/>
      <c r="L87" s="395"/>
      <c r="M87" s="394"/>
      <c r="N87" s="394"/>
      <c r="O87" s="394"/>
      <c r="P87" s="394"/>
      <c r="Q87" s="394"/>
      <c r="R87" s="394"/>
      <c r="S87" s="394"/>
    </row>
    <row r="88" spans="2:19" s="97" customFormat="1" ht="76.5" thickTop="1" thickBot="1" x14ac:dyDescent="0.25">
      <c r="B88" s="301" t="s">
        <v>314</v>
      </c>
      <c r="C88" s="301" t="s">
        <v>315</v>
      </c>
      <c r="D88" s="301" t="s">
        <v>313</v>
      </c>
      <c r="E88" s="307" t="s">
        <v>534</v>
      </c>
      <c r="F88" s="308" t="s">
        <v>645</v>
      </c>
      <c r="G88" s="303" t="s">
        <v>730</v>
      </c>
      <c r="H88" s="174">
        <v>552300</v>
      </c>
      <c r="I88" s="306">
        <f>500000/H88</f>
        <v>0.90530508781459351</v>
      </c>
      <c r="J88" s="174">
        <v>52300</v>
      </c>
      <c r="K88" s="306">
        <f>(500000+J88)/H88</f>
        <v>1</v>
      </c>
      <c r="L88" s="395"/>
      <c r="M88" s="394"/>
      <c r="N88" s="394"/>
      <c r="O88" s="394"/>
      <c r="P88" s="394"/>
      <c r="Q88" s="394"/>
      <c r="R88" s="394"/>
      <c r="S88" s="394"/>
    </row>
    <row r="89" spans="2:19" s="97" customFormat="1" ht="61.5" thickTop="1" thickBot="1" x14ac:dyDescent="0.25">
      <c r="B89" s="301" t="s">
        <v>327</v>
      </c>
      <c r="C89" s="301" t="s">
        <v>242</v>
      </c>
      <c r="D89" s="301" t="s">
        <v>243</v>
      </c>
      <c r="E89" s="301" t="s">
        <v>45</v>
      </c>
      <c r="F89" s="310" t="s">
        <v>901</v>
      </c>
      <c r="G89" s="303"/>
      <c r="H89" s="174"/>
      <c r="I89" s="306"/>
      <c r="J89" s="174">
        <v>2100000</v>
      </c>
      <c r="K89" s="306"/>
      <c r="L89" s="395"/>
      <c r="M89" s="394"/>
      <c r="N89" s="394"/>
      <c r="O89" s="394"/>
      <c r="P89" s="394"/>
      <c r="Q89" s="394"/>
      <c r="R89" s="394"/>
      <c r="S89" s="394"/>
    </row>
    <row r="90" spans="2:19" s="97" customFormat="1" ht="46.5" thickTop="1" thickBot="1" x14ac:dyDescent="0.25">
      <c r="B90" s="443" t="s">
        <v>703</v>
      </c>
      <c r="C90" s="443"/>
      <c r="D90" s="443"/>
      <c r="E90" s="444" t="s">
        <v>752</v>
      </c>
      <c r="F90" s="445"/>
      <c r="G90" s="446"/>
      <c r="H90" s="446"/>
      <c r="I90" s="446"/>
      <c r="J90" s="445">
        <f>J91</f>
        <v>71246991.579999998</v>
      </c>
      <c r="K90" s="445"/>
      <c r="L90" s="395"/>
      <c r="M90" s="394"/>
      <c r="N90" s="394"/>
      <c r="O90" s="394"/>
      <c r="P90" s="394"/>
      <c r="Q90" s="394"/>
      <c r="R90" s="394"/>
      <c r="S90" s="394"/>
    </row>
    <row r="91" spans="2:19" s="97" customFormat="1" ht="58.5" thickTop="1" thickBot="1" x14ac:dyDescent="0.25">
      <c r="B91" s="447" t="s">
        <v>704</v>
      </c>
      <c r="C91" s="447"/>
      <c r="D91" s="447"/>
      <c r="E91" s="448" t="s">
        <v>753</v>
      </c>
      <c r="F91" s="449"/>
      <c r="G91" s="449"/>
      <c r="H91" s="449"/>
      <c r="I91" s="449"/>
      <c r="J91" s="449">
        <f>J92+J93+J105+J109+J110+J111</f>
        <v>71246991.579999998</v>
      </c>
      <c r="K91" s="449"/>
      <c r="L91" s="395"/>
      <c r="M91" s="394"/>
      <c r="N91" s="394"/>
      <c r="O91" s="394"/>
      <c r="P91" s="394"/>
      <c r="Q91" s="394"/>
      <c r="R91" s="394"/>
      <c r="S91" s="394"/>
    </row>
    <row r="92" spans="2:19" s="97" customFormat="1" ht="61.5" thickTop="1" thickBot="1" x14ac:dyDescent="0.25">
      <c r="B92" s="301" t="s">
        <v>705</v>
      </c>
      <c r="C92" s="301" t="s">
        <v>266</v>
      </c>
      <c r="D92" s="301" t="s">
        <v>264</v>
      </c>
      <c r="E92" s="301" t="s">
        <v>265</v>
      </c>
      <c r="F92" s="302" t="s">
        <v>615</v>
      </c>
      <c r="G92" s="311"/>
      <c r="H92" s="311"/>
      <c r="I92" s="311"/>
      <c r="J92" s="174">
        <v>144000</v>
      </c>
      <c r="K92" s="311"/>
      <c r="L92" s="395"/>
      <c r="M92" s="394"/>
      <c r="N92" s="394"/>
      <c r="O92" s="394"/>
      <c r="P92" s="394"/>
      <c r="Q92" s="394"/>
      <c r="R92" s="394"/>
      <c r="S92" s="394"/>
    </row>
    <row r="93" spans="2:19" s="97" customFormat="1" ht="31.5" thickTop="1" thickBot="1" x14ac:dyDescent="0.25">
      <c r="B93" s="301" t="s">
        <v>710</v>
      </c>
      <c r="C93" s="301" t="s">
        <v>319</v>
      </c>
      <c r="D93" s="301" t="s">
        <v>313</v>
      </c>
      <c r="E93" s="301" t="s">
        <v>320</v>
      </c>
      <c r="F93" s="303" t="s">
        <v>629</v>
      </c>
      <c r="G93" s="303"/>
      <c r="H93" s="304"/>
      <c r="I93" s="303"/>
      <c r="J93" s="304">
        <f>SUM(J94:J104)</f>
        <v>15915164</v>
      </c>
      <c r="K93" s="312"/>
      <c r="L93" s="395"/>
      <c r="M93" s="394"/>
      <c r="N93" s="394"/>
      <c r="O93" s="394"/>
      <c r="P93" s="394"/>
      <c r="Q93" s="394"/>
      <c r="R93" s="394"/>
      <c r="S93" s="394"/>
    </row>
    <row r="94" spans="2:19" s="97" customFormat="1" ht="46.5" thickTop="1" thickBot="1" x14ac:dyDescent="0.25">
      <c r="B94" s="301" t="s">
        <v>710</v>
      </c>
      <c r="C94" s="301" t="s">
        <v>319</v>
      </c>
      <c r="D94" s="301" t="s">
        <v>313</v>
      </c>
      <c r="E94" s="301" t="s">
        <v>320</v>
      </c>
      <c r="F94" s="308" t="s">
        <v>631</v>
      </c>
      <c r="G94" s="303" t="s">
        <v>632</v>
      </c>
      <c r="H94" s="304"/>
      <c r="I94" s="303"/>
      <c r="J94" s="313">
        <v>1500000</v>
      </c>
      <c r="K94" s="304"/>
      <c r="L94" s="395"/>
      <c r="M94" s="394"/>
      <c r="N94" s="394"/>
      <c r="O94" s="394"/>
      <c r="P94" s="394"/>
      <c r="Q94" s="394"/>
      <c r="R94" s="394"/>
      <c r="S94" s="394"/>
    </row>
    <row r="95" spans="2:19" s="97" customFormat="1" ht="46.5" thickTop="1" thickBot="1" x14ac:dyDescent="0.25">
      <c r="B95" s="301" t="s">
        <v>710</v>
      </c>
      <c r="C95" s="301" t="s">
        <v>319</v>
      </c>
      <c r="D95" s="301" t="s">
        <v>313</v>
      </c>
      <c r="E95" s="301" t="s">
        <v>320</v>
      </c>
      <c r="F95" s="308" t="s">
        <v>633</v>
      </c>
      <c r="G95" s="303"/>
      <c r="H95" s="304"/>
      <c r="I95" s="303"/>
      <c r="J95" s="313">
        <f>3000000</f>
        <v>3000000</v>
      </c>
      <c r="K95" s="304"/>
      <c r="L95" s="395"/>
      <c r="M95" s="394"/>
      <c r="N95" s="394"/>
      <c r="O95" s="394"/>
      <c r="P95" s="394"/>
      <c r="Q95" s="394"/>
      <c r="R95" s="394"/>
      <c r="S95" s="394"/>
    </row>
    <row r="96" spans="2:19" s="97" customFormat="1" ht="31.5" thickTop="1" thickBot="1" x14ac:dyDescent="0.25">
      <c r="B96" s="301" t="s">
        <v>710</v>
      </c>
      <c r="C96" s="301" t="s">
        <v>319</v>
      </c>
      <c r="D96" s="301" t="s">
        <v>313</v>
      </c>
      <c r="E96" s="301" t="s">
        <v>320</v>
      </c>
      <c r="F96" s="308" t="s">
        <v>731</v>
      </c>
      <c r="G96" s="303"/>
      <c r="H96" s="304"/>
      <c r="I96" s="303"/>
      <c r="J96" s="313">
        <v>3341100</v>
      </c>
      <c r="K96" s="304"/>
      <c r="L96" s="395"/>
      <c r="M96" s="394"/>
      <c r="N96" s="394"/>
      <c r="O96" s="394"/>
      <c r="P96" s="394"/>
      <c r="Q96" s="394"/>
      <c r="R96" s="394"/>
      <c r="S96" s="394"/>
    </row>
    <row r="97" spans="2:19" s="97" customFormat="1" ht="61.5" thickTop="1" thickBot="1" x14ac:dyDescent="0.25">
      <c r="B97" s="301" t="s">
        <v>710</v>
      </c>
      <c r="C97" s="301" t="s">
        <v>319</v>
      </c>
      <c r="D97" s="301" t="s">
        <v>313</v>
      </c>
      <c r="E97" s="301" t="s">
        <v>320</v>
      </c>
      <c r="F97" s="308" t="s">
        <v>634</v>
      </c>
      <c r="G97" s="303"/>
      <c r="H97" s="304"/>
      <c r="I97" s="303"/>
      <c r="J97" s="313">
        <v>600000</v>
      </c>
      <c r="K97" s="304"/>
      <c r="L97" s="395"/>
      <c r="M97" s="394"/>
      <c r="N97" s="394"/>
      <c r="O97" s="394"/>
      <c r="P97" s="394"/>
      <c r="Q97" s="394"/>
      <c r="R97" s="394"/>
      <c r="S97" s="394"/>
    </row>
    <row r="98" spans="2:19" s="97" customFormat="1" ht="76.5" thickTop="1" thickBot="1" x14ac:dyDescent="0.25">
      <c r="B98" s="301" t="s">
        <v>710</v>
      </c>
      <c r="C98" s="301" t="s">
        <v>319</v>
      </c>
      <c r="D98" s="301" t="s">
        <v>313</v>
      </c>
      <c r="E98" s="301" t="s">
        <v>320</v>
      </c>
      <c r="F98" s="308" t="s">
        <v>635</v>
      </c>
      <c r="G98" s="304" t="s">
        <v>627</v>
      </c>
      <c r="H98" s="304">
        <v>4552060</v>
      </c>
      <c r="I98" s="306">
        <f>(1207002.59+1000000+350000)/H98</f>
        <v>0.56172427208780196</v>
      </c>
      <c r="J98" s="313">
        <f>1000000</f>
        <v>1000000</v>
      </c>
      <c r="K98" s="306">
        <f>(1207002.59+1000000+350000+J98)/H98</f>
        <v>0.78140503200748668</v>
      </c>
      <c r="L98" s="395"/>
      <c r="M98" s="394"/>
      <c r="N98" s="394"/>
      <c r="O98" s="394"/>
      <c r="P98" s="394"/>
      <c r="Q98" s="394"/>
      <c r="R98" s="394"/>
      <c r="S98" s="394"/>
    </row>
    <row r="99" spans="2:19" s="97" customFormat="1" ht="61.5" thickTop="1" thickBot="1" x14ac:dyDescent="0.25">
      <c r="B99" s="301" t="s">
        <v>710</v>
      </c>
      <c r="C99" s="301" t="s">
        <v>319</v>
      </c>
      <c r="D99" s="301" t="s">
        <v>313</v>
      </c>
      <c r="E99" s="301" t="s">
        <v>320</v>
      </c>
      <c r="F99" s="308" t="s">
        <v>732</v>
      </c>
      <c r="G99" s="304" t="s">
        <v>636</v>
      </c>
      <c r="H99" s="304">
        <v>7725528</v>
      </c>
      <c r="I99" s="306">
        <f>(860002.41+2000000)/H99</f>
        <v>0.37020154609497241</v>
      </c>
      <c r="J99" s="313">
        <f>3000000</f>
        <v>3000000</v>
      </c>
      <c r="K99" s="306">
        <f>(860002.41+2000000+J99)/H99</f>
        <v>0.75852451897138939</v>
      </c>
      <c r="L99" s="395"/>
      <c r="M99" s="394"/>
      <c r="N99" s="394"/>
      <c r="O99" s="394"/>
      <c r="P99" s="394"/>
      <c r="Q99" s="394"/>
      <c r="R99" s="394"/>
      <c r="S99" s="394"/>
    </row>
    <row r="100" spans="2:19" s="97" customFormat="1" ht="61.5" thickTop="1" thickBot="1" x14ac:dyDescent="0.25">
      <c r="B100" s="301" t="s">
        <v>710</v>
      </c>
      <c r="C100" s="301" t="s">
        <v>319</v>
      </c>
      <c r="D100" s="301" t="s">
        <v>313</v>
      </c>
      <c r="E100" s="301" t="s">
        <v>320</v>
      </c>
      <c r="F100" s="308" t="s">
        <v>733</v>
      </c>
      <c r="G100" s="314" t="s">
        <v>636</v>
      </c>
      <c r="H100" s="314">
        <v>4380277</v>
      </c>
      <c r="I100" s="306">
        <f>(258212.92+1000000)/H100</f>
        <v>0.28724505778972426</v>
      </c>
      <c r="J100" s="313">
        <v>2122064</v>
      </c>
      <c r="K100" s="306">
        <f>(258212.92+1000000+J100)/H100</f>
        <v>0.77170391735499833</v>
      </c>
      <c r="L100" s="395"/>
      <c r="M100" s="394"/>
      <c r="N100" s="394"/>
      <c r="O100" s="394"/>
      <c r="P100" s="394"/>
      <c r="Q100" s="394"/>
      <c r="R100" s="394"/>
      <c r="S100" s="394"/>
    </row>
    <row r="101" spans="2:19" s="97" customFormat="1" ht="61.5" thickTop="1" thickBot="1" x14ac:dyDescent="0.25">
      <c r="B101" s="301" t="s">
        <v>710</v>
      </c>
      <c r="C101" s="301" t="s">
        <v>319</v>
      </c>
      <c r="D101" s="301" t="s">
        <v>313</v>
      </c>
      <c r="E101" s="301" t="s">
        <v>320</v>
      </c>
      <c r="F101" s="308" t="s">
        <v>734</v>
      </c>
      <c r="G101" s="315"/>
      <c r="H101" s="316"/>
      <c r="I101" s="306"/>
      <c r="J101" s="304">
        <v>300000</v>
      </c>
      <c r="K101" s="306"/>
      <c r="L101" s="395"/>
      <c r="M101" s="394"/>
      <c r="N101" s="394"/>
      <c r="O101" s="394"/>
      <c r="P101" s="394"/>
      <c r="Q101" s="394"/>
      <c r="R101" s="394"/>
      <c r="S101" s="394"/>
    </row>
    <row r="102" spans="2:19" s="97" customFormat="1" ht="46.5" thickTop="1" thickBot="1" x14ac:dyDescent="0.25">
      <c r="B102" s="301" t="s">
        <v>710</v>
      </c>
      <c r="C102" s="301" t="s">
        <v>319</v>
      </c>
      <c r="D102" s="301" t="s">
        <v>313</v>
      </c>
      <c r="E102" s="301" t="s">
        <v>320</v>
      </c>
      <c r="F102" s="308" t="s">
        <v>893</v>
      </c>
      <c r="G102" s="315"/>
      <c r="H102" s="316"/>
      <c r="I102" s="306"/>
      <c r="J102" s="304">
        <v>600000</v>
      </c>
      <c r="K102" s="317"/>
      <c r="L102" s="395"/>
      <c r="M102" s="394"/>
      <c r="N102" s="394"/>
      <c r="O102" s="394"/>
      <c r="P102" s="394"/>
      <c r="Q102" s="394"/>
      <c r="R102" s="394"/>
      <c r="S102" s="394"/>
    </row>
    <row r="103" spans="2:19" s="97" customFormat="1" ht="61.5" thickTop="1" thickBot="1" x14ac:dyDescent="0.25">
      <c r="B103" s="301" t="s">
        <v>710</v>
      </c>
      <c r="C103" s="301" t="s">
        <v>319</v>
      </c>
      <c r="D103" s="301" t="s">
        <v>313</v>
      </c>
      <c r="E103" s="301" t="s">
        <v>320</v>
      </c>
      <c r="F103" s="308" t="s">
        <v>892</v>
      </c>
      <c r="G103" s="315"/>
      <c r="H103" s="316"/>
      <c r="I103" s="306"/>
      <c r="J103" s="304">
        <v>400000</v>
      </c>
      <c r="K103" s="317"/>
      <c r="L103" s="395"/>
      <c r="M103" s="394"/>
      <c r="N103" s="394"/>
      <c r="O103" s="394"/>
      <c r="P103" s="394"/>
      <c r="Q103" s="394"/>
      <c r="R103" s="394"/>
      <c r="S103" s="394"/>
    </row>
    <row r="104" spans="2:19" s="97" customFormat="1" ht="61.5" thickTop="1" thickBot="1" x14ac:dyDescent="0.25">
      <c r="B104" s="301" t="s">
        <v>710</v>
      </c>
      <c r="C104" s="301" t="s">
        <v>319</v>
      </c>
      <c r="D104" s="301" t="s">
        <v>313</v>
      </c>
      <c r="E104" s="301" t="s">
        <v>320</v>
      </c>
      <c r="F104" s="308" t="s">
        <v>894</v>
      </c>
      <c r="G104" s="303" t="s">
        <v>730</v>
      </c>
      <c r="H104" s="304">
        <v>113479</v>
      </c>
      <c r="I104" s="306">
        <f>61479/H104</f>
        <v>0.54176543677684863</v>
      </c>
      <c r="J104" s="304">
        <v>52000</v>
      </c>
      <c r="K104" s="317">
        <f>(61479+J104)/H104</f>
        <v>1</v>
      </c>
      <c r="L104" s="395"/>
      <c r="M104" s="394"/>
      <c r="N104" s="394"/>
      <c r="O104" s="394"/>
      <c r="P104" s="394"/>
      <c r="Q104" s="394"/>
      <c r="R104" s="394"/>
      <c r="S104" s="394"/>
    </row>
    <row r="105" spans="2:19" s="97" customFormat="1" ht="31.5" thickTop="1" thickBot="1" x14ac:dyDescent="0.25">
      <c r="B105" s="301" t="s">
        <v>711</v>
      </c>
      <c r="C105" s="301" t="s">
        <v>336</v>
      </c>
      <c r="D105" s="301" t="s">
        <v>335</v>
      </c>
      <c r="E105" s="301" t="s">
        <v>537</v>
      </c>
      <c r="F105" s="303" t="s">
        <v>55</v>
      </c>
      <c r="G105" s="303"/>
      <c r="H105" s="304"/>
      <c r="I105" s="303"/>
      <c r="J105" s="174">
        <f>J106+J107+J108</f>
        <v>5200000</v>
      </c>
      <c r="K105" s="318"/>
      <c r="L105" s="395"/>
      <c r="M105" s="394"/>
      <c r="N105" s="394"/>
      <c r="O105" s="394"/>
      <c r="P105" s="394"/>
      <c r="Q105" s="394"/>
      <c r="R105" s="394"/>
      <c r="S105" s="394"/>
    </row>
    <row r="106" spans="2:19" s="97" customFormat="1" ht="61.5" thickTop="1" thickBot="1" x14ac:dyDescent="0.25">
      <c r="B106" s="307" t="s">
        <v>711</v>
      </c>
      <c r="C106" s="307" t="s">
        <v>336</v>
      </c>
      <c r="D106" s="307" t="s">
        <v>335</v>
      </c>
      <c r="E106" s="307" t="s">
        <v>537</v>
      </c>
      <c r="F106" s="308" t="s">
        <v>735</v>
      </c>
      <c r="G106" s="319" t="s">
        <v>736</v>
      </c>
      <c r="H106" s="313">
        <v>11252200</v>
      </c>
      <c r="I106" s="319"/>
      <c r="J106" s="313">
        <v>2000000</v>
      </c>
      <c r="K106" s="320">
        <f>J106/H106</f>
        <v>0.17774301914292318</v>
      </c>
      <c r="L106" s="395"/>
      <c r="M106" s="394"/>
      <c r="N106" s="394"/>
      <c r="O106" s="394"/>
      <c r="P106" s="394"/>
      <c r="Q106" s="394"/>
      <c r="R106" s="394"/>
      <c r="S106" s="394"/>
    </row>
    <row r="107" spans="2:19" s="97" customFormat="1" ht="46.5" thickTop="1" thickBot="1" x14ac:dyDescent="0.25">
      <c r="B107" s="307" t="s">
        <v>711</v>
      </c>
      <c r="C107" s="307" t="s">
        <v>336</v>
      </c>
      <c r="D107" s="307" t="s">
        <v>335</v>
      </c>
      <c r="E107" s="307" t="s">
        <v>537</v>
      </c>
      <c r="F107" s="308" t="s">
        <v>756</v>
      </c>
      <c r="G107" s="313" t="s">
        <v>636</v>
      </c>
      <c r="H107" s="313">
        <v>18370999</v>
      </c>
      <c r="I107" s="320">
        <f>(140000+253415)/H107</f>
        <v>2.1415003070872737E-2</v>
      </c>
      <c r="J107" s="313">
        <f>3000000</f>
        <v>3000000</v>
      </c>
      <c r="K107" s="320">
        <f>(140000+253415+J107)/H107</f>
        <v>0.18471586656773537</v>
      </c>
      <c r="L107" s="395"/>
      <c r="M107" s="394"/>
      <c r="N107" s="394"/>
      <c r="O107" s="394"/>
      <c r="P107" s="394"/>
      <c r="Q107" s="394"/>
      <c r="R107" s="394"/>
      <c r="S107" s="394"/>
    </row>
    <row r="108" spans="2:19" s="97" customFormat="1" ht="46.5" thickTop="1" thickBot="1" x14ac:dyDescent="0.25">
      <c r="B108" s="307" t="s">
        <v>711</v>
      </c>
      <c r="C108" s="307" t="s">
        <v>336</v>
      </c>
      <c r="D108" s="307" t="s">
        <v>335</v>
      </c>
      <c r="E108" s="307" t="s">
        <v>537</v>
      </c>
      <c r="F108" s="308" t="s">
        <v>737</v>
      </c>
      <c r="G108" s="313"/>
      <c r="H108" s="313"/>
      <c r="I108" s="320"/>
      <c r="J108" s="313">
        <v>200000</v>
      </c>
      <c r="K108" s="306"/>
      <c r="L108" s="395"/>
      <c r="M108" s="394"/>
      <c r="N108" s="394"/>
      <c r="O108" s="394"/>
      <c r="P108" s="394"/>
      <c r="Q108" s="394"/>
      <c r="R108" s="394"/>
      <c r="S108" s="394"/>
    </row>
    <row r="109" spans="2:19" s="97" customFormat="1" ht="46.5" thickTop="1" thickBot="1" x14ac:dyDescent="0.25">
      <c r="B109" s="301" t="s">
        <v>713</v>
      </c>
      <c r="C109" s="301" t="s">
        <v>324</v>
      </c>
      <c r="D109" s="301" t="s">
        <v>326</v>
      </c>
      <c r="E109" s="301" t="s">
        <v>325</v>
      </c>
      <c r="F109" s="303" t="s">
        <v>63</v>
      </c>
      <c r="G109" s="303"/>
      <c r="H109" s="304"/>
      <c r="I109" s="303"/>
      <c r="J109" s="304">
        <f>17182021-250000</f>
        <v>16932021</v>
      </c>
      <c r="K109" s="312"/>
      <c r="L109" s="395"/>
      <c r="M109" s="394"/>
      <c r="N109" s="394"/>
      <c r="O109" s="394"/>
      <c r="P109" s="394"/>
      <c r="Q109" s="394"/>
      <c r="R109" s="394"/>
      <c r="S109" s="394"/>
    </row>
    <row r="110" spans="2:19" s="97" customFormat="1" ht="76.5" thickTop="1" thickBot="1" x14ac:dyDescent="0.25">
      <c r="B110" s="301" t="s">
        <v>714</v>
      </c>
      <c r="C110" s="301" t="s">
        <v>242</v>
      </c>
      <c r="D110" s="301" t="s">
        <v>243</v>
      </c>
      <c r="E110" s="301" t="s">
        <v>45</v>
      </c>
      <c r="F110" s="310" t="s">
        <v>738</v>
      </c>
      <c r="G110" s="303" t="s">
        <v>564</v>
      </c>
      <c r="H110" s="314">
        <v>30859243</v>
      </c>
      <c r="I110" s="320">
        <v>0</v>
      </c>
      <c r="J110" s="304">
        <v>18508795.579999998</v>
      </c>
      <c r="K110" s="320">
        <f>J110/H110</f>
        <v>0.59978125775800784</v>
      </c>
      <c r="L110" s="395"/>
      <c r="M110" s="394"/>
      <c r="N110" s="394"/>
      <c r="O110" s="394"/>
      <c r="P110" s="394"/>
      <c r="Q110" s="394"/>
      <c r="R110" s="394"/>
      <c r="S110" s="394"/>
    </row>
    <row r="111" spans="2:19" s="97" customFormat="1" ht="29.25" customHeight="1" thickTop="1" thickBot="1" x14ac:dyDescent="0.25">
      <c r="B111" s="301" t="s">
        <v>715</v>
      </c>
      <c r="C111" s="301" t="s">
        <v>225</v>
      </c>
      <c r="D111" s="301" t="s">
        <v>192</v>
      </c>
      <c r="E111" s="301" t="s">
        <v>38</v>
      </c>
      <c r="F111" s="303" t="s">
        <v>55</v>
      </c>
      <c r="G111" s="303"/>
      <c r="H111" s="316"/>
      <c r="I111" s="303"/>
      <c r="J111" s="304">
        <f>SUM(J112:J128)</f>
        <v>14547011</v>
      </c>
      <c r="K111" s="312"/>
      <c r="L111" s="395"/>
      <c r="M111" s="394"/>
      <c r="N111" s="394"/>
      <c r="O111" s="394"/>
      <c r="P111" s="394"/>
      <c r="Q111" s="394"/>
      <c r="R111" s="394"/>
      <c r="S111" s="394"/>
    </row>
    <row r="112" spans="2:19" s="97" customFormat="1" ht="0.75" hidden="1" customHeight="1" thickTop="1" thickBot="1" x14ac:dyDescent="0.25">
      <c r="B112" s="321" t="s">
        <v>337</v>
      </c>
      <c r="C112" s="321" t="s">
        <v>225</v>
      </c>
      <c r="D112" s="321" t="s">
        <v>192</v>
      </c>
      <c r="E112" s="321" t="s">
        <v>38</v>
      </c>
      <c r="F112" s="322" t="s">
        <v>660</v>
      </c>
      <c r="G112" s="323"/>
      <c r="H112" s="324"/>
      <c r="I112" s="325"/>
      <c r="J112" s="324"/>
      <c r="K112" s="325"/>
      <c r="L112" s="395"/>
      <c r="M112" s="394"/>
      <c r="N112" s="394"/>
      <c r="O112" s="394"/>
      <c r="P112" s="394"/>
      <c r="Q112" s="394"/>
      <c r="R112" s="394"/>
      <c r="S112" s="394"/>
    </row>
    <row r="113" spans="2:19" s="97" customFormat="1" ht="90" customHeight="1" thickTop="1" thickBot="1" x14ac:dyDescent="0.25">
      <c r="B113" s="307" t="s">
        <v>715</v>
      </c>
      <c r="C113" s="307" t="s">
        <v>225</v>
      </c>
      <c r="D113" s="307" t="s">
        <v>192</v>
      </c>
      <c r="E113" s="307" t="s">
        <v>38</v>
      </c>
      <c r="F113" s="310" t="s">
        <v>739</v>
      </c>
      <c r="G113" s="303" t="s">
        <v>740</v>
      </c>
      <c r="H113" s="313">
        <v>4730960</v>
      </c>
      <c r="I113" s="320">
        <f>(70200+50000)/H113</f>
        <v>2.5407105534606084E-2</v>
      </c>
      <c r="J113" s="313">
        <v>3500000</v>
      </c>
      <c r="K113" s="320">
        <f>(70200+50000+J113)/H113</f>
        <v>0.76521467101814433</v>
      </c>
      <c r="L113" s="395"/>
      <c r="M113" s="394"/>
      <c r="N113" s="394"/>
      <c r="O113" s="394"/>
      <c r="P113" s="394"/>
      <c r="Q113" s="394"/>
      <c r="R113" s="394"/>
      <c r="S113" s="394"/>
    </row>
    <row r="114" spans="2:19" s="97" customFormat="1" ht="0.75" hidden="1" customHeight="1" thickTop="1" thickBot="1" x14ac:dyDescent="0.25">
      <c r="B114" s="321" t="s">
        <v>337</v>
      </c>
      <c r="C114" s="321" t="s">
        <v>225</v>
      </c>
      <c r="D114" s="321" t="s">
        <v>192</v>
      </c>
      <c r="E114" s="321" t="s">
        <v>38</v>
      </c>
      <c r="F114" s="322" t="s">
        <v>544</v>
      </c>
      <c r="G114" s="324"/>
      <c r="H114" s="326"/>
      <c r="I114" s="327"/>
      <c r="J114" s="326">
        <f>1000000-1000000</f>
        <v>0</v>
      </c>
      <c r="K114" s="324"/>
      <c r="L114" s="395"/>
      <c r="M114" s="394"/>
      <c r="N114" s="394"/>
      <c r="O114" s="394"/>
      <c r="P114" s="394"/>
      <c r="Q114" s="394"/>
      <c r="R114" s="394"/>
      <c r="S114" s="394"/>
    </row>
    <row r="115" spans="2:19" s="97" customFormat="1" ht="120.75" customHeight="1" thickTop="1" thickBot="1" x14ac:dyDescent="0.25">
      <c r="B115" s="307" t="s">
        <v>715</v>
      </c>
      <c r="C115" s="307" t="s">
        <v>225</v>
      </c>
      <c r="D115" s="307" t="s">
        <v>192</v>
      </c>
      <c r="E115" s="307" t="s">
        <v>38</v>
      </c>
      <c r="F115" s="328" t="s">
        <v>643</v>
      </c>
      <c r="G115" s="303" t="s">
        <v>741</v>
      </c>
      <c r="H115" s="313"/>
      <c r="I115" s="319"/>
      <c r="J115" s="313">
        <v>400000</v>
      </c>
      <c r="K115" s="304"/>
      <c r="L115" s="395"/>
      <c r="M115" s="394"/>
      <c r="N115" s="394"/>
      <c r="O115" s="394"/>
      <c r="P115" s="394"/>
      <c r="Q115" s="394"/>
      <c r="R115" s="394"/>
      <c r="S115" s="394"/>
    </row>
    <row r="116" spans="2:19" s="97" customFormat="1" ht="106.5" hidden="1" thickTop="1" thickBot="1" x14ac:dyDescent="0.25">
      <c r="B116" s="307" t="s">
        <v>715</v>
      </c>
      <c r="C116" s="321" t="s">
        <v>225</v>
      </c>
      <c r="D116" s="321" t="s">
        <v>192</v>
      </c>
      <c r="E116" s="321" t="s">
        <v>38</v>
      </c>
      <c r="F116" s="329" t="s">
        <v>538</v>
      </c>
      <c r="G116" s="327"/>
      <c r="H116" s="326"/>
      <c r="I116" s="327"/>
      <c r="J116" s="326">
        <f>54106-54106</f>
        <v>0</v>
      </c>
      <c r="K116" s="324"/>
      <c r="L116" s="395"/>
      <c r="M116" s="394"/>
      <c r="N116" s="394"/>
      <c r="O116" s="394"/>
      <c r="P116" s="394"/>
      <c r="Q116" s="394"/>
      <c r="R116" s="394"/>
      <c r="S116" s="394"/>
    </row>
    <row r="117" spans="2:19" s="97" customFormat="1" ht="106.5" thickTop="1" thickBot="1" x14ac:dyDescent="0.25">
      <c r="B117" s="307" t="s">
        <v>715</v>
      </c>
      <c r="C117" s="307" t="s">
        <v>225</v>
      </c>
      <c r="D117" s="307" t="s">
        <v>192</v>
      </c>
      <c r="E117" s="307" t="s">
        <v>38</v>
      </c>
      <c r="F117" s="328" t="s">
        <v>742</v>
      </c>
      <c r="G117" s="319"/>
      <c r="H117" s="313"/>
      <c r="I117" s="319"/>
      <c r="J117" s="313">
        <v>200000</v>
      </c>
      <c r="K117" s="304"/>
      <c r="L117" s="395"/>
      <c r="M117" s="394"/>
      <c r="N117" s="394"/>
      <c r="O117" s="394"/>
      <c r="P117" s="394"/>
      <c r="Q117" s="394"/>
      <c r="R117" s="394"/>
      <c r="S117" s="394"/>
    </row>
    <row r="118" spans="2:19" s="97" customFormat="1" ht="106.5" thickTop="1" thickBot="1" x14ac:dyDescent="0.25">
      <c r="B118" s="307" t="s">
        <v>715</v>
      </c>
      <c r="C118" s="307" t="s">
        <v>225</v>
      </c>
      <c r="D118" s="307" t="s">
        <v>192</v>
      </c>
      <c r="E118" s="307" t="s">
        <v>38</v>
      </c>
      <c r="F118" s="328" t="s">
        <v>743</v>
      </c>
      <c r="G118" s="319"/>
      <c r="H118" s="313"/>
      <c r="I118" s="319"/>
      <c r="J118" s="313">
        <v>50000</v>
      </c>
      <c r="K118" s="304"/>
      <c r="L118" s="395"/>
      <c r="M118" s="394"/>
      <c r="N118" s="394"/>
      <c r="O118" s="394"/>
      <c r="P118" s="394"/>
      <c r="Q118" s="394"/>
      <c r="R118" s="394"/>
      <c r="S118" s="394"/>
    </row>
    <row r="119" spans="2:19" s="97" customFormat="1" ht="91.5" thickTop="1" thickBot="1" x14ac:dyDescent="0.25">
      <c r="B119" s="307" t="s">
        <v>715</v>
      </c>
      <c r="C119" s="307" t="s">
        <v>225</v>
      </c>
      <c r="D119" s="307" t="s">
        <v>192</v>
      </c>
      <c r="E119" s="307" t="s">
        <v>38</v>
      </c>
      <c r="F119" s="328" t="s">
        <v>744</v>
      </c>
      <c r="G119" s="319" t="s">
        <v>741</v>
      </c>
      <c r="H119" s="313">
        <v>1301922</v>
      </c>
      <c r="I119" s="319"/>
      <c r="J119" s="313">
        <v>1301922</v>
      </c>
      <c r="K119" s="320">
        <f>J119/H119</f>
        <v>1</v>
      </c>
      <c r="L119" s="395"/>
      <c r="M119" s="394"/>
      <c r="N119" s="394"/>
      <c r="O119" s="394"/>
      <c r="P119" s="394"/>
      <c r="Q119" s="394"/>
      <c r="R119" s="394"/>
      <c r="S119" s="394"/>
    </row>
    <row r="120" spans="2:19" s="97" customFormat="1" ht="91.5" thickTop="1" thickBot="1" x14ac:dyDescent="0.25">
      <c r="B120" s="307" t="s">
        <v>715</v>
      </c>
      <c r="C120" s="307" t="s">
        <v>225</v>
      </c>
      <c r="D120" s="307" t="s">
        <v>192</v>
      </c>
      <c r="E120" s="307" t="s">
        <v>38</v>
      </c>
      <c r="F120" s="310" t="s">
        <v>745</v>
      </c>
      <c r="G120" s="303" t="s">
        <v>741</v>
      </c>
      <c r="H120" s="313">
        <v>1050599</v>
      </c>
      <c r="I120" s="320"/>
      <c r="J120" s="313">
        <v>1050599</v>
      </c>
      <c r="K120" s="320">
        <f>J120/H120</f>
        <v>1</v>
      </c>
      <c r="L120" s="395"/>
      <c r="M120" s="394"/>
      <c r="N120" s="394"/>
      <c r="O120" s="394"/>
      <c r="P120" s="394"/>
      <c r="Q120" s="394"/>
      <c r="R120" s="394"/>
      <c r="S120" s="394"/>
    </row>
    <row r="121" spans="2:19" s="97" customFormat="1" ht="91.5" thickTop="1" thickBot="1" x14ac:dyDescent="0.25">
      <c r="B121" s="307" t="s">
        <v>715</v>
      </c>
      <c r="C121" s="307" t="s">
        <v>225</v>
      </c>
      <c r="D121" s="307" t="s">
        <v>192</v>
      </c>
      <c r="E121" s="307" t="s">
        <v>38</v>
      </c>
      <c r="F121" s="328" t="s">
        <v>746</v>
      </c>
      <c r="G121" s="303" t="s">
        <v>741</v>
      </c>
      <c r="H121" s="313">
        <v>694860</v>
      </c>
      <c r="I121" s="320"/>
      <c r="J121" s="313">
        <v>694860</v>
      </c>
      <c r="K121" s="320">
        <f>J121/H121</f>
        <v>1</v>
      </c>
      <c r="L121" s="395"/>
      <c r="M121" s="394"/>
      <c r="N121" s="394"/>
      <c r="O121" s="394"/>
      <c r="P121" s="394"/>
      <c r="Q121" s="394"/>
      <c r="R121" s="394"/>
      <c r="S121" s="394"/>
    </row>
    <row r="122" spans="2:19" s="97" customFormat="1" ht="136.5" thickTop="1" thickBot="1" x14ac:dyDescent="0.25">
      <c r="B122" s="307" t="s">
        <v>715</v>
      </c>
      <c r="C122" s="307" t="s">
        <v>225</v>
      </c>
      <c r="D122" s="307" t="s">
        <v>192</v>
      </c>
      <c r="E122" s="307" t="s">
        <v>38</v>
      </c>
      <c r="F122" s="328" t="s">
        <v>747</v>
      </c>
      <c r="G122" s="313" t="s">
        <v>564</v>
      </c>
      <c r="H122" s="313">
        <v>1306212</v>
      </c>
      <c r="I122" s="320">
        <f>(300000+300000)/H122</f>
        <v>0.45934350626085196</v>
      </c>
      <c r="J122" s="313">
        <v>700000</v>
      </c>
      <c r="K122" s="320">
        <f>(300000+300000+J122)/H122</f>
        <v>0.99524426356517937</v>
      </c>
      <c r="L122" s="395"/>
      <c r="M122" s="394"/>
      <c r="N122" s="394"/>
      <c r="O122" s="394"/>
      <c r="P122" s="394"/>
      <c r="Q122" s="394"/>
      <c r="R122" s="394"/>
      <c r="S122" s="394"/>
    </row>
    <row r="123" spans="2:19" s="97" customFormat="1" ht="76.5" thickTop="1" thickBot="1" x14ac:dyDescent="0.25">
      <c r="B123" s="307" t="s">
        <v>715</v>
      </c>
      <c r="C123" s="307" t="s">
        <v>225</v>
      </c>
      <c r="D123" s="307" t="s">
        <v>192</v>
      </c>
      <c r="E123" s="307" t="s">
        <v>38</v>
      </c>
      <c r="F123" s="328" t="s">
        <v>748</v>
      </c>
      <c r="G123" s="313" t="s">
        <v>741</v>
      </c>
      <c r="H123" s="313">
        <v>700000</v>
      </c>
      <c r="I123" s="320"/>
      <c r="J123" s="313">
        <v>700000</v>
      </c>
      <c r="K123" s="320">
        <f>J123/H123</f>
        <v>1</v>
      </c>
      <c r="L123" s="395"/>
      <c r="M123" s="394"/>
      <c r="N123" s="394"/>
      <c r="O123" s="394"/>
      <c r="P123" s="394"/>
      <c r="Q123" s="394"/>
      <c r="R123" s="394"/>
      <c r="S123" s="394"/>
    </row>
    <row r="124" spans="2:19" s="97" customFormat="1" ht="76.5" thickTop="1" thickBot="1" x14ac:dyDescent="0.25">
      <c r="B124" s="307" t="s">
        <v>715</v>
      </c>
      <c r="C124" s="307" t="s">
        <v>225</v>
      </c>
      <c r="D124" s="307" t="s">
        <v>192</v>
      </c>
      <c r="E124" s="307" t="s">
        <v>38</v>
      </c>
      <c r="F124" s="328" t="s">
        <v>637</v>
      </c>
      <c r="G124" s="313" t="s">
        <v>564</v>
      </c>
      <c r="H124" s="313">
        <v>1978170</v>
      </c>
      <c r="I124" s="320">
        <f>900000/H124</f>
        <v>0.45496595338115531</v>
      </c>
      <c r="J124" s="313">
        <v>1078170</v>
      </c>
      <c r="K124" s="320">
        <f>(900000+J124)/H124</f>
        <v>1</v>
      </c>
      <c r="L124" s="395"/>
      <c r="M124" s="394"/>
      <c r="N124" s="394"/>
      <c r="O124" s="394"/>
      <c r="P124" s="394"/>
      <c r="Q124" s="394"/>
      <c r="R124" s="394"/>
      <c r="S124" s="394"/>
    </row>
    <row r="125" spans="2:19" s="97" customFormat="1" ht="91.5" thickTop="1" thickBot="1" x14ac:dyDescent="0.25">
      <c r="B125" s="307" t="s">
        <v>715</v>
      </c>
      <c r="C125" s="307" t="s">
        <v>225</v>
      </c>
      <c r="D125" s="307" t="s">
        <v>192</v>
      </c>
      <c r="E125" s="307" t="s">
        <v>38</v>
      </c>
      <c r="F125" s="328" t="s">
        <v>898</v>
      </c>
      <c r="G125" s="313"/>
      <c r="H125" s="313"/>
      <c r="I125" s="320"/>
      <c r="J125" s="313">
        <v>100000</v>
      </c>
      <c r="K125" s="320"/>
      <c r="L125" s="395"/>
      <c r="M125" s="394"/>
      <c r="N125" s="394"/>
      <c r="O125" s="394"/>
      <c r="P125" s="394"/>
      <c r="Q125" s="394"/>
      <c r="R125" s="394"/>
      <c r="S125" s="394"/>
    </row>
    <row r="126" spans="2:19" s="97" customFormat="1" ht="91.5" thickTop="1" thickBot="1" x14ac:dyDescent="0.25">
      <c r="B126" s="307" t="s">
        <v>715</v>
      </c>
      <c r="C126" s="307" t="s">
        <v>225</v>
      </c>
      <c r="D126" s="307" t="s">
        <v>192</v>
      </c>
      <c r="E126" s="307" t="s">
        <v>38</v>
      </c>
      <c r="F126" s="328" t="s">
        <v>896</v>
      </c>
      <c r="G126" s="313"/>
      <c r="H126" s="313"/>
      <c r="I126" s="320"/>
      <c r="J126" s="313">
        <v>100000</v>
      </c>
      <c r="K126" s="320"/>
      <c r="L126" s="395"/>
      <c r="M126" s="394"/>
      <c r="N126" s="394"/>
      <c r="O126" s="394"/>
      <c r="P126" s="394"/>
      <c r="Q126" s="394"/>
      <c r="R126" s="394"/>
      <c r="S126" s="394"/>
    </row>
    <row r="127" spans="2:19" s="97" customFormat="1" ht="91.5" thickTop="1" thickBot="1" x14ac:dyDescent="0.25">
      <c r="B127" s="307" t="s">
        <v>715</v>
      </c>
      <c r="C127" s="307" t="s">
        <v>225</v>
      </c>
      <c r="D127" s="307" t="s">
        <v>192</v>
      </c>
      <c r="E127" s="307" t="s">
        <v>38</v>
      </c>
      <c r="F127" s="328" t="s">
        <v>897</v>
      </c>
      <c r="G127" s="313"/>
      <c r="H127" s="313"/>
      <c r="I127" s="320"/>
      <c r="J127" s="313">
        <v>100000</v>
      </c>
      <c r="K127" s="320"/>
      <c r="L127" s="395"/>
      <c r="M127" s="394"/>
      <c r="N127" s="394"/>
      <c r="O127" s="394"/>
      <c r="P127" s="394"/>
      <c r="Q127" s="394"/>
      <c r="R127" s="394"/>
      <c r="S127" s="394"/>
    </row>
    <row r="128" spans="2:19" s="97" customFormat="1" ht="76.5" thickTop="1" thickBot="1" x14ac:dyDescent="0.25">
      <c r="B128" s="307" t="s">
        <v>715</v>
      </c>
      <c r="C128" s="307" t="s">
        <v>225</v>
      </c>
      <c r="D128" s="307" t="s">
        <v>192</v>
      </c>
      <c r="E128" s="307" t="s">
        <v>38</v>
      </c>
      <c r="F128" s="328" t="s">
        <v>895</v>
      </c>
      <c r="G128" s="319" t="s">
        <v>657</v>
      </c>
      <c r="H128" s="313">
        <v>11472055</v>
      </c>
      <c r="I128" s="330">
        <f>(6562194+200000)/H128</f>
        <v>0.58944923119702619</v>
      </c>
      <c r="J128" s="313">
        <v>4571460</v>
      </c>
      <c r="K128" s="320">
        <v>1</v>
      </c>
      <c r="L128" s="395"/>
      <c r="M128" s="394"/>
      <c r="N128" s="394"/>
      <c r="O128" s="394"/>
      <c r="P128" s="394"/>
      <c r="Q128" s="394"/>
      <c r="R128" s="394"/>
      <c r="S128" s="394"/>
    </row>
    <row r="129" spans="2:12" ht="76.5" thickTop="1" thickBot="1" x14ac:dyDescent="0.25">
      <c r="B129" s="443" t="s">
        <v>27</v>
      </c>
      <c r="C129" s="443"/>
      <c r="D129" s="443"/>
      <c r="E129" s="444" t="s">
        <v>423</v>
      </c>
      <c r="F129" s="445"/>
      <c r="G129" s="446"/>
      <c r="H129" s="446"/>
      <c r="I129" s="446"/>
      <c r="J129" s="445">
        <f>J130</f>
        <v>49920675</v>
      </c>
      <c r="K129" s="445"/>
      <c r="L129" s="396">
        <f>L132+L134+L144</f>
        <v>4000000</v>
      </c>
    </row>
    <row r="130" spans="2:12" ht="87" thickTop="1" thickBot="1" x14ac:dyDescent="0.25">
      <c r="B130" s="447" t="s">
        <v>28</v>
      </c>
      <c r="C130" s="447"/>
      <c r="D130" s="447"/>
      <c r="E130" s="448" t="s">
        <v>422</v>
      </c>
      <c r="F130" s="449"/>
      <c r="G130" s="449"/>
      <c r="H130" s="449"/>
      <c r="I130" s="449"/>
      <c r="J130" s="449">
        <f>SUM(J131:J147)</f>
        <v>49920675</v>
      </c>
      <c r="K130" s="449"/>
      <c r="L130" s="396"/>
    </row>
    <row r="131" spans="2:12" ht="76.5" thickTop="1" thickBot="1" x14ac:dyDescent="0.25">
      <c r="B131" s="331" t="s">
        <v>488</v>
      </c>
      <c r="C131" s="331" t="s">
        <v>490</v>
      </c>
      <c r="D131" s="331" t="s">
        <v>223</v>
      </c>
      <c r="E131" s="331" t="s">
        <v>489</v>
      </c>
      <c r="F131" s="302" t="s">
        <v>527</v>
      </c>
      <c r="G131" s="304" t="s">
        <v>495</v>
      </c>
      <c r="H131" s="304">
        <f>282861499</f>
        <v>282861499</v>
      </c>
      <c r="I131" s="320">
        <f>(102042688.62+20700000)/H131</f>
        <v>0.4339321153777807</v>
      </c>
      <c r="J131" s="304">
        <f>8000000+2000000</f>
        <v>10000000</v>
      </c>
      <c r="K131" s="320">
        <f>(102042688.62+20700000+2000000+J131)/H131</f>
        <v>0.47635570445732528</v>
      </c>
      <c r="L131" s="396"/>
    </row>
    <row r="132" spans="2:12" ht="76.5" hidden="1" thickTop="1" thickBot="1" x14ac:dyDescent="0.25">
      <c r="B132" s="331" t="s">
        <v>346</v>
      </c>
      <c r="C132" s="331" t="s">
        <v>347</v>
      </c>
      <c r="D132" s="331" t="s">
        <v>335</v>
      </c>
      <c r="E132" s="331" t="s">
        <v>345</v>
      </c>
      <c r="F132" s="332" t="s">
        <v>687</v>
      </c>
      <c r="G132" s="304" t="s">
        <v>495</v>
      </c>
      <c r="H132" s="304">
        <v>30010059</v>
      </c>
      <c r="I132" s="320">
        <f>(11364795.14+7640000)/H132</f>
        <v>0.6332808322702731</v>
      </c>
      <c r="J132" s="304">
        <v>0</v>
      </c>
      <c r="K132" s="320">
        <f>(11364795.14+7640000+J132)/H132</f>
        <v>0.6332808322702731</v>
      </c>
      <c r="L132" s="396">
        <v>1000000</v>
      </c>
    </row>
    <row r="133" spans="2:12" ht="46.5" thickTop="1" thickBot="1" x14ac:dyDescent="0.25">
      <c r="B133" s="331" t="s">
        <v>346</v>
      </c>
      <c r="C133" s="331" t="s">
        <v>347</v>
      </c>
      <c r="D133" s="331" t="s">
        <v>335</v>
      </c>
      <c r="E133" s="331" t="s">
        <v>345</v>
      </c>
      <c r="F133" s="332" t="s">
        <v>688</v>
      </c>
      <c r="G133" s="304" t="s">
        <v>528</v>
      </c>
      <c r="H133" s="304">
        <f>30737344</f>
        <v>30737344</v>
      </c>
      <c r="I133" s="320">
        <f>(16324475.46+10900000)/H133</f>
        <v>0.88571333489321658</v>
      </c>
      <c r="J133" s="304">
        <v>3512869</v>
      </c>
      <c r="K133" s="320">
        <f>(16324475.46+10900000+J133)/H133</f>
        <v>1.0000000149655091</v>
      </c>
      <c r="L133" s="396"/>
    </row>
    <row r="134" spans="2:12" ht="91.5" thickTop="1" thickBot="1" x14ac:dyDescent="0.25">
      <c r="B134" s="331" t="s">
        <v>346</v>
      </c>
      <c r="C134" s="331" t="s">
        <v>347</v>
      </c>
      <c r="D134" s="331" t="s">
        <v>335</v>
      </c>
      <c r="E134" s="331" t="s">
        <v>345</v>
      </c>
      <c r="F134" s="332" t="s">
        <v>689</v>
      </c>
      <c r="G134" s="333" t="s">
        <v>690</v>
      </c>
      <c r="H134" s="304">
        <f>9300000+10829899</f>
        <v>20129899</v>
      </c>
      <c r="I134" s="320">
        <f>(5081689.03+1800000)/H134</f>
        <v>0.34186406151367177</v>
      </c>
      <c r="J134" s="304">
        <v>700000</v>
      </c>
      <c r="K134" s="320">
        <f>(5081689.02+1800000+J134)/H134</f>
        <v>0.37663820469243287</v>
      </c>
      <c r="L134" s="396">
        <v>1000000</v>
      </c>
    </row>
    <row r="135" spans="2:12" ht="76.5" thickTop="1" thickBot="1" x14ac:dyDescent="0.25">
      <c r="B135" s="331" t="s">
        <v>346</v>
      </c>
      <c r="C135" s="331" t="s">
        <v>347</v>
      </c>
      <c r="D135" s="331" t="s">
        <v>335</v>
      </c>
      <c r="E135" s="331" t="s">
        <v>345</v>
      </c>
      <c r="F135" s="332" t="s">
        <v>691</v>
      </c>
      <c r="G135" s="333" t="s">
        <v>627</v>
      </c>
      <c r="H135" s="304">
        <f>8700000+6796500</f>
        <v>15496500</v>
      </c>
      <c r="I135" s="320">
        <f>(8153382.6+4900000)/H135</f>
        <v>0.84234392282128223</v>
      </c>
      <c r="J135" s="304">
        <v>2443118</v>
      </c>
      <c r="K135" s="320">
        <f>(8153382.6+4900000+J135)/H135</f>
        <v>1.0000000387184202</v>
      </c>
      <c r="L135" s="396"/>
    </row>
    <row r="136" spans="2:12" ht="91.5" thickTop="1" thickBot="1" x14ac:dyDescent="0.25">
      <c r="B136" s="331" t="s">
        <v>346</v>
      </c>
      <c r="C136" s="331" t="s">
        <v>347</v>
      </c>
      <c r="D136" s="331" t="s">
        <v>335</v>
      </c>
      <c r="E136" s="331" t="s">
        <v>345</v>
      </c>
      <c r="F136" s="332" t="s">
        <v>692</v>
      </c>
      <c r="G136" s="319"/>
      <c r="H136" s="304"/>
      <c r="I136" s="304"/>
      <c r="J136" s="304">
        <v>200000</v>
      </c>
      <c r="K136" s="320"/>
      <c r="L136" s="396"/>
    </row>
    <row r="137" spans="2:12" ht="61.5" thickTop="1" thickBot="1" x14ac:dyDescent="0.25">
      <c r="B137" s="331" t="s">
        <v>600</v>
      </c>
      <c r="C137" s="331" t="s">
        <v>601</v>
      </c>
      <c r="D137" s="331" t="s">
        <v>335</v>
      </c>
      <c r="E137" s="331" t="s">
        <v>749</v>
      </c>
      <c r="F137" s="332" t="s">
        <v>638</v>
      </c>
      <c r="G137" s="304"/>
      <c r="H137" s="304">
        <v>21098584</v>
      </c>
      <c r="I137" s="320">
        <f>(476664+102378)/H137</f>
        <v>2.7444590594326142E-2</v>
      </c>
      <c r="J137" s="304">
        <v>200000</v>
      </c>
      <c r="K137" s="320">
        <f>(476664+102378+J137)/H137</f>
        <v>3.6923899727109646E-2</v>
      </c>
      <c r="L137" s="396"/>
    </row>
    <row r="138" spans="2:12" ht="61.5" thickTop="1" thickBot="1" x14ac:dyDescent="0.25">
      <c r="B138" s="331" t="s">
        <v>350</v>
      </c>
      <c r="C138" s="331" t="s">
        <v>351</v>
      </c>
      <c r="D138" s="331" t="s">
        <v>335</v>
      </c>
      <c r="E138" s="331" t="s">
        <v>529</v>
      </c>
      <c r="F138" s="334" t="s">
        <v>693</v>
      </c>
      <c r="G138" s="532"/>
      <c r="H138" s="304">
        <v>15423995</v>
      </c>
      <c r="I138" s="320">
        <f>111261.75/H138</f>
        <v>7.2135494079192839E-3</v>
      </c>
      <c r="J138" s="304">
        <v>100000</v>
      </c>
      <c r="K138" s="320">
        <f>(111261.75+J138)/H138</f>
        <v>1.3696953999271913E-2</v>
      </c>
      <c r="L138" s="396"/>
    </row>
    <row r="139" spans="2:12" ht="91.5" thickTop="1" thickBot="1" x14ac:dyDescent="0.25">
      <c r="B139" s="331" t="s">
        <v>350</v>
      </c>
      <c r="C139" s="331" t="s">
        <v>351</v>
      </c>
      <c r="D139" s="331" t="s">
        <v>335</v>
      </c>
      <c r="E139" s="331" t="s">
        <v>529</v>
      </c>
      <c r="F139" s="334" t="s">
        <v>694</v>
      </c>
      <c r="G139" s="333" t="s">
        <v>495</v>
      </c>
      <c r="H139" s="304">
        <v>10111121</v>
      </c>
      <c r="I139" s="320">
        <f>(6904285.16+1000000)/H139</f>
        <v>0.78174172379106133</v>
      </c>
      <c r="J139" s="304">
        <f>2206836</f>
        <v>2206836</v>
      </c>
      <c r="K139" s="320">
        <f>(6904285.16+1000000+J139)/H139</f>
        <v>1.0000000158241604</v>
      </c>
      <c r="L139" s="396"/>
    </row>
    <row r="140" spans="2:12" ht="46.5" thickTop="1" thickBot="1" x14ac:dyDescent="0.25">
      <c r="B140" s="331" t="s">
        <v>350</v>
      </c>
      <c r="C140" s="331" t="s">
        <v>351</v>
      </c>
      <c r="D140" s="331" t="s">
        <v>335</v>
      </c>
      <c r="E140" s="331" t="s">
        <v>529</v>
      </c>
      <c r="F140" s="334" t="s">
        <v>530</v>
      </c>
      <c r="G140" s="333" t="s">
        <v>695</v>
      </c>
      <c r="H140" s="304">
        <v>15977719</v>
      </c>
      <c r="I140" s="320">
        <f>(10084713.31+4300000)/H140</f>
        <v>0.90029830353131135</v>
      </c>
      <c r="J140" s="304">
        <v>420000</v>
      </c>
      <c r="K140" s="320">
        <f>(10084713.31+4300000+J140)/H140</f>
        <v>0.92658490927271908</v>
      </c>
      <c r="L140" s="396"/>
    </row>
    <row r="141" spans="2:12" ht="76.5" thickTop="1" thickBot="1" x14ac:dyDescent="0.25">
      <c r="B141" s="331" t="s">
        <v>350</v>
      </c>
      <c r="C141" s="331" t="s">
        <v>351</v>
      </c>
      <c r="D141" s="331" t="s">
        <v>335</v>
      </c>
      <c r="E141" s="331" t="s">
        <v>529</v>
      </c>
      <c r="F141" s="334" t="s">
        <v>863</v>
      </c>
      <c r="G141" s="333"/>
      <c r="H141" s="305">
        <v>53314687</v>
      </c>
      <c r="I141" s="330">
        <f>(1368673.51+50000)/H141</f>
        <v>2.6609431468668288E-2</v>
      </c>
      <c r="J141" s="305">
        <v>200000</v>
      </c>
      <c r="K141" s="330">
        <f>(1368673.51+50000+J141)/H141</f>
        <v>3.0360742997515865E-2</v>
      </c>
      <c r="L141" s="396"/>
    </row>
    <row r="142" spans="2:12" ht="46.5" thickTop="1" thickBot="1" x14ac:dyDescent="0.25">
      <c r="B142" s="331" t="s">
        <v>350</v>
      </c>
      <c r="C142" s="331" t="s">
        <v>351</v>
      </c>
      <c r="D142" s="331" t="s">
        <v>335</v>
      </c>
      <c r="E142" s="331" t="s">
        <v>529</v>
      </c>
      <c r="F142" s="335" t="s">
        <v>696</v>
      </c>
      <c r="G142" s="304" t="s">
        <v>644</v>
      </c>
      <c r="H142" s="304">
        <v>30287941</v>
      </c>
      <c r="I142" s="320">
        <f>(415790+5000000)/H142</f>
        <v>0.17881010795682678</v>
      </c>
      <c r="J142" s="304">
        <v>5700000</v>
      </c>
      <c r="K142" s="320">
        <f>(415790+5000000+J142)/H142</f>
        <v>0.36700381845038593</v>
      </c>
      <c r="L142" s="396"/>
    </row>
    <row r="143" spans="2:12" ht="76.5" thickTop="1" thickBot="1" x14ac:dyDescent="0.25">
      <c r="B143" s="336" t="s">
        <v>350</v>
      </c>
      <c r="C143" s="336" t="s">
        <v>351</v>
      </c>
      <c r="D143" s="336" t="s">
        <v>335</v>
      </c>
      <c r="E143" s="336" t="s">
        <v>529</v>
      </c>
      <c r="F143" s="335" t="s">
        <v>697</v>
      </c>
      <c r="G143" s="333"/>
      <c r="H143" s="333"/>
      <c r="I143" s="337"/>
      <c r="J143" s="333">
        <v>50000</v>
      </c>
      <c r="K143" s="337"/>
      <c r="L143" s="396"/>
    </row>
    <row r="144" spans="2:12" ht="76.5" thickTop="1" thickBot="1" x14ac:dyDescent="0.25">
      <c r="B144" s="336" t="s">
        <v>350</v>
      </c>
      <c r="C144" s="336" t="s">
        <v>351</v>
      </c>
      <c r="D144" s="336" t="s">
        <v>335</v>
      </c>
      <c r="E144" s="336" t="s">
        <v>529</v>
      </c>
      <c r="F144" s="335" t="s">
        <v>698</v>
      </c>
      <c r="G144" s="333"/>
      <c r="H144" s="333"/>
      <c r="I144" s="337"/>
      <c r="J144" s="333">
        <v>50000</v>
      </c>
      <c r="K144" s="337"/>
      <c r="L144" s="396">
        <v>2000000</v>
      </c>
    </row>
    <row r="145" spans="1:12" ht="102" customHeight="1" thickTop="1" thickBot="1" x14ac:dyDescent="0.25">
      <c r="B145" s="331" t="s">
        <v>350</v>
      </c>
      <c r="C145" s="331" t="s">
        <v>351</v>
      </c>
      <c r="D145" s="331" t="s">
        <v>335</v>
      </c>
      <c r="E145" s="331" t="s">
        <v>529</v>
      </c>
      <c r="F145" s="335" t="s">
        <v>699</v>
      </c>
      <c r="G145" s="304"/>
      <c r="H145" s="304"/>
      <c r="I145" s="320"/>
      <c r="J145" s="304">
        <v>100000</v>
      </c>
      <c r="K145" s="320"/>
      <c r="L145" s="396"/>
    </row>
    <row r="146" spans="1:12" ht="106.5" thickTop="1" thickBot="1" x14ac:dyDescent="0.25">
      <c r="B146" s="331" t="s">
        <v>350</v>
      </c>
      <c r="C146" s="331" t="s">
        <v>351</v>
      </c>
      <c r="D146" s="331" t="s">
        <v>335</v>
      </c>
      <c r="E146" s="331" t="s">
        <v>529</v>
      </c>
      <c r="F146" s="335" t="s">
        <v>700</v>
      </c>
      <c r="G146" s="304"/>
      <c r="H146" s="304"/>
      <c r="I146" s="320"/>
      <c r="J146" s="304">
        <v>300000</v>
      </c>
      <c r="K146" s="320"/>
      <c r="L146" s="396"/>
    </row>
    <row r="147" spans="1:12" ht="46.5" thickTop="1" thickBot="1" x14ac:dyDescent="0.25">
      <c r="B147" s="331" t="s">
        <v>496</v>
      </c>
      <c r="C147" s="331" t="s">
        <v>396</v>
      </c>
      <c r="D147" s="331" t="s">
        <v>192</v>
      </c>
      <c r="E147" s="331" t="s">
        <v>292</v>
      </c>
      <c r="F147" s="334" t="s">
        <v>701</v>
      </c>
      <c r="G147" s="304" t="s">
        <v>702</v>
      </c>
      <c r="H147" s="304">
        <v>150345402</v>
      </c>
      <c r="I147" s="320">
        <f>(36670050+3900000)/H147</f>
        <v>0.26984563186042765</v>
      </c>
      <c r="J147" s="304">
        <v>23737852</v>
      </c>
      <c r="K147" s="320">
        <f>(36670050+3900000+J147)/H147</f>
        <v>0.42773441119270145</v>
      </c>
      <c r="L147" s="396"/>
    </row>
    <row r="148" spans="1:12" ht="76.5" thickTop="1" thickBot="1" x14ac:dyDescent="0.25">
      <c r="B148" s="443" t="s">
        <v>182</v>
      </c>
      <c r="C148" s="443"/>
      <c r="D148" s="443"/>
      <c r="E148" s="444" t="s">
        <v>654</v>
      </c>
      <c r="F148" s="445"/>
      <c r="G148" s="446"/>
      <c r="H148" s="446"/>
      <c r="I148" s="446"/>
      <c r="J148" s="445">
        <f>J149</f>
        <v>140000</v>
      </c>
      <c r="K148" s="445"/>
      <c r="L148" s="397"/>
    </row>
    <row r="149" spans="1:12" ht="72.75" thickTop="1" thickBot="1" x14ac:dyDescent="0.25">
      <c r="B149" s="447" t="s">
        <v>183</v>
      </c>
      <c r="C149" s="447"/>
      <c r="D149" s="447"/>
      <c r="E149" s="448" t="s">
        <v>655</v>
      </c>
      <c r="F149" s="449"/>
      <c r="G149" s="449"/>
      <c r="H149" s="449"/>
      <c r="I149" s="449"/>
      <c r="J149" s="449">
        <f>J150</f>
        <v>140000</v>
      </c>
      <c r="K149" s="449"/>
      <c r="L149" s="397"/>
    </row>
    <row r="150" spans="1:12" ht="61.5" thickTop="1" thickBot="1" x14ac:dyDescent="0.25">
      <c r="B150" s="301" t="s">
        <v>470</v>
      </c>
      <c r="C150" s="301" t="s">
        <v>266</v>
      </c>
      <c r="D150" s="301" t="s">
        <v>264</v>
      </c>
      <c r="E150" s="301" t="s">
        <v>265</v>
      </c>
      <c r="F150" s="302" t="s">
        <v>615</v>
      </c>
      <c r="G150" s="259"/>
      <c r="H150" s="304"/>
      <c r="I150" s="320"/>
      <c r="J150" s="304">
        <v>140000</v>
      </c>
      <c r="K150" s="320"/>
      <c r="L150" s="397"/>
    </row>
    <row r="151" spans="1:12" ht="46.5" thickTop="1" thickBot="1" x14ac:dyDescent="0.25">
      <c r="B151" s="443" t="s">
        <v>504</v>
      </c>
      <c r="C151" s="443"/>
      <c r="D151" s="443"/>
      <c r="E151" s="444" t="s">
        <v>506</v>
      </c>
      <c r="F151" s="445"/>
      <c r="G151" s="446"/>
      <c r="H151" s="446"/>
      <c r="I151" s="446"/>
      <c r="J151" s="445">
        <f>J152</f>
        <v>18000</v>
      </c>
      <c r="K151" s="445"/>
    </row>
    <row r="152" spans="1:12" ht="44.25" thickTop="1" thickBot="1" x14ac:dyDescent="0.25">
      <c r="B152" s="447" t="s">
        <v>505</v>
      </c>
      <c r="C152" s="447"/>
      <c r="D152" s="447"/>
      <c r="E152" s="448" t="s">
        <v>507</v>
      </c>
      <c r="F152" s="449"/>
      <c r="G152" s="449"/>
      <c r="H152" s="449"/>
      <c r="I152" s="449"/>
      <c r="J152" s="449">
        <f>J153</f>
        <v>18000</v>
      </c>
      <c r="K152" s="449"/>
    </row>
    <row r="153" spans="1:12" ht="61.5" thickTop="1" thickBot="1" x14ac:dyDescent="0.25">
      <c r="B153" s="301" t="s">
        <v>508</v>
      </c>
      <c r="C153" s="301" t="s">
        <v>266</v>
      </c>
      <c r="D153" s="301" t="s">
        <v>264</v>
      </c>
      <c r="E153" s="301" t="s">
        <v>265</v>
      </c>
      <c r="F153" s="302" t="s">
        <v>615</v>
      </c>
      <c r="G153" s="338"/>
      <c r="H153" s="339"/>
      <c r="I153" s="338"/>
      <c r="J153" s="174">
        <v>18000</v>
      </c>
      <c r="K153" s="174"/>
    </row>
    <row r="154" spans="1:12" ht="31.5" thickTop="1" thickBot="1" x14ac:dyDescent="0.25">
      <c r="A154" s="99"/>
      <c r="B154" s="443" t="s">
        <v>188</v>
      </c>
      <c r="C154" s="443"/>
      <c r="D154" s="443"/>
      <c r="E154" s="444" t="s">
        <v>400</v>
      </c>
      <c r="F154" s="445"/>
      <c r="G154" s="446"/>
      <c r="H154" s="446"/>
      <c r="I154" s="446"/>
      <c r="J154" s="445">
        <f>J155</f>
        <v>400000</v>
      </c>
      <c r="K154" s="443"/>
    </row>
    <row r="155" spans="1:12" ht="44.25" thickTop="1" thickBot="1" x14ac:dyDescent="0.25">
      <c r="A155" s="99"/>
      <c r="B155" s="447" t="s">
        <v>189</v>
      </c>
      <c r="C155" s="447"/>
      <c r="D155" s="447"/>
      <c r="E155" s="448" t="s">
        <v>401</v>
      </c>
      <c r="F155" s="449"/>
      <c r="G155" s="449"/>
      <c r="H155" s="449"/>
      <c r="I155" s="449"/>
      <c r="J155" s="449">
        <f>SUM(J156:J156)</f>
        <v>400000</v>
      </c>
      <c r="K155" s="447"/>
    </row>
    <row r="156" spans="1:12" ht="31.5" thickTop="1" thickBot="1" x14ac:dyDescent="0.25">
      <c r="B156" s="301" t="s">
        <v>286</v>
      </c>
      <c r="C156" s="301" t="s">
        <v>287</v>
      </c>
      <c r="D156" s="301" t="s">
        <v>192</v>
      </c>
      <c r="E156" s="301" t="s">
        <v>285</v>
      </c>
      <c r="F156" s="303" t="s">
        <v>63</v>
      </c>
      <c r="G156" s="303"/>
      <c r="H156" s="304"/>
      <c r="I156" s="303"/>
      <c r="J156" s="304">
        <v>400000</v>
      </c>
      <c r="K156" s="304"/>
    </row>
    <row r="157" spans="1:12" ht="61.5" thickTop="1" thickBot="1" x14ac:dyDescent="0.25">
      <c r="B157" s="443" t="s">
        <v>186</v>
      </c>
      <c r="C157" s="443"/>
      <c r="D157" s="443"/>
      <c r="E157" s="444" t="s">
        <v>728</v>
      </c>
      <c r="F157" s="445"/>
      <c r="G157" s="446"/>
      <c r="H157" s="446"/>
      <c r="I157" s="446"/>
      <c r="J157" s="445">
        <f>J158</f>
        <v>18000</v>
      </c>
      <c r="K157" s="445"/>
    </row>
    <row r="158" spans="1:12" ht="58.5" thickTop="1" thickBot="1" x14ac:dyDescent="0.25">
      <c r="B158" s="447" t="s">
        <v>187</v>
      </c>
      <c r="C158" s="447"/>
      <c r="D158" s="447"/>
      <c r="E158" s="448" t="s">
        <v>729</v>
      </c>
      <c r="F158" s="449"/>
      <c r="G158" s="449"/>
      <c r="H158" s="449"/>
      <c r="I158" s="449"/>
      <c r="J158" s="449">
        <f>J159</f>
        <v>18000</v>
      </c>
      <c r="K158" s="449"/>
    </row>
    <row r="159" spans="1:12" ht="61.5" thickTop="1" thickBot="1" x14ac:dyDescent="0.25">
      <c r="B159" s="301" t="s">
        <v>473</v>
      </c>
      <c r="C159" s="301" t="s">
        <v>266</v>
      </c>
      <c r="D159" s="301" t="s">
        <v>264</v>
      </c>
      <c r="E159" s="301" t="s">
        <v>265</v>
      </c>
      <c r="F159" s="254"/>
      <c r="G159" s="258"/>
      <c r="H159" s="259"/>
      <c r="I159" s="258"/>
      <c r="J159" s="174">
        <v>18000</v>
      </c>
      <c r="K159" s="259"/>
    </row>
    <row r="160" spans="1:12" ht="76.5" thickTop="1" thickBot="1" x14ac:dyDescent="0.25">
      <c r="B160" s="443" t="s">
        <v>184</v>
      </c>
      <c r="C160" s="443"/>
      <c r="D160" s="443"/>
      <c r="E160" s="444" t="s">
        <v>491</v>
      </c>
      <c r="F160" s="445"/>
      <c r="G160" s="446"/>
      <c r="H160" s="446"/>
      <c r="I160" s="446"/>
      <c r="J160" s="445">
        <f>J161</f>
        <v>250000</v>
      </c>
      <c r="K160" s="445"/>
    </row>
    <row r="161" spans="1:18" ht="87" thickTop="1" thickBot="1" x14ac:dyDescent="0.25">
      <c r="B161" s="447" t="s">
        <v>185</v>
      </c>
      <c r="C161" s="447"/>
      <c r="D161" s="447"/>
      <c r="E161" s="448" t="s">
        <v>492</v>
      </c>
      <c r="F161" s="449"/>
      <c r="G161" s="449"/>
      <c r="H161" s="449"/>
      <c r="I161" s="449"/>
      <c r="J161" s="449">
        <f>SUM(J162:J164)</f>
        <v>250000</v>
      </c>
      <c r="K161" s="449"/>
    </row>
    <row r="162" spans="1:18" ht="31.5" thickTop="1" thickBot="1" x14ac:dyDescent="0.25">
      <c r="B162" s="301" t="s">
        <v>338</v>
      </c>
      <c r="C162" s="301" t="s">
        <v>339</v>
      </c>
      <c r="D162" s="301" t="s">
        <v>340</v>
      </c>
      <c r="E162" s="301" t="s">
        <v>526</v>
      </c>
      <c r="F162" s="334" t="s">
        <v>36</v>
      </c>
      <c r="G162" s="340"/>
      <c r="H162" s="305"/>
      <c r="I162" s="303"/>
      <c r="J162" s="174">
        <v>20000</v>
      </c>
      <c r="K162" s="305"/>
    </row>
    <row r="163" spans="1:18" ht="31.5" thickTop="1" thickBot="1" x14ac:dyDescent="0.25">
      <c r="B163" s="301" t="s">
        <v>338</v>
      </c>
      <c r="C163" s="301" t="s">
        <v>339</v>
      </c>
      <c r="D163" s="301" t="s">
        <v>340</v>
      </c>
      <c r="E163" s="301" t="s">
        <v>526</v>
      </c>
      <c r="F163" s="334" t="s">
        <v>37</v>
      </c>
      <c r="G163" s="340"/>
      <c r="H163" s="305"/>
      <c r="I163" s="303"/>
      <c r="J163" s="174">
        <v>180000</v>
      </c>
      <c r="K163" s="305"/>
    </row>
    <row r="164" spans="1:18" ht="61.5" thickTop="1" thickBot="1" x14ac:dyDescent="0.25">
      <c r="B164" s="301" t="s">
        <v>416</v>
      </c>
      <c r="C164" s="301" t="s">
        <v>417</v>
      </c>
      <c r="D164" s="301" t="s">
        <v>192</v>
      </c>
      <c r="E164" s="301" t="s">
        <v>418</v>
      </c>
      <c r="F164" s="334" t="s">
        <v>356</v>
      </c>
      <c r="G164" s="340"/>
      <c r="H164" s="305"/>
      <c r="I164" s="303"/>
      <c r="J164" s="174">
        <v>50000</v>
      </c>
      <c r="K164" s="305"/>
    </row>
    <row r="165" spans="1:18" ht="34.5" customHeight="1" thickTop="1" thickBot="1" x14ac:dyDescent="0.25">
      <c r="A165" s="9"/>
      <c r="B165" s="495" t="s">
        <v>431</v>
      </c>
      <c r="C165" s="495" t="s">
        <v>431</v>
      </c>
      <c r="D165" s="495" t="s">
        <v>431</v>
      </c>
      <c r="E165" s="527" t="s">
        <v>441</v>
      </c>
      <c r="F165" s="495" t="s">
        <v>431</v>
      </c>
      <c r="G165" s="495" t="s">
        <v>431</v>
      </c>
      <c r="H165" s="495" t="s">
        <v>431</v>
      </c>
      <c r="I165" s="495" t="s">
        <v>431</v>
      </c>
      <c r="J165" s="495">
        <f>J12+J16+J69+J41+J55+J62+J160+J154+J152+J148+J157+J129+J90+J79</f>
        <v>195335762.57999998</v>
      </c>
      <c r="K165" s="495" t="s">
        <v>431</v>
      </c>
      <c r="L165" s="528" t="b">
        <f>J165='d3'!K168</f>
        <v>1</v>
      </c>
    </row>
    <row r="166" spans="1:18" ht="16.5" thickTop="1" x14ac:dyDescent="0.2">
      <c r="B166" s="676" t="s">
        <v>639</v>
      </c>
      <c r="C166" s="677"/>
      <c r="D166" s="677"/>
      <c r="E166" s="677"/>
      <c r="F166" s="677"/>
      <c r="G166" s="677"/>
      <c r="H166" s="677"/>
      <c r="I166" s="677"/>
      <c r="J166" s="677"/>
      <c r="K166" s="677"/>
      <c r="L166" s="678"/>
      <c r="M166" s="678"/>
      <c r="N166" s="678"/>
      <c r="O166" s="678"/>
      <c r="P166" s="678"/>
      <c r="Q166" s="678"/>
      <c r="R166" s="678"/>
    </row>
    <row r="167" spans="1:18" ht="12" customHeight="1" x14ac:dyDescent="0.2">
      <c r="B167" s="679"/>
      <c r="C167" s="679"/>
      <c r="D167" s="679"/>
      <c r="E167" s="679"/>
      <c r="F167" s="679"/>
      <c r="G167" s="679"/>
      <c r="H167" s="679"/>
      <c r="I167" s="679"/>
      <c r="J167" s="679"/>
      <c r="K167" s="679"/>
    </row>
    <row r="168" spans="1:18" ht="26.45" hidden="1" customHeight="1" x14ac:dyDescent="0.2">
      <c r="B168" s="204"/>
      <c r="C168" s="204"/>
      <c r="D168" s="204" t="s">
        <v>652</v>
      </c>
      <c r="E168" s="204"/>
      <c r="F168" s="204"/>
      <c r="G168" s="204"/>
      <c r="H168" s="204"/>
      <c r="I168" s="204"/>
      <c r="J168" s="204" t="s">
        <v>647</v>
      </c>
      <c r="K168" s="204"/>
    </row>
    <row r="169" spans="1:18" ht="15" x14ac:dyDescent="0.25">
      <c r="D169" s="218" t="s">
        <v>903</v>
      </c>
      <c r="E169" s="218"/>
      <c r="F169" s="220"/>
      <c r="G169" s="221" t="s">
        <v>678</v>
      </c>
      <c r="H169" s="221"/>
      <c r="I169" s="222"/>
      <c r="J169" s="222"/>
      <c r="K169" s="221"/>
    </row>
    <row r="170" spans="1:18" x14ac:dyDescent="0.2">
      <c r="F170" s="223"/>
      <c r="G170" s="223"/>
      <c r="H170" s="223"/>
      <c r="I170" s="223"/>
      <c r="J170" s="223"/>
      <c r="K170" s="223"/>
    </row>
    <row r="171" spans="1:18" ht="16.5" thickTop="1" thickBot="1" x14ac:dyDescent="0.3">
      <c r="D171" s="218" t="s">
        <v>648</v>
      </c>
      <c r="E171" s="219"/>
      <c r="F171" s="224"/>
      <c r="G171" s="221" t="s">
        <v>649</v>
      </c>
      <c r="H171" s="221"/>
      <c r="I171" s="222"/>
      <c r="J171" s="222"/>
      <c r="K171" s="221"/>
    </row>
    <row r="183" spans="7:11" ht="46.5" x14ac:dyDescent="0.2">
      <c r="K183" s="167"/>
    </row>
    <row r="186" spans="7:11" ht="46.5" x14ac:dyDescent="0.2">
      <c r="G186" s="167"/>
      <c r="K186" s="167"/>
    </row>
    <row r="205" spans="12:12" ht="90" x14ac:dyDescent="1.1499999999999999">
      <c r="L205" s="398"/>
    </row>
  </sheetData>
  <mergeCells count="8">
    <mergeCell ref="B166:R166"/>
    <mergeCell ref="B167:K167"/>
    <mergeCell ref="B1:K1"/>
    <mergeCell ref="G2:K2"/>
    <mergeCell ref="B4:K4"/>
    <mergeCell ref="B7:C7"/>
    <mergeCell ref="B8:C8"/>
    <mergeCell ref="B5:K5"/>
  </mergeCells>
  <printOptions horizontalCentered="1"/>
  <pageMargins left="0.82677165354330717" right="0" top="0.31496062992125984" bottom="0.31496062992125984" header="0.23622047244094491" footer="0.19685039370078741"/>
  <pageSetup paperSize="9" scale="63" fitToHeight="0" orientation="landscape" r:id="rId1"/>
  <headerFooter alignWithMargins="0">
    <oddFooter>&amp;R&amp;P</oddFooter>
  </headerFooter>
  <rowBreaks count="1" manualBreakCount="1">
    <brk id="138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218"/>
  <sheetViews>
    <sheetView view="pageBreakPreview" zoomScale="25" zoomScaleNormal="25" zoomScaleSheetLayoutView="25" zoomScalePageLayoutView="10" workbookViewId="0">
      <pane ySplit="14" topLeftCell="A152" activePane="bottomLeft" state="frozen"/>
      <selection activeCell="F175" sqref="F175"/>
      <selection pane="bottomLeft" activeCell="I2" sqref="I2:J2"/>
    </sheetView>
  </sheetViews>
  <sheetFormatPr defaultColWidth="9.140625" defaultRowHeight="12.75" x14ac:dyDescent="0.2"/>
  <cols>
    <col min="1" max="1" width="48" style="1" customWidth="1"/>
    <col min="2" max="2" width="52.5703125" style="1" customWidth="1"/>
    <col min="3" max="3" width="65.7109375" style="1" customWidth="1"/>
    <col min="4" max="4" width="106.28515625" style="1" customWidth="1"/>
    <col min="5" max="5" width="113.85546875" style="5" customWidth="1"/>
    <col min="6" max="6" width="114" style="1" customWidth="1"/>
    <col min="7" max="7" width="55.42578125" style="1" customWidth="1"/>
    <col min="8" max="8" width="63.5703125" style="1" customWidth="1"/>
    <col min="9" max="9" width="62.140625" style="1" customWidth="1"/>
    <col min="10" max="10" width="70.28515625" style="5" customWidth="1"/>
    <col min="11" max="11" width="62.28515625" style="370" customWidth="1"/>
    <col min="12" max="12" width="60.140625" style="370" bestFit="1" customWidth="1"/>
    <col min="13" max="13" width="63" style="370" bestFit="1" customWidth="1"/>
    <col min="14" max="16" width="9.140625" style="370"/>
    <col min="17" max="17" width="70.28515625" style="370" customWidth="1"/>
    <col min="18" max="16384" width="9.140625" style="197"/>
  </cols>
  <sheetData>
    <row r="1" spans="1:17" ht="45.75" x14ac:dyDescent="0.2">
      <c r="D1" s="200"/>
      <c r="E1" s="201"/>
      <c r="F1" s="199"/>
      <c r="G1" s="201"/>
      <c r="H1" s="201"/>
      <c r="I1" s="638" t="s">
        <v>842</v>
      </c>
      <c r="J1" s="638"/>
    </row>
    <row r="2" spans="1:17" ht="45.75" x14ac:dyDescent="0.2">
      <c r="A2" s="200"/>
      <c r="B2" s="200"/>
      <c r="C2" s="200"/>
      <c r="D2" s="200"/>
      <c r="E2" s="201"/>
      <c r="F2" s="199"/>
      <c r="G2" s="201"/>
      <c r="H2" s="201"/>
      <c r="I2" s="638" t="s">
        <v>915</v>
      </c>
      <c r="J2" s="640"/>
    </row>
    <row r="3" spans="1:17" ht="40.700000000000003" customHeight="1" x14ac:dyDescent="0.2">
      <c r="A3" s="200"/>
      <c r="B3" s="200"/>
      <c r="C3" s="200"/>
      <c r="D3" s="200"/>
      <c r="E3" s="201"/>
      <c r="F3" s="199"/>
      <c r="G3" s="201"/>
      <c r="H3" s="201"/>
      <c r="I3" s="638"/>
      <c r="J3" s="640"/>
    </row>
    <row r="4" spans="1:17" ht="45.75" hidden="1" x14ac:dyDescent="0.2">
      <c r="A4" s="200"/>
      <c r="B4" s="200"/>
      <c r="C4" s="200"/>
      <c r="D4" s="200"/>
      <c r="E4" s="201"/>
      <c r="F4" s="199"/>
      <c r="G4" s="201"/>
      <c r="H4" s="201"/>
      <c r="I4" s="200"/>
      <c r="J4" s="199"/>
    </row>
    <row r="5" spans="1:17" ht="45" x14ac:dyDescent="0.2">
      <c r="A5" s="641" t="s">
        <v>762</v>
      </c>
      <c r="B5" s="641"/>
      <c r="C5" s="641"/>
      <c r="D5" s="641"/>
      <c r="E5" s="641"/>
      <c r="F5" s="641"/>
      <c r="G5" s="641"/>
      <c r="H5" s="641"/>
      <c r="I5" s="641"/>
      <c r="J5" s="641"/>
    </row>
    <row r="6" spans="1:17" s="278" customFormat="1" ht="45" x14ac:dyDescent="0.2">
      <c r="A6" s="641" t="s">
        <v>763</v>
      </c>
      <c r="B6" s="641"/>
      <c r="C6" s="641"/>
      <c r="D6" s="641"/>
      <c r="E6" s="641"/>
      <c r="F6" s="641"/>
      <c r="G6" s="641"/>
      <c r="H6" s="641"/>
      <c r="I6" s="641"/>
      <c r="J6" s="641"/>
      <c r="K6" s="370"/>
      <c r="L6" s="370"/>
      <c r="M6" s="370"/>
      <c r="N6" s="370"/>
      <c r="O6" s="370"/>
      <c r="P6" s="370"/>
      <c r="Q6" s="370"/>
    </row>
    <row r="7" spans="1:17" ht="45" x14ac:dyDescent="0.2">
      <c r="A7" s="201"/>
      <c r="B7" s="201"/>
      <c r="C7" s="201"/>
      <c r="D7" s="201"/>
      <c r="E7" s="201"/>
      <c r="F7" s="201"/>
      <c r="G7" s="201"/>
      <c r="H7" s="201"/>
      <c r="I7" s="201"/>
      <c r="J7" s="201"/>
    </row>
    <row r="8" spans="1:17" ht="45" x14ac:dyDescent="0.2">
      <c r="A8" s="641"/>
      <c r="B8" s="641"/>
      <c r="C8" s="641"/>
      <c r="D8" s="641"/>
      <c r="E8" s="641"/>
      <c r="F8" s="641"/>
      <c r="G8" s="641"/>
      <c r="H8" s="641"/>
      <c r="I8" s="641"/>
      <c r="J8" s="641"/>
    </row>
    <row r="9" spans="1:17" ht="45.75" x14ac:dyDescent="0.65">
      <c r="A9" s="642">
        <v>22564000000</v>
      </c>
      <c r="B9" s="643"/>
      <c r="C9" s="607"/>
      <c r="D9" s="607"/>
      <c r="E9" s="607"/>
      <c r="F9" s="607"/>
      <c r="G9" s="607"/>
      <c r="H9" s="607"/>
      <c r="I9" s="607"/>
      <c r="J9" s="607"/>
    </row>
    <row r="10" spans="1:17" ht="45.75" x14ac:dyDescent="0.2">
      <c r="A10" s="633" t="s">
        <v>568</v>
      </c>
      <c r="B10" s="634"/>
      <c r="C10" s="607"/>
      <c r="D10" s="607"/>
      <c r="E10" s="607"/>
      <c r="F10" s="607"/>
      <c r="G10" s="607"/>
      <c r="H10" s="607"/>
      <c r="I10" s="607"/>
      <c r="J10" s="607"/>
    </row>
    <row r="11" spans="1:17" ht="53.45" customHeight="1" thickBot="1" x14ac:dyDescent="0.25">
      <c r="A11" s="201"/>
      <c r="B11" s="201"/>
      <c r="C11" s="201"/>
      <c r="D11" s="201"/>
      <c r="E11" s="201"/>
      <c r="F11" s="199"/>
      <c r="G11" s="201"/>
      <c r="H11" s="201"/>
      <c r="I11" s="201"/>
      <c r="J11" s="6" t="s">
        <v>454</v>
      </c>
    </row>
    <row r="12" spans="1:17" ht="104.25" customHeight="1" thickTop="1" thickBot="1" x14ac:dyDescent="0.25">
      <c r="A12" s="632" t="s">
        <v>569</v>
      </c>
      <c r="B12" s="632" t="s">
        <v>570</v>
      </c>
      <c r="C12" s="632" t="s">
        <v>440</v>
      </c>
      <c r="D12" s="632" t="s">
        <v>764</v>
      </c>
      <c r="E12" s="632" t="s">
        <v>573</v>
      </c>
      <c r="F12" s="632" t="s">
        <v>574</v>
      </c>
      <c r="G12" s="632" t="s">
        <v>433</v>
      </c>
      <c r="H12" s="632" t="s">
        <v>12</v>
      </c>
      <c r="I12" s="635" t="s">
        <v>59</v>
      </c>
      <c r="J12" s="644"/>
    </row>
    <row r="13" spans="1:17" ht="406.5" customHeight="1" thickTop="1" thickBot="1" x14ac:dyDescent="0.25">
      <c r="A13" s="635"/>
      <c r="B13" s="636"/>
      <c r="C13" s="636"/>
      <c r="D13" s="635"/>
      <c r="E13" s="635"/>
      <c r="F13" s="635"/>
      <c r="G13" s="635"/>
      <c r="H13" s="635"/>
      <c r="I13" s="348" t="s">
        <v>434</v>
      </c>
      <c r="J13" s="348" t="s">
        <v>435</v>
      </c>
    </row>
    <row r="14" spans="1:17" s="2" customFormat="1" ht="46.5" thickTop="1" thickBot="1" x14ac:dyDescent="0.25">
      <c r="A14" s="349" t="s">
        <v>2</v>
      </c>
      <c r="B14" s="349" t="s">
        <v>3</v>
      </c>
      <c r="C14" s="349" t="s">
        <v>14</v>
      </c>
      <c r="D14" s="349" t="s">
        <v>5</v>
      </c>
      <c r="E14" s="349" t="s">
        <v>442</v>
      </c>
      <c r="F14" s="349" t="s">
        <v>443</v>
      </c>
      <c r="G14" s="349" t="s">
        <v>444</v>
      </c>
      <c r="H14" s="349" t="s">
        <v>445</v>
      </c>
      <c r="I14" s="349" t="s">
        <v>446</v>
      </c>
      <c r="J14" s="349" t="s">
        <v>447</v>
      </c>
      <c r="K14" s="373"/>
      <c r="L14" s="373"/>
      <c r="M14" s="373"/>
      <c r="N14" s="373"/>
      <c r="O14" s="373"/>
      <c r="P14" s="373"/>
      <c r="Q14" s="373"/>
    </row>
    <row r="15" spans="1:17" s="2" customFormat="1" ht="148.69999999999999" customHeight="1" thickTop="1" thickBot="1" x14ac:dyDescent="0.25">
      <c r="A15" s="435" t="s">
        <v>170</v>
      </c>
      <c r="B15" s="435"/>
      <c r="C15" s="435"/>
      <c r="D15" s="436" t="s">
        <v>172</v>
      </c>
      <c r="E15" s="437"/>
      <c r="F15" s="438"/>
      <c r="G15" s="438">
        <f>G16</f>
        <v>21204450</v>
      </c>
      <c r="H15" s="438">
        <f t="shared" ref="H15:J15" si="0">H16</f>
        <v>14641750</v>
      </c>
      <c r="I15" s="437">
        <f>I16</f>
        <v>6562700</v>
      </c>
      <c r="J15" s="437">
        <f t="shared" si="0"/>
        <v>3063500</v>
      </c>
      <c r="K15" s="427" t="b">
        <f>H15='d3'!E17-'d3'!E18-'d3'!E19+'d7'!H17+'d7'!H18</f>
        <v>1</v>
      </c>
      <c r="L15" s="427" t="b">
        <f>I16='d3'!J17-'d3'!J18-'d3'!J19+'d7'!I17+'d7'!I18</f>
        <v>1</v>
      </c>
      <c r="M15" s="427" t="b">
        <f>J16='d3'!K17-'d3'!K18-'d3'!K19+'d7'!J17+'d7'!J18</f>
        <v>1</v>
      </c>
      <c r="N15" s="373"/>
      <c r="O15" s="373"/>
      <c r="P15" s="373"/>
      <c r="Q15" s="373"/>
    </row>
    <row r="16" spans="1:17" s="2" customFormat="1" ht="157.69999999999999" customHeight="1" thickTop="1" thickBot="1" x14ac:dyDescent="0.25">
      <c r="A16" s="439" t="s">
        <v>171</v>
      </c>
      <c r="B16" s="439"/>
      <c r="C16" s="439"/>
      <c r="D16" s="440" t="s">
        <v>173</v>
      </c>
      <c r="E16" s="441"/>
      <c r="F16" s="441"/>
      <c r="G16" s="441">
        <f>SUM(G17:G30)</f>
        <v>21204450</v>
      </c>
      <c r="H16" s="441">
        <f>SUM(H17:H30)</f>
        <v>14641750</v>
      </c>
      <c r="I16" s="441">
        <f>SUM(I17:I29)</f>
        <v>6562700</v>
      </c>
      <c r="J16" s="441">
        <f>SUM(J17:J30)</f>
        <v>3063500</v>
      </c>
      <c r="K16" s="373"/>
      <c r="L16" s="373"/>
      <c r="M16" s="373"/>
      <c r="N16" s="373"/>
      <c r="O16" s="373"/>
      <c r="P16" s="373"/>
      <c r="Q16" s="373"/>
    </row>
    <row r="17" spans="1:17" ht="321.75" thickTop="1" thickBot="1" x14ac:dyDescent="0.25">
      <c r="A17" s="421" t="s">
        <v>262</v>
      </c>
      <c r="B17" s="421" t="s">
        <v>263</v>
      </c>
      <c r="C17" s="421" t="s">
        <v>264</v>
      </c>
      <c r="D17" s="421" t="s">
        <v>261</v>
      </c>
      <c r="E17" s="422" t="s">
        <v>778</v>
      </c>
      <c r="F17" s="423"/>
      <c r="G17" s="423">
        <f t="shared" ref="G17:G24" si="1">H17+I17</f>
        <v>945000</v>
      </c>
      <c r="H17" s="424"/>
      <c r="I17" s="423">
        <f>300000+300000+330000+15000</f>
        <v>945000</v>
      </c>
      <c r="J17" s="423">
        <f>300000+300000+330000+15000</f>
        <v>945000</v>
      </c>
      <c r="K17" s="414"/>
      <c r="L17" s="427" t="b">
        <f>I17+I18='d3'!J18</f>
        <v>1</v>
      </c>
      <c r="M17" s="427" t="b">
        <f>J17+J18='d3'!K18</f>
        <v>1</v>
      </c>
    </row>
    <row r="18" spans="1:17" s="289" customFormat="1" ht="367.5" thickTop="1" thickBot="1" x14ac:dyDescent="0.25">
      <c r="A18" s="421" t="s">
        <v>262</v>
      </c>
      <c r="B18" s="421" t="s">
        <v>263</v>
      </c>
      <c r="C18" s="421" t="s">
        <v>264</v>
      </c>
      <c r="D18" s="421" t="s">
        <v>261</v>
      </c>
      <c r="E18" s="422" t="s">
        <v>838</v>
      </c>
      <c r="F18" s="423"/>
      <c r="G18" s="423">
        <f t="shared" si="1"/>
        <v>638500</v>
      </c>
      <c r="H18" s="424">
        <v>20000</v>
      </c>
      <c r="I18" s="423">
        <v>618500</v>
      </c>
      <c r="J18" s="423">
        <v>618500</v>
      </c>
      <c r="K18" s="415"/>
      <c r="L18" s="416"/>
      <c r="M18" s="370"/>
      <c r="N18" s="370"/>
      <c r="O18" s="370"/>
      <c r="P18" s="370"/>
      <c r="Q18" s="370"/>
    </row>
    <row r="19" spans="1:17" ht="184.5" thickTop="1" thickBot="1" x14ac:dyDescent="0.25">
      <c r="A19" s="520" t="s">
        <v>277</v>
      </c>
      <c r="B19" s="520" t="s">
        <v>47</v>
      </c>
      <c r="C19" s="520" t="s">
        <v>46</v>
      </c>
      <c r="D19" s="520" t="s">
        <v>278</v>
      </c>
      <c r="E19" s="341" t="s">
        <v>779</v>
      </c>
      <c r="F19" s="525"/>
      <c r="G19" s="519">
        <f t="shared" si="1"/>
        <v>1500000</v>
      </c>
      <c r="H19" s="523">
        <v>1500000</v>
      </c>
      <c r="I19" s="519"/>
      <c r="J19" s="519"/>
      <c r="K19" s="695" t="b">
        <f>H19+H20+H21='d3'!E20</f>
        <v>1</v>
      </c>
      <c r="L19" s="695"/>
      <c r="M19" s="695"/>
    </row>
    <row r="20" spans="1:17" ht="184.5" customHeight="1" thickTop="1" thickBot="1" x14ac:dyDescent="0.25">
      <c r="A20" s="520" t="s">
        <v>277</v>
      </c>
      <c r="B20" s="520" t="s">
        <v>47</v>
      </c>
      <c r="C20" s="520" t="s">
        <v>46</v>
      </c>
      <c r="D20" s="520" t="s">
        <v>278</v>
      </c>
      <c r="E20" s="341" t="s">
        <v>751</v>
      </c>
      <c r="F20" s="525"/>
      <c r="G20" s="519">
        <f t="shared" si="1"/>
        <v>1610750</v>
      </c>
      <c r="H20" s="523">
        <f>(20000+41000+1549750)</f>
        <v>1610750</v>
      </c>
      <c r="I20" s="519"/>
      <c r="J20" s="519"/>
      <c r="K20" s="696"/>
      <c r="L20" s="696"/>
      <c r="M20" s="696"/>
    </row>
    <row r="21" spans="1:17" ht="367.5" customHeight="1" thickTop="1" thickBot="1" x14ac:dyDescent="0.25">
      <c r="A21" s="520" t="s">
        <v>277</v>
      </c>
      <c r="B21" s="520" t="s">
        <v>47</v>
      </c>
      <c r="C21" s="520" t="s">
        <v>46</v>
      </c>
      <c r="D21" s="520" t="s">
        <v>278</v>
      </c>
      <c r="E21" s="341" t="s">
        <v>780</v>
      </c>
      <c r="F21" s="525"/>
      <c r="G21" s="519">
        <f t="shared" si="1"/>
        <v>49000</v>
      </c>
      <c r="H21" s="523">
        <v>49000</v>
      </c>
      <c r="I21" s="519"/>
      <c r="J21" s="519"/>
      <c r="K21" s="696"/>
      <c r="L21" s="696"/>
      <c r="M21" s="696"/>
    </row>
    <row r="22" spans="1:17" ht="93" thickTop="1" thickBot="1" x14ac:dyDescent="0.25">
      <c r="A22" s="520" t="s">
        <v>268</v>
      </c>
      <c r="B22" s="520" t="s">
        <v>269</v>
      </c>
      <c r="C22" s="520" t="s">
        <v>270</v>
      </c>
      <c r="D22" s="520" t="s">
        <v>267</v>
      </c>
      <c r="E22" s="341" t="s">
        <v>778</v>
      </c>
      <c r="F22" s="519"/>
      <c r="G22" s="519">
        <f t="shared" si="1"/>
        <v>5892400</v>
      </c>
      <c r="H22" s="519">
        <f>'d3'!E21</f>
        <v>4392400</v>
      </c>
      <c r="I22" s="519">
        <f>'d3'!J21</f>
        <v>1500000</v>
      </c>
      <c r="J22" s="519">
        <f>'d3'!K21</f>
        <v>1500000</v>
      </c>
      <c r="K22" s="427" t="b">
        <f>H22='d3'!E21</f>
        <v>1</v>
      </c>
      <c r="L22" s="428" t="b">
        <f>I22='d3'!J21</f>
        <v>1</v>
      </c>
      <c r="M22" s="429" t="b">
        <f>J22='d3'!K21</f>
        <v>1</v>
      </c>
    </row>
    <row r="23" spans="1:17" ht="230.25" thickTop="1" thickBot="1" x14ac:dyDescent="0.25">
      <c r="A23" s="521" t="s">
        <v>330</v>
      </c>
      <c r="B23" s="521" t="s">
        <v>331</v>
      </c>
      <c r="C23" s="521" t="s">
        <v>192</v>
      </c>
      <c r="D23" s="521" t="s">
        <v>502</v>
      </c>
      <c r="E23" s="341" t="s">
        <v>751</v>
      </c>
      <c r="F23" s="519"/>
      <c r="G23" s="519">
        <f t="shared" si="1"/>
        <v>290200</v>
      </c>
      <c r="H23" s="519">
        <f>'d3'!E22</f>
        <v>290200</v>
      </c>
      <c r="I23" s="519">
        <f>'d3'!J22</f>
        <v>0</v>
      </c>
      <c r="J23" s="519">
        <f>'d3'!K22</f>
        <v>0</v>
      </c>
      <c r="K23" s="427" t="b">
        <f>H23='d3'!E22</f>
        <v>1</v>
      </c>
      <c r="L23" s="428" t="b">
        <f>I23='d3'!J22</f>
        <v>1</v>
      </c>
      <c r="M23" s="429" t="b">
        <f>J23='d3'!K22</f>
        <v>1</v>
      </c>
    </row>
    <row r="24" spans="1:17" ht="409.6" thickTop="1" thickBot="1" x14ac:dyDescent="0.7">
      <c r="A24" s="615" t="s">
        <v>382</v>
      </c>
      <c r="B24" s="615" t="s">
        <v>381</v>
      </c>
      <c r="C24" s="615" t="s">
        <v>192</v>
      </c>
      <c r="D24" s="432" t="s">
        <v>500</v>
      </c>
      <c r="E24" s="688" t="s">
        <v>751</v>
      </c>
      <c r="F24" s="688"/>
      <c r="G24" s="697">
        <f t="shared" si="1"/>
        <v>3499200</v>
      </c>
      <c r="H24" s="697">
        <f>'d3'!E23</f>
        <v>0</v>
      </c>
      <c r="I24" s="697">
        <f>'d3'!J23</f>
        <v>3499200</v>
      </c>
      <c r="J24" s="697">
        <f>'d3'!K23</f>
        <v>0</v>
      </c>
      <c r="K24" s="427" t="b">
        <f>H24='d3'!E23</f>
        <v>1</v>
      </c>
      <c r="L24" s="428" t="b">
        <f>I24='d3'!J23</f>
        <v>1</v>
      </c>
      <c r="M24" s="429" t="b">
        <f>J24='d3'!K23</f>
        <v>1</v>
      </c>
    </row>
    <row r="25" spans="1:17" ht="184.5" thickTop="1" thickBot="1" x14ac:dyDescent="0.25">
      <c r="A25" s="617"/>
      <c r="B25" s="617"/>
      <c r="C25" s="617"/>
      <c r="D25" s="434" t="s">
        <v>501</v>
      </c>
      <c r="E25" s="689"/>
      <c r="F25" s="689"/>
      <c r="G25" s="689"/>
      <c r="H25" s="689"/>
      <c r="I25" s="689"/>
      <c r="J25" s="689"/>
      <c r="K25" s="136"/>
      <c r="L25" s="136"/>
      <c r="M25" s="136"/>
    </row>
    <row r="26" spans="1:17" ht="276" hidden="1" thickTop="1" thickBot="1" x14ac:dyDescent="0.25">
      <c r="A26" s="368" t="s">
        <v>594</v>
      </c>
      <c r="B26" s="368" t="s">
        <v>287</v>
      </c>
      <c r="C26" s="368" t="s">
        <v>192</v>
      </c>
      <c r="D26" s="368" t="s">
        <v>285</v>
      </c>
      <c r="E26" s="288" t="s">
        <v>509</v>
      </c>
      <c r="F26" s="250" t="s">
        <v>481</v>
      </c>
      <c r="G26" s="251">
        <f>H26+I26</f>
        <v>0</v>
      </c>
      <c r="H26" s="251">
        <f>'d3'!E25</f>
        <v>0</v>
      </c>
      <c r="I26" s="251">
        <f>'d3'!J25</f>
        <v>0</v>
      </c>
      <c r="J26" s="251">
        <f>'d3'!K25</f>
        <v>0</v>
      </c>
      <c r="K26" s="414" t="b">
        <f>H26='d3'!E25</f>
        <v>1</v>
      </c>
      <c r="L26" s="417" t="b">
        <f>I26='d3'!J25</f>
        <v>1</v>
      </c>
      <c r="M26" s="418" t="b">
        <f>J26='d3'!K25</f>
        <v>1</v>
      </c>
    </row>
    <row r="27" spans="1:17" ht="255.75" customHeight="1" thickTop="1" thickBot="1" x14ac:dyDescent="0.25">
      <c r="A27" s="520" t="s">
        <v>271</v>
      </c>
      <c r="B27" s="520" t="s">
        <v>272</v>
      </c>
      <c r="C27" s="520" t="s">
        <v>273</v>
      </c>
      <c r="D27" s="520" t="s">
        <v>274</v>
      </c>
      <c r="E27" s="519" t="s">
        <v>781</v>
      </c>
      <c r="F27" s="519"/>
      <c r="G27" s="519">
        <f>H27+I27</f>
        <v>6359300</v>
      </c>
      <c r="H27" s="519">
        <f>'d3'!E26</f>
        <v>6359300</v>
      </c>
      <c r="I27" s="519">
        <f>'d3'!J26</f>
        <v>0</v>
      </c>
      <c r="J27" s="519">
        <f>'d3'!K26</f>
        <v>0</v>
      </c>
      <c r="K27" s="427" t="b">
        <f>H27='d3'!E26</f>
        <v>1</v>
      </c>
      <c r="L27" s="428" t="b">
        <f>I27='d3'!J26</f>
        <v>1</v>
      </c>
      <c r="M27" s="429" t="b">
        <f>J27='d3'!K26</f>
        <v>1</v>
      </c>
    </row>
    <row r="28" spans="1:17" ht="276" thickTop="1" thickBot="1" x14ac:dyDescent="0.25">
      <c r="A28" s="520" t="s">
        <v>275</v>
      </c>
      <c r="B28" s="520" t="s">
        <v>276</v>
      </c>
      <c r="C28" s="520" t="s">
        <v>47</v>
      </c>
      <c r="D28" s="520" t="s">
        <v>503</v>
      </c>
      <c r="E28" s="341" t="s">
        <v>751</v>
      </c>
      <c r="F28" s="525"/>
      <c r="G28" s="519">
        <f>H28+I28</f>
        <v>300000</v>
      </c>
      <c r="H28" s="523">
        <f>'d3'!E27</f>
        <v>300000</v>
      </c>
      <c r="I28" s="519">
        <f>'d3'!J27</f>
        <v>0</v>
      </c>
      <c r="J28" s="519">
        <f>'d3'!K27</f>
        <v>0</v>
      </c>
      <c r="K28" s="427" t="b">
        <f>H28='d3'!E27</f>
        <v>1</v>
      </c>
      <c r="L28" s="428" t="b">
        <f>I28='d3'!J27</f>
        <v>1</v>
      </c>
      <c r="M28" s="429" t="b">
        <f>J28='d3'!K27</f>
        <v>1</v>
      </c>
    </row>
    <row r="29" spans="1:17" s="367" customFormat="1" ht="230.25" thickTop="1" thickBot="1" x14ac:dyDescent="0.25">
      <c r="A29" s="521" t="s">
        <v>782</v>
      </c>
      <c r="B29" s="521" t="s">
        <v>411</v>
      </c>
      <c r="C29" s="521" t="s">
        <v>47</v>
      </c>
      <c r="D29" s="521" t="s">
        <v>412</v>
      </c>
      <c r="E29" s="341" t="s">
        <v>751</v>
      </c>
      <c r="F29" s="525"/>
      <c r="G29" s="519">
        <f>H29+I29</f>
        <v>120100</v>
      </c>
      <c r="H29" s="523">
        <f>'d3'!E28</f>
        <v>120100</v>
      </c>
      <c r="I29" s="519">
        <f>'d3'!J28</f>
        <v>0</v>
      </c>
      <c r="J29" s="519">
        <f>'d3'!K28</f>
        <v>0</v>
      </c>
      <c r="K29" s="427" t="b">
        <f>H29='d3'!E28</f>
        <v>1</v>
      </c>
      <c r="L29" s="428" t="b">
        <f>I29='d3'!J28</f>
        <v>1</v>
      </c>
      <c r="M29" s="429" t="b">
        <f>J29='d3'!K28</f>
        <v>1</v>
      </c>
      <c r="N29" s="402"/>
      <c r="O29" s="402"/>
      <c r="P29" s="402"/>
      <c r="Q29" s="402"/>
    </row>
    <row r="30" spans="1:17" ht="367.5" hidden="1" thickTop="1" thickBot="1" x14ac:dyDescent="0.25">
      <c r="A30" s="368" t="s">
        <v>595</v>
      </c>
      <c r="B30" s="368" t="s">
        <v>596</v>
      </c>
      <c r="C30" s="368" t="s">
        <v>47</v>
      </c>
      <c r="D30" s="368" t="s">
        <v>597</v>
      </c>
      <c r="E30" s="288" t="s">
        <v>599</v>
      </c>
      <c r="F30" s="252" t="s">
        <v>598</v>
      </c>
      <c r="G30" s="288">
        <f t="shared" ref="G30" si="2">H30+I30</f>
        <v>0</v>
      </c>
      <c r="H30" s="288"/>
      <c r="I30" s="288">
        <v>0</v>
      </c>
      <c r="J30" s="288">
        <v>0</v>
      </c>
      <c r="K30" s="414"/>
      <c r="L30" s="417"/>
      <c r="M30" s="418"/>
    </row>
    <row r="31" spans="1:17" ht="169.5" customHeight="1" thickTop="1" thickBot="1" x14ac:dyDescent="0.25">
      <c r="A31" s="435" t="s">
        <v>174</v>
      </c>
      <c r="B31" s="435"/>
      <c r="C31" s="435"/>
      <c r="D31" s="436" t="s">
        <v>0</v>
      </c>
      <c r="E31" s="437"/>
      <c r="F31" s="438"/>
      <c r="G31" s="438">
        <f>G32</f>
        <v>1741797541</v>
      </c>
      <c r="H31" s="438">
        <f t="shared" ref="H31:J31" si="3">H32</f>
        <v>1576353602</v>
      </c>
      <c r="I31" s="437">
        <f t="shared" si="3"/>
        <v>165443939</v>
      </c>
      <c r="J31" s="437">
        <f t="shared" si="3"/>
        <v>21641699</v>
      </c>
      <c r="K31" s="427" t="b">
        <f>H31='d3'!E30</f>
        <v>1</v>
      </c>
      <c r="L31" s="428" t="b">
        <f>I31='d3'!J30</f>
        <v>1</v>
      </c>
      <c r="M31" s="429" t="b">
        <f>J31='d3'!K29</f>
        <v>1</v>
      </c>
    </row>
    <row r="32" spans="1:17" ht="172.5" customHeight="1" thickTop="1" thickBot="1" x14ac:dyDescent="0.25">
      <c r="A32" s="439" t="s">
        <v>175</v>
      </c>
      <c r="B32" s="439"/>
      <c r="C32" s="439"/>
      <c r="D32" s="440" t="s">
        <v>1</v>
      </c>
      <c r="E32" s="441"/>
      <c r="F32" s="441"/>
      <c r="G32" s="441">
        <f>SUM(G33:G46)</f>
        <v>1741797541</v>
      </c>
      <c r="H32" s="441">
        <f>SUM(H33:H46)</f>
        <v>1576353602</v>
      </c>
      <c r="I32" s="441">
        <f>SUM(I33:I46)</f>
        <v>165443939</v>
      </c>
      <c r="J32" s="441">
        <f>SUM(J33:J46)</f>
        <v>21641699</v>
      </c>
    </row>
    <row r="33" spans="1:17" ht="230.25" thickTop="1" thickBot="1" x14ac:dyDescent="0.25">
      <c r="A33" s="520" t="s">
        <v>226</v>
      </c>
      <c r="B33" s="520" t="s">
        <v>227</v>
      </c>
      <c r="C33" s="520" t="s">
        <v>229</v>
      </c>
      <c r="D33" s="520" t="s">
        <v>230</v>
      </c>
      <c r="E33" s="341" t="s">
        <v>797</v>
      </c>
      <c r="F33" s="519" t="s">
        <v>462</v>
      </c>
      <c r="G33" s="519">
        <f t="shared" ref="G33:G42" si="4">H33+I33</f>
        <v>513807519</v>
      </c>
      <c r="H33" s="519">
        <f>'d3'!E31-H34</f>
        <v>446046827</v>
      </c>
      <c r="I33" s="519">
        <f>'d3'!J31-I34</f>
        <v>67760692</v>
      </c>
      <c r="J33" s="519">
        <f>'d3'!K31-J34</f>
        <v>6102122</v>
      </c>
    </row>
    <row r="34" spans="1:17" s="425" customFormat="1" ht="230.25" thickTop="1" thickBot="1" x14ac:dyDescent="0.25">
      <c r="A34" s="520" t="s">
        <v>226</v>
      </c>
      <c r="B34" s="520" t="s">
        <v>227</v>
      </c>
      <c r="C34" s="520" t="s">
        <v>229</v>
      </c>
      <c r="D34" s="520" t="s">
        <v>230</v>
      </c>
      <c r="E34" s="341" t="s">
        <v>512</v>
      </c>
      <c r="F34" s="525" t="s">
        <v>513</v>
      </c>
      <c r="G34" s="519">
        <f>H34+I34</f>
        <v>590000</v>
      </c>
      <c r="H34" s="519">
        <f>(37683.94+102316.06+90274+29393+150000+101020+33980)</f>
        <v>544667</v>
      </c>
      <c r="I34" s="519">
        <f>(30333+15000)</f>
        <v>45333</v>
      </c>
      <c r="J34" s="519">
        <f>(30333+15000)</f>
        <v>45333</v>
      </c>
      <c r="K34" s="426"/>
      <c r="L34" s="426"/>
      <c r="M34" s="426"/>
      <c r="N34" s="426"/>
      <c r="O34" s="426"/>
      <c r="P34" s="426"/>
      <c r="Q34" s="426"/>
    </row>
    <row r="35" spans="1:17" ht="230.25" thickTop="1" thickBot="1" x14ac:dyDescent="0.25">
      <c r="A35" s="520" t="s">
        <v>231</v>
      </c>
      <c r="B35" s="520" t="s">
        <v>228</v>
      </c>
      <c r="C35" s="520" t="s">
        <v>232</v>
      </c>
      <c r="D35" s="520" t="s">
        <v>576</v>
      </c>
      <c r="E35" s="341" t="s">
        <v>797</v>
      </c>
      <c r="F35" s="519" t="s">
        <v>462</v>
      </c>
      <c r="G35" s="519">
        <f t="shared" si="4"/>
        <v>981904516</v>
      </c>
      <c r="H35" s="519">
        <f>'d3'!E32-H36-H37</f>
        <v>912467422</v>
      </c>
      <c r="I35" s="519">
        <f>'d3'!J32-I36-I37</f>
        <v>69437094</v>
      </c>
      <c r="J35" s="519">
        <f>'d3'!K32-J36-J37</f>
        <v>13992894</v>
      </c>
    </row>
    <row r="36" spans="1:17" ht="230.25" thickTop="1" thickBot="1" x14ac:dyDescent="0.25">
      <c r="A36" s="520" t="s">
        <v>231</v>
      </c>
      <c r="B36" s="520" t="s">
        <v>228</v>
      </c>
      <c r="C36" s="520" t="s">
        <v>232</v>
      </c>
      <c r="D36" s="520" t="s">
        <v>576</v>
      </c>
      <c r="E36" s="341" t="s">
        <v>798</v>
      </c>
      <c r="F36" s="519" t="s">
        <v>458</v>
      </c>
      <c r="G36" s="519">
        <f t="shared" si="4"/>
        <v>7730217</v>
      </c>
      <c r="H36" s="519">
        <v>7730217</v>
      </c>
      <c r="I36" s="519">
        <v>0</v>
      </c>
      <c r="J36" s="519">
        <v>0</v>
      </c>
      <c r="K36" s="341" t="s">
        <v>757</v>
      </c>
    </row>
    <row r="37" spans="1:17" ht="230.25" thickTop="1" thickBot="1" x14ac:dyDescent="0.25">
      <c r="A37" s="520" t="s">
        <v>231</v>
      </c>
      <c r="B37" s="520" t="s">
        <v>228</v>
      </c>
      <c r="C37" s="520" t="s">
        <v>232</v>
      </c>
      <c r="D37" s="520" t="s">
        <v>576</v>
      </c>
      <c r="E37" s="341" t="s">
        <v>512</v>
      </c>
      <c r="F37" s="525" t="s">
        <v>513</v>
      </c>
      <c r="G37" s="519">
        <f>H37+I37</f>
        <v>150000</v>
      </c>
      <c r="H37" s="519">
        <f>(45200+12350)</f>
        <v>57550</v>
      </c>
      <c r="I37" s="519">
        <f>92450</f>
        <v>92450</v>
      </c>
      <c r="J37" s="519">
        <v>92450</v>
      </c>
    </row>
    <row r="38" spans="1:17" ht="276" thickTop="1" thickBot="1" x14ac:dyDescent="0.25">
      <c r="A38" s="520" t="s">
        <v>578</v>
      </c>
      <c r="B38" s="520" t="s">
        <v>233</v>
      </c>
      <c r="C38" s="520" t="s">
        <v>235</v>
      </c>
      <c r="D38" s="520" t="s">
        <v>577</v>
      </c>
      <c r="E38" s="341" t="s">
        <v>797</v>
      </c>
      <c r="F38" s="519" t="s">
        <v>462</v>
      </c>
      <c r="G38" s="519">
        <f t="shared" si="4"/>
        <v>21704341</v>
      </c>
      <c r="H38" s="519">
        <f>'d3'!E33-H39</f>
        <v>21004586</v>
      </c>
      <c r="I38" s="519">
        <f>'d3'!J33-I39</f>
        <v>699755</v>
      </c>
      <c r="J38" s="519">
        <f>'d3'!K33-J39</f>
        <v>647855</v>
      </c>
    </row>
    <row r="39" spans="1:17" ht="276" thickTop="1" thickBot="1" x14ac:dyDescent="0.25">
      <c r="A39" s="520" t="s">
        <v>578</v>
      </c>
      <c r="B39" s="520" t="s">
        <v>233</v>
      </c>
      <c r="C39" s="520" t="s">
        <v>235</v>
      </c>
      <c r="D39" s="520" t="s">
        <v>577</v>
      </c>
      <c r="E39" s="341" t="s">
        <v>798</v>
      </c>
      <c r="F39" s="519" t="s">
        <v>458</v>
      </c>
      <c r="G39" s="519">
        <f t="shared" si="4"/>
        <v>2866404</v>
      </c>
      <c r="H39" s="519">
        <v>2866404</v>
      </c>
      <c r="I39" s="519"/>
      <c r="J39" s="519"/>
      <c r="K39" s="341" t="s">
        <v>758</v>
      </c>
    </row>
    <row r="40" spans="1:17" ht="230.25" thickTop="1" thickBot="1" x14ac:dyDescent="0.25">
      <c r="A40" s="520" t="s">
        <v>236</v>
      </c>
      <c r="B40" s="520" t="s">
        <v>219</v>
      </c>
      <c r="C40" s="520" t="s">
        <v>208</v>
      </c>
      <c r="D40" s="520" t="s">
        <v>579</v>
      </c>
      <c r="E40" s="341" t="s">
        <v>797</v>
      </c>
      <c r="F40" s="519" t="s">
        <v>462</v>
      </c>
      <c r="G40" s="519">
        <f t="shared" si="4"/>
        <v>36729303</v>
      </c>
      <c r="H40" s="519">
        <f>'d3'!E34</f>
        <v>30368708</v>
      </c>
      <c r="I40" s="519">
        <f>'d3'!J34</f>
        <v>6360595</v>
      </c>
      <c r="J40" s="519">
        <f>'d3'!K34</f>
        <v>761045</v>
      </c>
    </row>
    <row r="41" spans="1:17" ht="230.25" thickTop="1" thickBot="1" x14ac:dyDescent="0.25">
      <c r="A41" s="520" t="s">
        <v>237</v>
      </c>
      <c r="B41" s="520" t="s">
        <v>238</v>
      </c>
      <c r="C41" s="520" t="s">
        <v>239</v>
      </c>
      <c r="D41" s="520" t="s">
        <v>581</v>
      </c>
      <c r="E41" s="341" t="s">
        <v>797</v>
      </c>
      <c r="F41" s="519" t="s">
        <v>462</v>
      </c>
      <c r="G41" s="519">
        <f t="shared" si="4"/>
        <v>137554106</v>
      </c>
      <c r="H41" s="519">
        <f>'d3'!E35</f>
        <v>116920686</v>
      </c>
      <c r="I41" s="519">
        <f>'d3'!J35</f>
        <v>20633420</v>
      </c>
      <c r="J41" s="519">
        <f>'d3'!K35</f>
        <v>0</v>
      </c>
    </row>
    <row r="42" spans="1:17" ht="175.7" customHeight="1" thickTop="1" thickBot="1" x14ac:dyDescent="0.25">
      <c r="A42" s="520" t="s">
        <v>358</v>
      </c>
      <c r="B42" s="520" t="s">
        <v>359</v>
      </c>
      <c r="C42" s="520" t="s">
        <v>240</v>
      </c>
      <c r="D42" s="520" t="s">
        <v>582</v>
      </c>
      <c r="E42" s="341" t="s">
        <v>797</v>
      </c>
      <c r="F42" s="519" t="s">
        <v>462</v>
      </c>
      <c r="G42" s="519">
        <f t="shared" si="4"/>
        <v>30954650</v>
      </c>
      <c r="H42" s="519">
        <f>'d3'!E36</f>
        <v>30540050</v>
      </c>
      <c r="I42" s="519">
        <f>'d3'!J36</f>
        <v>414600</v>
      </c>
      <c r="J42" s="519">
        <f>'d3'!K36</f>
        <v>0</v>
      </c>
    </row>
    <row r="43" spans="1:17" ht="172.5" customHeight="1" thickTop="1" thickBot="1" x14ac:dyDescent="0.25">
      <c r="A43" s="520" t="s">
        <v>379</v>
      </c>
      <c r="B43" s="520" t="s">
        <v>380</v>
      </c>
      <c r="C43" s="520" t="s">
        <v>240</v>
      </c>
      <c r="D43" s="520" t="s">
        <v>378</v>
      </c>
      <c r="E43" s="341" t="s">
        <v>797</v>
      </c>
      <c r="F43" s="519" t="s">
        <v>462</v>
      </c>
      <c r="G43" s="519">
        <f>H43+I43</f>
        <v>167420</v>
      </c>
      <c r="H43" s="519">
        <f>'d3'!E37-H44</f>
        <v>167420</v>
      </c>
      <c r="I43" s="519">
        <f>'d3'!J37-I44</f>
        <v>0</v>
      </c>
      <c r="J43" s="519">
        <f>'d3'!K37-J44</f>
        <v>0</v>
      </c>
    </row>
    <row r="44" spans="1:17" ht="230.25" thickTop="1" thickBot="1" x14ac:dyDescent="0.25">
      <c r="A44" s="520" t="s">
        <v>379</v>
      </c>
      <c r="B44" s="520" t="s">
        <v>380</v>
      </c>
      <c r="C44" s="520" t="s">
        <v>240</v>
      </c>
      <c r="D44" s="520" t="s">
        <v>378</v>
      </c>
      <c r="E44" s="341" t="s">
        <v>798</v>
      </c>
      <c r="F44" s="519" t="s">
        <v>458</v>
      </c>
      <c r="G44" s="519">
        <f>H44+I44</f>
        <v>32580</v>
      </c>
      <c r="H44" s="519">
        <v>32580</v>
      </c>
      <c r="I44" s="519"/>
      <c r="J44" s="519"/>
      <c r="K44" s="341" t="s">
        <v>759</v>
      </c>
    </row>
    <row r="45" spans="1:17" ht="230.25" thickTop="1" thickBot="1" x14ac:dyDescent="0.25">
      <c r="A45" s="520" t="s">
        <v>482</v>
      </c>
      <c r="B45" s="520" t="s">
        <v>483</v>
      </c>
      <c r="C45" s="520" t="s">
        <v>240</v>
      </c>
      <c r="D45" s="520" t="s">
        <v>484</v>
      </c>
      <c r="E45" s="341" t="s">
        <v>797</v>
      </c>
      <c r="F45" s="519" t="s">
        <v>462</v>
      </c>
      <c r="G45" s="519">
        <f>H45+I45</f>
        <v>4918485</v>
      </c>
      <c r="H45" s="519">
        <f>'d3'!E38</f>
        <v>4918485</v>
      </c>
      <c r="I45" s="519">
        <f>'d3'!J38</f>
        <v>0</v>
      </c>
      <c r="J45" s="519">
        <f>'d3'!K38</f>
        <v>0</v>
      </c>
    </row>
    <row r="46" spans="1:17" ht="367.5" thickTop="1" thickBot="1" x14ac:dyDescent="0.25">
      <c r="A46" s="520" t="s">
        <v>486</v>
      </c>
      <c r="B46" s="520" t="s">
        <v>487</v>
      </c>
      <c r="C46" s="520" t="s">
        <v>212</v>
      </c>
      <c r="D46" s="520" t="s">
        <v>485</v>
      </c>
      <c r="E46" s="341" t="s">
        <v>798</v>
      </c>
      <c r="F46" s="519" t="s">
        <v>458</v>
      </c>
      <c r="G46" s="519">
        <f>H46+I46</f>
        <v>2688000</v>
      </c>
      <c r="H46" s="519">
        <f>'d3'!E39</f>
        <v>2688000</v>
      </c>
      <c r="I46" s="519">
        <f>'d3'!J39</f>
        <v>0</v>
      </c>
      <c r="J46" s="519">
        <f>'d3'!K39</f>
        <v>0</v>
      </c>
    </row>
    <row r="47" spans="1:17" ht="160.5" customHeight="1" thickTop="1" thickBot="1" x14ac:dyDescent="0.25">
      <c r="A47" s="435" t="s">
        <v>176</v>
      </c>
      <c r="B47" s="435"/>
      <c r="C47" s="435"/>
      <c r="D47" s="436" t="s">
        <v>20</v>
      </c>
      <c r="E47" s="437"/>
      <c r="F47" s="438"/>
      <c r="G47" s="438">
        <f>G48</f>
        <v>73340725</v>
      </c>
      <c r="H47" s="438">
        <f t="shared" ref="H47:J47" si="5">H48</f>
        <v>65893950</v>
      </c>
      <c r="I47" s="437">
        <f t="shared" si="5"/>
        <v>7446775</v>
      </c>
      <c r="J47" s="437">
        <f t="shared" si="5"/>
        <v>7424775</v>
      </c>
      <c r="K47" s="427" t="b">
        <f>H47='d3'!E40-'d3'!P42</f>
        <v>1</v>
      </c>
      <c r="L47" s="428" t="b">
        <f>I47='d3'!J40</f>
        <v>1</v>
      </c>
      <c r="M47" s="429" t="b">
        <f>J47='d3'!K40</f>
        <v>1</v>
      </c>
    </row>
    <row r="48" spans="1:17" ht="172.5" customHeight="1" thickTop="1" thickBot="1" x14ac:dyDescent="0.25">
      <c r="A48" s="439" t="s">
        <v>177</v>
      </c>
      <c r="B48" s="439"/>
      <c r="C48" s="439"/>
      <c r="D48" s="440" t="s">
        <v>40</v>
      </c>
      <c r="E48" s="441"/>
      <c r="F48" s="441"/>
      <c r="G48" s="441">
        <f>SUM(G49:G71)</f>
        <v>73340725</v>
      </c>
      <c r="H48" s="441">
        <f>SUM(H49:H71)</f>
        <v>65893950</v>
      </c>
      <c r="I48" s="441">
        <f>SUM(I49:I71)</f>
        <v>7446775</v>
      </c>
      <c r="J48" s="441">
        <f>SUM(J49:J71)</f>
        <v>7424775</v>
      </c>
    </row>
    <row r="49" spans="1:17" ht="138.75" thickTop="1" thickBot="1" x14ac:dyDescent="0.25">
      <c r="A49" s="520" t="s">
        <v>244</v>
      </c>
      <c r="B49" s="520" t="s">
        <v>241</v>
      </c>
      <c r="C49" s="520" t="s">
        <v>245</v>
      </c>
      <c r="D49" s="520" t="s">
        <v>21</v>
      </c>
      <c r="E49" s="519" t="s">
        <v>494</v>
      </c>
      <c r="F49" s="519" t="s">
        <v>461</v>
      </c>
      <c r="G49" s="697">
        <f>H49+I49</f>
        <v>14463455</v>
      </c>
      <c r="H49" s="697">
        <f>'d3'!E43</f>
        <v>14463455</v>
      </c>
      <c r="I49" s="697">
        <f>'d3'!J43</f>
        <v>0</v>
      </c>
      <c r="J49" s="697">
        <f>'d3'!K43</f>
        <v>0</v>
      </c>
    </row>
    <row r="50" spans="1:17" ht="409.6" thickTop="1" thickBot="1" x14ac:dyDescent="0.25">
      <c r="A50" s="520" t="s">
        <v>244</v>
      </c>
      <c r="B50" s="520" t="s">
        <v>241</v>
      </c>
      <c r="C50" s="520" t="s">
        <v>245</v>
      </c>
      <c r="D50" s="520" t="s">
        <v>21</v>
      </c>
      <c r="E50" s="522" t="s">
        <v>803</v>
      </c>
      <c r="F50" s="519"/>
      <c r="G50" s="689"/>
      <c r="H50" s="689"/>
      <c r="I50" s="689"/>
      <c r="J50" s="689"/>
    </row>
    <row r="51" spans="1:17" ht="138.75" thickTop="1" thickBot="1" x14ac:dyDescent="0.25">
      <c r="A51" s="520" t="s">
        <v>586</v>
      </c>
      <c r="B51" s="520" t="s">
        <v>589</v>
      </c>
      <c r="C51" s="520" t="s">
        <v>588</v>
      </c>
      <c r="D51" s="520" t="s">
        <v>587</v>
      </c>
      <c r="E51" s="519" t="s">
        <v>494</v>
      </c>
      <c r="F51" s="519" t="s">
        <v>461</v>
      </c>
      <c r="G51" s="697">
        <f>H51+I51</f>
        <v>6377220</v>
      </c>
      <c r="H51" s="697">
        <f>'d3'!E44</f>
        <v>6377220</v>
      </c>
      <c r="I51" s="697">
        <f>'d3'!J44</f>
        <v>0</v>
      </c>
      <c r="J51" s="697">
        <f>'d3'!K44</f>
        <v>0</v>
      </c>
    </row>
    <row r="52" spans="1:17" ht="409.6" thickTop="1" thickBot="1" x14ac:dyDescent="0.25">
      <c r="A52" s="520" t="s">
        <v>586</v>
      </c>
      <c r="B52" s="520" t="s">
        <v>589</v>
      </c>
      <c r="C52" s="520" t="s">
        <v>588</v>
      </c>
      <c r="D52" s="520" t="s">
        <v>587</v>
      </c>
      <c r="E52" s="522" t="s">
        <v>803</v>
      </c>
      <c r="F52" s="519"/>
      <c r="G52" s="689"/>
      <c r="H52" s="689"/>
      <c r="I52" s="689"/>
      <c r="J52" s="689"/>
    </row>
    <row r="53" spans="1:17" ht="138.75" thickTop="1" thickBot="1" x14ac:dyDescent="0.25">
      <c r="A53" s="520" t="s">
        <v>246</v>
      </c>
      <c r="B53" s="520" t="s">
        <v>247</v>
      </c>
      <c r="C53" s="520" t="s">
        <v>248</v>
      </c>
      <c r="D53" s="520" t="s">
        <v>249</v>
      </c>
      <c r="E53" s="519" t="s">
        <v>494</v>
      </c>
      <c r="F53" s="519" t="s">
        <v>461</v>
      </c>
      <c r="G53" s="697">
        <f t="shared" ref="G53:G64" si="6">H53+I53</f>
        <v>4420000</v>
      </c>
      <c r="H53" s="697">
        <f>'d3'!E45</f>
        <v>4420000</v>
      </c>
      <c r="I53" s="697">
        <f>'d3'!J45</f>
        <v>0</v>
      </c>
      <c r="J53" s="697">
        <f>'d3'!K45</f>
        <v>0</v>
      </c>
    </row>
    <row r="54" spans="1:17" ht="409.6" thickTop="1" thickBot="1" x14ac:dyDescent="0.25">
      <c r="A54" s="520" t="s">
        <v>246</v>
      </c>
      <c r="B54" s="520" t="s">
        <v>247</v>
      </c>
      <c r="C54" s="520" t="s">
        <v>248</v>
      </c>
      <c r="D54" s="520" t="s">
        <v>249</v>
      </c>
      <c r="E54" s="522" t="s">
        <v>803</v>
      </c>
      <c r="F54" s="519"/>
      <c r="G54" s="689"/>
      <c r="H54" s="689"/>
      <c r="I54" s="689"/>
      <c r="J54" s="689"/>
    </row>
    <row r="55" spans="1:17" ht="138.75" thickTop="1" thickBot="1" x14ac:dyDescent="0.25">
      <c r="A55" s="520" t="s">
        <v>250</v>
      </c>
      <c r="B55" s="520" t="s">
        <v>251</v>
      </c>
      <c r="C55" s="520" t="s">
        <v>252</v>
      </c>
      <c r="D55" s="520" t="s">
        <v>390</v>
      </c>
      <c r="E55" s="519" t="s">
        <v>494</v>
      </c>
      <c r="F55" s="519" t="s">
        <v>461</v>
      </c>
      <c r="G55" s="697">
        <f t="shared" si="6"/>
        <v>7580650</v>
      </c>
      <c r="H55" s="697">
        <f>'d3'!E46</f>
        <v>7580650</v>
      </c>
      <c r="I55" s="697">
        <f>'d3'!J46</f>
        <v>0</v>
      </c>
      <c r="J55" s="697">
        <f>'d3'!K46</f>
        <v>0</v>
      </c>
    </row>
    <row r="56" spans="1:17" ht="409.6" thickTop="1" thickBot="1" x14ac:dyDescent="0.25">
      <c r="A56" s="520" t="s">
        <v>250</v>
      </c>
      <c r="B56" s="520" t="s">
        <v>251</v>
      </c>
      <c r="C56" s="520" t="s">
        <v>252</v>
      </c>
      <c r="D56" s="520" t="s">
        <v>390</v>
      </c>
      <c r="E56" s="522" t="s">
        <v>803</v>
      </c>
      <c r="F56" s="519"/>
      <c r="G56" s="689"/>
      <c r="H56" s="689"/>
      <c r="I56" s="689"/>
      <c r="J56" s="689"/>
    </row>
    <row r="57" spans="1:17" ht="172.5" customHeight="1" thickTop="1" thickBot="1" x14ac:dyDescent="0.25">
      <c r="A57" s="520" t="s">
        <v>253</v>
      </c>
      <c r="B57" s="520" t="s">
        <v>254</v>
      </c>
      <c r="C57" s="520" t="s">
        <v>255</v>
      </c>
      <c r="D57" s="520" t="s">
        <v>256</v>
      </c>
      <c r="E57" s="519" t="s">
        <v>494</v>
      </c>
      <c r="F57" s="519" t="s">
        <v>461</v>
      </c>
      <c r="G57" s="697">
        <f t="shared" si="6"/>
        <v>5594335</v>
      </c>
      <c r="H57" s="697">
        <f>'d3'!E47-H59</f>
        <v>5594335</v>
      </c>
      <c r="I57" s="697">
        <f>'d3'!J47-I59</f>
        <v>0</v>
      </c>
      <c r="J57" s="697">
        <f>'d3'!K47-J59</f>
        <v>0</v>
      </c>
    </row>
    <row r="58" spans="1:17" ht="409.6" thickTop="1" thickBot="1" x14ac:dyDescent="0.25">
      <c r="A58" s="520" t="s">
        <v>253</v>
      </c>
      <c r="B58" s="520" t="s">
        <v>254</v>
      </c>
      <c r="C58" s="520" t="s">
        <v>255</v>
      </c>
      <c r="D58" s="520" t="s">
        <v>256</v>
      </c>
      <c r="E58" s="522" t="s">
        <v>803</v>
      </c>
      <c r="F58" s="519"/>
      <c r="G58" s="689"/>
      <c r="H58" s="689"/>
      <c r="I58" s="689"/>
      <c r="J58" s="689"/>
    </row>
    <row r="59" spans="1:17" ht="184.5" thickTop="1" thickBot="1" x14ac:dyDescent="0.25">
      <c r="A59" s="520" t="s">
        <v>253</v>
      </c>
      <c r="B59" s="520" t="s">
        <v>254</v>
      </c>
      <c r="C59" s="520" t="s">
        <v>255</v>
      </c>
      <c r="D59" s="520" t="s">
        <v>256</v>
      </c>
      <c r="E59" s="467" t="s">
        <v>802</v>
      </c>
      <c r="F59" s="522"/>
      <c r="G59" s="519">
        <f t="shared" si="6"/>
        <v>1287600</v>
      </c>
      <c r="H59" s="519">
        <v>1287600</v>
      </c>
      <c r="I59" s="519"/>
      <c r="J59" s="519"/>
    </row>
    <row r="60" spans="1:17" ht="184.5" thickTop="1" thickBot="1" x14ac:dyDescent="0.25">
      <c r="A60" s="520" t="s">
        <v>257</v>
      </c>
      <c r="B60" s="520" t="s">
        <v>258</v>
      </c>
      <c r="C60" s="520" t="s">
        <v>391</v>
      </c>
      <c r="D60" s="520" t="s">
        <v>259</v>
      </c>
      <c r="E60" s="519" t="s">
        <v>494</v>
      </c>
      <c r="F60" s="519" t="s">
        <v>461</v>
      </c>
      <c r="G60" s="697">
        <f t="shared" si="6"/>
        <v>10788065</v>
      </c>
      <c r="H60" s="697">
        <f>'d3'!E48</f>
        <v>10788065</v>
      </c>
      <c r="I60" s="697">
        <f>'d3'!J48</f>
        <v>0</v>
      </c>
      <c r="J60" s="697">
        <f>'d3'!K48</f>
        <v>0</v>
      </c>
    </row>
    <row r="61" spans="1:17" ht="409.6" thickTop="1" thickBot="1" x14ac:dyDescent="0.25">
      <c r="A61" s="520" t="s">
        <v>257</v>
      </c>
      <c r="B61" s="520" t="s">
        <v>258</v>
      </c>
      <c r="C61" s="520" t="s">
        <v>391</v>
      </c>
      <c r="D61" s="520" t="s">
        <v>259</v>
      </c>
      <c r="E61" s="522" t="s">
        <v>803</v>
      </c>
      <c r="F61" s="519"/>
      <c r="G61" s="689"/>
      <c r="H61" s="689"/>
      <c r="I61" s="689"/>
      <c r="J61" s="689"/>
    </row>
    <row r="62" spans="1:17" ht="138.75" hidden="1" thickTop="1" thickBot="1" x14ac:dyDescent="0.25">
      <c r="A62" s="569" t="s">
        <v>552</v>
      </c>
      <c r="B62" s="569" t="s">
        <v>553</v>
      </c>
      <c r="C62" s="569" t="s">
        <v>260</v>
      </c>
      <c r="D62" s="569" t="s">
        <v>554</v>
      </c>
      <c r="E62" s="568" t="s">
        <v>494</v>
      </c>
      <c r="F62" s="568" t="s">
        <v>461</v>
      </c>
      <c r="G62" s="697">
        <f t="shared" si="6"/>
        <v>9137200</v>
      </c>
      <c r="H62" s="697">
        <f>'d3'!E49</f>
        <v>9137200</v>
      </c>
      <c r="I62" s="697">
        <f>'d3'!J49</f>
        <v>0</v>
      </c>
      <c r="J62" s="697">
        <f>'d3'!K49</f>
        <v>0</v>
      </c>
    </row>
    <row r="63" spans="1:17" ht="409.6" thickTop="1" thickBot="1" x14ac:dyDescent="0.25">
      <c r="A63" s="569" t="s">
        <v>552</v>
      </c>
      <c r="B63" s="569" t="s">
        <v>553</v>
      </c>
      <c r="C63" s="569" t="s">
        <v>260</v>
      </c>
      <c r="D63" s="569" t="s">
        <v>554</v>
      </c>
      <c r="E63" s="573" t="s">
        <v>800</v>
      </c>
      <c r="F63" s="568"/>
      <c r="G63" s="689"/>
      <c r="H63" s="689"/>
      <c r="I63" s="689"/>
      <c r="J63" s="689"/>
    </row>
    <row r="64" spans="1:17" s="86" customFormat="1" ht="160.5" customHeight="1" thickTop="1" thickBot="1" x14ac:dyDescent="0.25">
      <c r="A64" s="520" t="s">
        <v>362</v>
      </c>
      <c r="B64" s="520" t="s">
        <v>364</v>
      </c>
      <c r="C64" s="520" t="s">
        <v>260</v>
      </c>
      <c r="D64" s="345" t="s">
        <v>360</v>
      </c>
      <c r="E64" s="519" t="s">
        <v>494</v>
      </c>
      <c r="F64" s="519" t="s">
        <v>461</v>
      </c>
      <c r="G64" s="697">
        <f t="shared" si="6"/>
        <v>3251425</v>
      </c>
      <c r="H64" s="697">
        <f>'d3'!E50</f>
        <v>3229425</v>
      </c>
      <c r="I64" s="697">
        <f>'d3'!J50</f>
        <v>22000</v>
      </c>
      <c r="J64" s="697">
        <f>'d3'!K50</f>
        <v>0</v>
      </c>
      <c r="K64" s="377"/>
      <c r="L64" s="377"/>
      <c r="M64" s="377"/>
      <c r="N64" s="377"/>
      <c r="O64" s="377"/>
      <c r="P64" s="377"/>
      <c r="Q64" s="377"/>
    </row>
    <row r="65" spans="1:17" s="86" customFormat="1" ht="409.6" thickTop="1" thickBot="1" x14ac:dyDescent="0.25">
      <c r="A65" s="520" t="s">
        <v>362</v>
      </c>
      <c r="B65" s="520" t="s">
        <v>364</v>
      </c>
      <c r="C65" s="520" t="s">
        <v>260</v>
      </c>
      <c r="D65" s="345" t="s">
        <v>360</v>
      </c>
      <c r="E65" s="522" t="s">
        <v>803</v>
      </c>
      <c r="F65" s="519"/>
      <c r="G65" s="689"/>
      <c r="H65" s="689"/>
      <c r="I65" s="689"/>
      <c r="J65" s="689"/>
      <c r="K65" s="377"/>
      <c r="L65" s="377"/>
      <c r="M65" s="377"/>
      <c r="N65" s="377"/>
      <c r="O65" s="377"/>
      <c r="P65" s="377"/>
      <c r="Q65" s="377"/>
    </row>
    <row r="66" spans="1:17" s="86" customFormat="1" ht="166.7" customHeight="1" thickTop="1" thickBot="1" x14ac:dyDescent="0.25">
      <c r="A66" s="520" t="s">
        <v>363</v>
      </c>
      <c r="B66" s="520" t="s">
        <v>365</v>
      </c>
      <c r="C66" s="520" t="s">
        <v>260</v>
      </c>
      <c r="D66" s="345" t="s">
        <v>361</v>
      </c>
      <c r="E66" s="519" t="s">
        <v>494</v>
      </c>
      <c r="F66" s="519" t="s">
        <v>461</v>
      </c>
      <c r="G66" s="697">
        <f>H66+I66</f>
        <v>3016000</v>
      </c>
      <c r="H66" s="697">
        <f>'d3'!E51</f>
        <v>3016000</v>
      </c>
      <c r="I66" s="697">
        <f>'d3'!J51</f>
        <v>0</v>
      </c>
      <c r="J66" s="697">
        <f>'d3'!K51</f>
        <v>0</v>
      </c>
      <c r="K66" s="377"/>
      <c r="L66" s="377"/>
      <c r="M66" s="377"/>
      <c r="N66" s="377"/>
      <c r="O66" s="377"/>
      <c r="P66" s="377"/>
      <c r="Q66" s="377"/>
    </row>
    <row r="67" spans="1:17" s="86" customFormat="1" ht="409.6" thickTop="1" thickBot="1" x14ac:dyDescent="0.25">
      <c r="A67" s="520" t="s">
        <v>363</v>
      </c>
      <c r="B67" s="520" t="s">
        <v>365</v>
      </c>
      <c r="C67" s="520" t="s">
        <v>260</v>
      </c>
      <c r="D67" s="345" t="s">
        <v>361</v>
      </c>
      <c r="E67" s="522" t="s">
        <v>803</v>
      </c>
      <c r="F67" s="519"/>
      <c r="G67" s="689"/>
      <c r="H67" s="689"/>
      <c r="I67" s="689"/>
      <c r="J67" s="689"/>
      <c r="K67" s="377"/>
      <c r="L67" s="377"/>
      <c r="M67" s="377"/>
      <c r="N67" s="377"/>
      <c r="O67" s="377"/>
      <c r="P67" s="377"/>
      <c r="Q67" s="377"/>
    </row>
    <row r="68" spans="1:17" s="86" customFormat="1" ht="138.75" thickTop="1" thickBot="1" x14ac:dyDescent="0.25">
      <c r="A68" s="520" t="s">
        <v>493</v>
      </c>
      <c r="B68" s="520" t="s">
        <v>225</v>
      </c>
      <c r="C68" s="520" t="s">
        <v>192</v>
      </c>
      <c r="D68" s="520" t="s">
        <v>38</v>
      </c>
      <c r="E68" s="519" t="s">
        <v>494</v>
      </c>
      <c r="F68" s="519" t="s">
        <v>461</v>
      </c>
      <c r="G68" s="697">
        <f>H68+I68</f>
        <v>7052111</v>
      </c>
      <c r="H68" s="697">
        <v>0</v>
      </c>
      <c r="I68" s="697">
        <f>'d3'!J52-I70</f>
        <v>7052111</v>
      </c>
      <c r="J68" s="697">
        <f>'d3'!K52-J70</f>
        <v>7052111</v>
      </c>
      <c r="K68" s="377"/>
      <c r="L68" s="377"/>
      <c r="M68" s="377"/>
      <c r="N68" s="377"/>
      <c r="O68" s="377"/>
      <c r="P68" s="377"/>
      <c r="Q68" s="377"/>
    </row>
    <row r="69" spans="1:17" s="86" customFormat="1" ht="409.6" thickTop="1" thickBot="1" x14ac:dyDescent="0.25">
      <c r="A69" s="520" t="s">
        <v>493</v>
      </c>
      <c r="B69" s="520" t="s">
        <v>225</v>
      </c>
      <c r="C69" s="520" t="s">
        <v>192</v>
      </c>
      <c r="D69" s="520" t="s">
        <v>38</v>
      </c>
      <c r="E69" s="522" t="s">
        <v>803</v>
      </c>
      <c r="F69" s="519"/>
      <c r="G69" s="689"/>
      <c r="H69" s="689"/>
      <c r="I69" s="689"/>
      <c r="J69" s="689"/>
      <c r="K69" s="377"/>
      <c r="L69" s="377"/>
      <c r="M69" s="377"/>
      <c r="N69" s="377"/>
      <c r="O69" s="377"/>
      <c r="P69" s="377"/>
      <c r="Q69" s="377"/>
    </row>
    <row r="70" spans="1:17" s="86" customFormat="1" ht="230.25" thickTop="1" thickBot="1" x14ac:dyDescent="0.25">
      <c r="A70" s="520" t="s">
        <v>493</v>
      </c>
      <c r="B70" s="520" t="s">
        <v>225</v>
      </c>
      <c r="C70" s="520" t="s">
        <v>192</v>
      </c>
      <c r="D70" s="520" t="s">
        <v>38</v>
      </c>
      <c r="E70" s="341" t="s">
        <v>512</v>
      </c>
      <c r="F70" s="525" t="s">
        <v>513</v>
      </c>
      <c r="G70" s="519">
        <f>H70+I70</f>
        <v>372664</v>
      </c>
      <c r="H70" s="519">
        <v>0</v>
      </c>
      <c r="I70" s="519">
        <f>(136258+107000+129406)</f>
        <v>372664</v>
      </c>
      <c r="J70" s="519">
        <f>(136258+107000+129406)</f>
        <v>372664</v>
      </c>
      <c r="K70" s="377"/>
      <c r="L70" s="377"/>
      <c r="M70" s="377"/>
      <c r="N70" s="377"/>
      <c r="O70" s="377"/>
      <c r="P70" s="377"/>
      <c r="Q70" s="377"/>
    </row>
    <row r="71" spans="1:17" s="86" customFormat="1" ht="138.75" hidden="1" thickTop="1" thickBot="1" x14ac:dyDescent="0.25">
      <c r="A71" s="368" t="s">
        <v>590</v>
      </c>
      <c r="B71" s="368" t="s">
        <v>411</v>
      </c>
      <c r="C71" s="368" t="s">
        <v>47</v>
      </c>
      <c r="D71" s="368" t="s">
        <v>412</v>
      </c>
      <c r="E71" s="288" t="s">
        <v>494</v>
      </c>
      <c r="F71" s="288" t="s">
        <v>461</v>
      </c>
      <c r="G71" s="288">
        <f>H71+I71</f>
        <v>0</v>
      </c>
      <c r="H71" s="288">
        <f>'d3'!F53</f>
        <v>0</v>
      </c>
      <c r="I71" s="288">
        <f>'d3'!J53</f>
        <v>0</v>
      </c>
      <c r="J71" s="288">
        <f>'d3'!K53</f>
        <v>0</v>
      </c>
      <c r="K71" s="377"/>
      <c r="L71" s="377"/>
      <c r="M71" s="377"/>
      <c r="N71" s="377"/>
      <c r="O71" s="377"/>
      <c r="P71" s="377"/>
      <c r="Q71" s="377"/>
    </row>
    <row r="72" spans="1:17" ht="241.5" customHeight="1" thickTop="1" thickBot="1" x14ac:dyDescent="0.25">
      <c r="A72" s="435" t="s">
        <v>178</v>
      </c>
      <c r="B72" s="435"/>
      <c r="C72" s="435"/>
      <c r="D72" s="436" t="s">
        <v>41</v>
      </c>
      <c r="E72" s="437"/>
      <c r="F72" s="438"/>
      <c r="G72" s="438">
        <f>G73</f>
        <v>168851913</v>
      </c>
      <c r="H72" s="438">
        <f t="shared" ref="H72:J72" si="7">H73</f>
        <v>163227573</v>
      </c>
      <c r="I72" s="437">
        <f t="shared" si="7"/>
        <v>5624340</v>
      </c>
      <c r="J72" s="437">
        <f t="shared" si="7"/>
        <v>5007340</v>
      </c>
      <c r="K72" s="427" t="b">
        <f>H72='d3'!E55-'d3'!E56</f>
        <v>1</v>
      </c>
      <c r="L72" s="428" t="b">
        <f>I72='d3'!J55-'d3'!J56+'d7'!I74</f>
        <v>1</v>
      </c>
      <c r="M72" s="428" t="b">
        <f>J72='d3'!K55-'d3'!K56+'d7'!J74</f>
        <v>1</v>
      </c>
    </row>
    <row r="73" spans="1:17" ht="226.5" thickTop="1" thickBot="1" x14ac:dyDescent="0.25">
      <c r="A73" s="439" t="s">
        <v>179</v>
      </c>
      <c r="B73" s="439"/>
      <c r="C73" s="439"/>
      <c r="D73" s="440" t="s">
        <v>42</v>
      </c>
      <c r="E73" s="441"/>
      <c r="F73" s="441"/>
      <c r="G73" s="441">
        <f>SUM(G74:G97)</f>
        <v>168851913</v>
      </c>
      <c r="H73" s="441">
        <f>SUM(H74:H97)</f>
        <v>163227573</v>
      </c>
      <c r="I73" s="441">
        <f>SUM(I74:I97)</f>
        <v>5624340</v>
      </c>
      <c r="J73" s="441">
        <f>SUM(J74:J97)</f>
        <v>5007340</v>
      </c>
      <c r="L73" s="419"/>
    </row>
    <row r="74" spans="1:17" ht="230.25" thickTop="1" thickBot="1" x14ac:dyDescent="0.25">
      <c r="A74" s="520" t="s">
        <v>466</v>
      </c>
      <c r="B74" s="520" t="s">
        <v>266</v>
      </c>
      <c r="C74" s="520" t="s">
        <v>264</v>
      </c>
      <c r="D74" s="520" t="s">
        <v>265</v>
      </c>
      <c r="E74" s="341" t="s">
        <v>778</v>
      </c>
      <c r="F74" s="519"/>
      <c r="G74" s="519">
        <f t="shared" ref="G74:G95" si="8">H74+I74</f>
        <v>270000</v>
      </c>
      <c r="H74" s="519">
        <v>0</v>
      </c>
      <c r="I74" s="519">
        <v>270000</v>
      </c>
      <c r="J74" s="519">
        <v>270000</v>
      </c>
      <c r="L74" s="419"/>
    </row>
    <row r="75" spans="1:17" s="86" customFormat="1" ht="230.25" thickTop="1" thickBot="1" x14ac:dyDescent="0.25">
      <c r="A75" s="520" t="s">
        <v>299</v>
      </c>
      <c r="B75" s="520" t="s">
        <v>300</v>
      </c>
      <c r="C75" s="520" t="s">
        <v>233</v>
      </c>
      <c r="D75" s="525" t="s">
        <v>301</v>
      </c>
      <c r="E75" s="341" t="s">
        <v>798</v>
      </c>
      <c r="F75" s="519" t="s">
        <v>458</v>
      </c>
      <c r="G75" s="519">
        <f t="shared" si="8"/>
        <v>469000</v>
      </c>
      <c r="H75" s="519">
        <f>'d3'!E57</f>
        <v>270000</v>
      </c>
      <c r="I75" s="519">
        <f>'d3'!J57</f>
        <v>199000</v>
      </c>
      <c r="J75" s="519">
        <f>'d3'!K57</f>
        <v>199000</v>
      </c>
      <c r="K75" s="377"/>
      <c r="L75" s="377"/>
      <c r="M75" s="377"/>
      <c r="N75" s="377"/>
      <c r="O75" s="377"/>
      <c r="P75" s="377"/>
      <c r="Q75" s="377"/>
    </row>
    <row r="76" spans="1:17" s="86" customFormat="1" ht="230.25" thickTop="1" thickBot="1" x14ac:dyDescent="0.25">
      <c r="A76" s="520" t="s">
        <v>302</v>
      </c>
      <c r="B76" s="520" t="s">
        <v>303</v>
      </c>
      <c r="C76" s="520" t="s">
        <v>234</v>
      </c>
      <c r="D76" s="520" t="s">
        <v>6</v>
      </c>
      <c r="E76" s="341" t="s">
        <v>798</v>
      </c>
      <c r="F76" s="519" t="s">
        <v>458</v>
      </c>
      <c r="G76" s="519">
        <f t="shared" si="8"/>
        <v>1350000</v>
      </c>
      <c r="H76" s="519">
        <f>'d3'!E58</f>
        <v>1350000</v>
      </c>
      <c r="I76" s="519">
        <f>'d3'!J58</f>
        <v>0</v>
      </c>
      <c r="J76" s="519">
        <f>'d3'!K58</f>
        <v>0</v>
      </c>
      <c r="K76" s="377"/>
      <c r="L76" s="377"/>
      <c r="M76" s="377"/>
      <c r="N76" s="377"/>
      <c r="O76" s="377"/>
      <c r="P76" s="377"/>
      <c r="Q76" s="377"/>
    </row>
    <row r="77" spans="1:17" s="86" customFormat="1" ht="230.25" thickTop="1" thickBot="1" x14ac:dyDescent="0.25">
      <c r="A77" s="520" t="s">
        <v>305</v>
      </c>
      <c r="B77" s="520" t="s">
        <v>306</v>
      </c>
      <c r="C77" s="520" t="s">
        <v>234</v>
      </c>
      <c r="D77" s="520" t="s">
        <v>7</v>
      </c>
      <c r="E77" s="341" t="s">
        <v>798</v>
      </c>
      <c r="F77" s="519" t="s">
        <v>458</v>
      </c>
      <c r="G77" s="519">
        <f t="shared" si="8"/>
        <v>11250000</v>
      </c>
      <c r="H77" s="519">
        <f>'d3'!E59</f>
        <v>11250000</v>
      </c>
      <c r="I77" s="519">
        <f>'d3'!J59</f>
        <v>0</v>
      </c>
      <c r="J77" s="519">
        <f>'d3'!K59</f>
        <v>0</v>
      </c>
      <c r="K77" s="377"/>
      <c r="L77" s="377"/>
      <c r="M77" s="377"/>
      <c r="N77" s="377"/>
      <c r="O77" s="377"/>
      <c r="P77" s="377"/>
      <c r="Q77" s="377"/>
    </row>
    <row r="78" spans="1:17" s="86" customFormat="1" ht="230.25" thickTop="1" thickBot="1" x14ac:dyDescent="0.25">
      <c r="A78" s="520" t="s">
        <v>307</v>
      </c>
      <c r="B78" s="520" t="s">
        <v>304</v>
      </c>
      <c r="C78" s="520" t="s">
        <v>234</v>
      </c>
      <c r="D78" s="520" t="s">
        <v>8</v>
      </c>
      <c r="E78" s="341" t="s">
        <v>798</v>
      </c>
      <c r="F78" s="519" t="s">
        <v>458</v>
      </c>
      <c r="G78" s="519">
        <f t="shared" si="8"/>
        <v>500000</v>
      </c>
      <c r="H78" s="519">
        <f>'d3'!E60</f>
        <v>500000</v>
      </c>
      <c r="I78" s="519">
        <f>'d3'!J60</f>
        <v>0</v>
      </c>
      <c r="J78" s="519">
        <f>'d3'!K60</f>
        <v>0</v>
      </c>
      <c r="K78" s="377"/>
      <c r="L78" s="377"/>
      <c r="M78" s="377"/>
      <c r="N78" s="377"/>
      <c r="O78" s="377"/>
      <c r="P78" s="377"/>
      <c r="Q78" s="377"/>
    </row>
    <row r="79" spans="1:17" s="86" customFormat="1" ht="230.25" thickTop="1" thickBot="1" x14ac:dyDescent="0.25">
      <c r="A79" s="520" t="s">
        <v>308</v>
      </c>
      <c r="B79" s="520" t="s">
        <v>309</v>
      </c>
      <c r="C79" s="520" t="s">
        <v>234</v>
      </c>
      <c r="D79" s="520" t="s">
        <v>9</v>
      </c>
      <c r="E79" s="341" t="s">
        <v>798</v>
      </c>
      <c r="F79" s="519" t="s">
        <v>458</v>
      </c>
      <c r="G79" s="519">
        <f t="shared" si="8"/>
        <v>74942240</v>
      </c>
      <c r="H79" s="519">
        <f>'d3'!E61</f>
        <v>74942240</v>
      </c>
      <c r="I79" s="519">
        <f>'d3'!J61</f>
        <v>0</v>
      </c>
      <c r="J79" s="519">
        <f>'d3'!K61</f>
        <v>0</v>
      </c>
      <c r="K79" s="377"/>
      <c r="L79" s="377"/>
      <c r="M79" s="377"/>
      <c r="N79" s="377"/>
      <c r="O79" s="377"/>
      <c r="P79" s="377"/>
      <c r="Q79" s="377"/>
    </row>
    <row r="80" spans="1:17" s="86" customFormat="1" ht="230.25" hidden="1" thickTop="1" thickBot="1" x14ac:dyDescent="0.25">
      <c r="A80" s="368" t="s">
        <v>555</v>
      </c>
      <c r="B80" s="368" t="s">
        <v>556</v>
      </c>
      <c r="C80" s="368" t="s">
        <v>234</v>
      </c>
      <c r="D80" s="368" t="s">
        <v>557</v>
      </c>
      <c r="E80" s="341" t="s">
        <v>798</v>
      </c>
      <c r="F80" s="288" t="s">
        <v>458</v>
      </c>
      <c r="G80" s="288">
        <f t="shared" si="8"/>
        <v>0</v>
      </c>
      <c r="H80" s="288"/>
      <c r="I80" s="288"/>
      <c r="J80" s="288"/>
      <c r="K80" s="377"/>
      <c r="L80" s="377"/>
      <c r="M80" s="377"/>
      <c r="N80" s="377"/>
      <c r="O80" s="377"/>
      <c r="P80" s="377"/>
      <c r="Q80" s="377"/>
    </row>
    <row r="81" spans="1:17" s="86" customFormat="1" ht="230.25" hidden="1" thickTop="1" thickBot="1" x14ac:dyDescent="0.25">
      <c r="A81" s="368" t="s">
        <v>558</v>
      </c>
      <c r="B81" s="368" t="s">
        <v>559</v>
      </c>
      <c r="C81" s="368" t="s">
        <v>233</v>
      </c>
      <c r="D81" s="368" t="s">
        <v>560</v>
      </c>
      <c r="E81" s="341" t="s">
        <v>798</v>
      </c>
      <c r="F81" s="288" t="s">
        <v>458</v>
      </c>
      <c r="G81" s="288">
        <f t="shared" si="8"/>
        <v>0</v>
      </c>
      <c r="H81" s="288"/>
      <c r="I81" s="288"/>
      <c r="J81" s="288"/>
      <c r="K81" s="377"/>
      <c r="L81" s="377"/>
      <c r="M81" s="377"/>
      <c r="N81" s="377"/>
      <c r="O81" s="377"/>
      <c r="P81" s="377"/>
      <c r="Q81" s="377"/>
    </row>
    <row r="82" spans="1:17" ht="276" thickTop="1" thickBot="1" x14ac:dyDescent="0.25">
      <c r="A82" s="520" t="s">
        <v>297</v>
      </c>
      <c r="B82" s="520" t="s">
        <v>295</v>
      </c>
      <c r="C82" s="520" t="s">
        <v>228</v>
      </c>
      <c r="D82" s="520" t="s">
        <v>19</v>
      </c>
      <c r="E82" s="341" t="s">
        <v>798</v>
      </c>
      <c r="F82" s="519" t="s">
        <v>458</v>
      </c>
      <c r="G82" s="519">
        <f t="shared" si="8"/>
        <v>28110820</v>
      </c>
      <c r="H82" s="519">
        <f>'d3'!E64</f>
        <v>27960820</v>
      </c>
      <c r="I82" s="519">
        <f>'d3'!J64</f>
        <v>150000</v>
      </c>
      <c r="J82" s="519">
        <f>'d3'!K64</f>
        <v>0</v>
      </c>
    </row>
    <row r="83" spans="1:17" ht="230.25" thickTop="1" thickBot="1" x14ac:dyDescent="0.25">
      <c r="A83" s="520" t="s">
        <v>298</v>
      </c>
      <c r="B83" s="520" t="s">
        <v>296</v>
      </c>
      <c r="C83" s="520" t="s">
        <v>227</v>
      </c>
      <c r="D83" s="520" t="s">
        <v>519</v>
      </c>
      <c r="E83" s="341" t="s">
        <v>798</v>
      </c>
      <c r="F83" s="519" t="s">
        <v>458</v>
      </c>
      <c r="G83" s="519">
        <f t="shared" si="8"/>
        <v>7298180</v>
      </c>
      <c r="H83" s="519">
        <f>'d3'!E65</f>
        <v>7298180</v>
      </c>
      <c r="I83" s="522">
        <f>'d3'!J65</f>
        <v>0</v>
      </c>
      <c r="J83" s="522">
        <f>'d3'!K65</f>
        <v>0</v>
      </c>
    </row>
    <row r="84" spans="1:17" ht="409.6" thickTop="1" thickBot="1" x14ac:dyDescent="0.25">
      <c r="A84" s="520" t="s">
        <v>293</v>
      </c>
      <c r="B84" s="520" t="s">
        <v>294</v>
      </c>
      <c r="C84" s="520" t="s">
        <v>227</v>
      </c>
      <c r="D84" s="520" t="s">
        <v>517</v>
      </c>
      <c r="E84" s="341" t="s">
        <v>798</v>
      </c>
      <c r="F84" s="519" t="s">
        <v>458</v>
      </c>
      <c r="G84" s="519">
        <f t="shared" si="8"/>
        <v>1242695</v>
      </c>
      <c r="H84" s="519">
        <f>'d3'!E66</f>
        <v>1242695</v>
      </c>
      <c r="I84" s="519">
        <f>'d3'!J66</f>
        <v>0</v>
      </c>
      <c r="J84" s="519">
        <f>'d3'!K66</f>
        <v>0</v>
      </c>
    </row>
    <row r="85" spans="1:17" ht="276" hidden="1" thickTop="1" thickBot="1" x14ac:dyDescent="0.25">
      <c r="A85" s="368" t="s">
        <v>561</v>
      </c>
      <c r="B85" s="368" t="s">
        <v>562</v>
      </c>
      <c r="C85" s="368" t="s">
        <v>227</v>
      </c>
      <c r="D85" s="368" t="s">
        <v>563</v>
      </c>
      <c r="E85" s="341" t="s">
        <v>798</v>
      </c>
      <c r="F85" s="288" t="s">
        <v>458</v>
      </c>
      <c r="G85" s="288">
        <f t="shared" si="8"/>
        <v>0</v>
      </c>
      <c r="H85" s="288"/>
      <c r="I85" s="288"/>
      <c r="J85" s="288"/>
    </row>
    <row r="86" spans="1:17" ht="367.5" thickTop="1" thickBot="1" x14ac:dyDescent="0.25">
      <c r="A86" s="520" t="s">
        <v>393</v>
      </c>
      <c r="B86" s="520" t="s">
        <v>392</v>
      </c>
      <c r="C86" s="520" t="s">
        <v>54</v>
      </c>
      <c r="D86" s="520" t="s">
        <v>518</v>
      </c>
      <c r="E86" s="341" t="s">
        <v>798</v>
      </c>
      <c r="F86" s="519" t="s">
        <v>458</v>
      </c>
      <c r="G86" s="519">
        <f t="shared" si="8"/>
        <v>1046775</v>
      </c>
      <c r="H86" s="519">
        <f>'d3'!E68-H87</f>
        <v>1046775</v>
      </c>
      <c r="I86" s="519">
        <f>'d3'!J68-I87</f>
        <v>0</v>
      </c>
      <c r="J86" s="519">
        <f>'d3'!K68-J87</f>
        <v>0</v>
      </c>
    </row>
    <row r="87" spans="1:17" ht="367.5" thickTop="1" thickBot="1" x14ac:dyDescent="0.25">
      <c r="A87" s="520" t="s">
        <v>393</v>
      </c>
      <c r="B87" s="520" t="s">
        <v>392</v>
      </c>
      <c r="C87" s="520" t="s">
        <v>54</v>
      </c>
      <c r="D87" s="520" t="s">
        <v>518</v>
      </c>
      <c r="E87" s="467" t="s">
        <v>802</v>
      </c>
      <c r="F87" s="519"/>
      <c r="G87" s="519">
        <f t="shared" si="8"/>
        <v>1578650</v>
      </c>
      <c r="H87" s="519">
        <f>(1284230+294420)</f>
        <v>1578650</v>
      </c>
      <c r="I87" s="519">
        <v>0</v>
      </c>
      <c r="J87" s="519">
        <v>0</v>
      </c>
    </row>
    <row r="88" spans="1:17" ht="230.25" thickTop="1" thickBot="1" x14ac:dyDescent="0.25">
      <c r="A88" s="520" t="s">
        <v>366</v>
      </c>
      <c r="B88" s="520" t="s">
        <v>367</v>
      </c>
      <c r="C88" s="520" t="s">
        <v>233</v>
      </c>
      <c r="D88" s="520" t="s">
        <v>394</v>
      </c>
      <c r="E88" s="341" t="s">
        <v>798</v>
      </c>
      <c r="F88" s="519" t="s">
        <v>458</v>
      </c>
      <c r="G88" s="519">
        <f t="shared" si="8"/>
        <v>500000</v>
      </c>
      <c r="H88" s="519">
        <f>'d3'!E69</f>
        <v>500000</v>
      </c>
      <c r="I88" s="519">
        <f>'d3'!J69</f>
        <v>0</v>
      </c>
      <c r="J88" s="519">
        <f>'d3'!K69</f>
        <v>0</v>
      </c>
    </row>
    <row r="89" spans="1:17" ht="138.75" thickTop="1" thickBot="1" x14ac:dyDescent="0.25">
      <c r="A89" s="520" t="s">
        <v>479</v>
      </c>
      <c r="B89" s="520" t="s">
        <v>420</v>
      </c>
      <c r="C89" s="520" t="s">
        <v>421</v>
      </c>
      <c r="D89" s="520" t="s">
        <v>419</v>
      </c>
      <c r="E89" s="341" t="s">
        <v>801</v>
      </c>
      <c r="F89" s="519"/>
      <c r="G89" s="519">
        <f t="shared" si="8"/>
        <v>100040</v>
      </c>
      <c r="H89" s="519">
        <f>'d3'!E70</f>
        <v>100040</v>
      </c>
      <c r="I89" s="519">
        <f>'d3'!J70</f>
        <v>0</v>
      </c>
      <c r="J89" s="519">
        <f>'d3'!K70</f>
        <v>0</v>
      </c>
    </row>
    <row r="90" spans="1:17" ht="230.25" thickTop="1" thickBot="1" x14ac:dyDescent="0.25">
      <c r="A90" s="520" t="s">
        <v>368</v>
      </c>
      <c r="B90" s="520" t="s">
        <v>370</v>
      </c>
      <c r="C90" s="520" t="s">
        <v>219</v>
      </c>
      <c r="D90" s="345" t="s">
        <v>372</v>
      </c>
      <c r="E90" s="341" t="s">
        <v>798</v>
      </c>
      <c r="F90" s="519" t="s">
        <v>458</v>
      </c>
      <c r="G90" s="519">
        <f t="shared" si="8"/>
        <v>7854379</v>
      </c>
      <c r="H90" s="523">
        <f>'d3'!E71-H91</f>
        <v>7709379</v>
      </c>
      <c r="I90" s="519">
        <f>'d3'!J71-I91</f>
        <v>145000</v>
      </c>
      <c r="J90" s="519">
        <f>'d3'!K71-J91</f>
        <v>0</v>
      </c>
    </row>
    <row r="91" spans="1:17" ht="230.25" thickTop="1" thickBot="1" x14ac:dyDescent="0.25">
      <c r="A91" s="520" t="s">
        <v>368</v>
      </c>
      <c r="B91" s="520" t="s">
        <v>370</v>
      </c>
      <c r="C91" s="520" t="s">
        <v>219</v>
      </c>
      <c r="D91" s="345" t="s">
        <v>372</v>
      </c>
      <c r="E91" s="341" t="s">
        <v>512</v>
      </c>
      <c r="F91" s="525" t="s">
        <v>513</v>
      </c>
      <c r="G91" s="519">
        <f>H91+I91</f>
        <v>463983</v>
      </c>
      <c r="H91" s="523">
        <f>(34018+31058+10567)</f>
        <v>75643</v>
      </c>
      <c r="I91" s="519">
        <f>(136399+40788+138259+72894)</f>
        <v>388340</v>
      </c>
      <c r="J91" s="519">
        <f>(136399+40788+138259+72894)</f>
        <v>388340</v>
      </c>
    </row>
    <row r="92" spans="1:17" ht="230.25" thickTop="1" thickBot="1" x14ac:dyDescent="0.25">
      <c r="A92" s="520" t="s">
        <v>369</v>
      </c>
      <c r="B92" s="520" t="s">
        <v>371</v>
      </c>
      <c r="C92" s="520" t="s">
        <v>219</v>
      </c>
      <c r="D92" s="345" t="s">
        <v>373</v>
      </c>
      <c r="E92" s="341" t="s">
        <v>798</v>
      </c>
      <c r="F92" s="519" t="s">
        <v>458</v>
      </c>
      <c r="G92" s="519">
        <f t="shared" si="8"/>
        <v>22916661</v>
      </c>
      <c r="H92" s="519">
        <f>'d3'!E72-H93-H94</f>
        <v>22766661</v>
      </c>
      <c r="I92" s="519">
        <f>'d3'!J72-I93-I94</f>
        <v>150000</v>
      </c>
      <c r="J92" s="519">
        <f>'d3'!K72-J93-J94</f>
        <v>150000</v>
      </c>
    </row>
    <row r="93" spans="1:17" ht="138.75" thickTop="1" thickBot="1" x14ac:dyDescent="0.25">
      <c r="A93" s="520" t="s">
        <v>369</v>
      </c>
      <c r="B93" s="520" t="s">
        <v>371</v>
      </c>
      <c r="C93" s="520" t="s">
        <v>219</v>
      </c>
      <c r="D93" s="345" t="s">
        <v>373</v>
      </c>
      <c r="E93" s="519" t="s">
        <v>804</v>
      </c>
      <c r="F93" s="519"/>
      <c r="G93" s="519">
        <f t="shared" si="8"/>
        <v>700000</v>
      </c>
      <c r="H93" s="519">
        <f>200000+500000</f>
        <v>700000</v>
      </c>
      <c r="I93" s="519">
        <v>0</v>
      </c>
      <c r="J93" s="519">
        <v>0</v>
      </c>
    </row>
    <row r="94" spans="1:17" ht="184.5" thickTop="1" thickBot="1" x14ac:dyDescent="0.25">
      <c r="A94" s="520" t="s">
        <v>369</v>
      </c>
      <c r="B94" s="520" t="s">
        <v>371</v>
      </c>
      <c r="C94" s="520" t="s">
        <v>219</v>
      </c>
      <c r="D94" s="345" t="s">
        <v>373</v>
      </c>
      <c r="E94" s="467" t="s">
        <v>802</v>
      </c>
      <c r="F94" s="519"/>
      <c r="G94" s="519">
        <f t="shared" si="8"/>
        <v>3936490</v>
      </c>
      <c r="H94" s="519">
        <f>3000000+476490+400000+60000</f>
        <v>3936490</v>
      </c>
      <c r="I94" s="519">
        <v>0</v>
      </c>
      <c r="J94" s="519">
        <v>0</v>
      </c>
      <c r="K94" s="420"/>
    </row>
    <row r="95" spans="1:17" ht="184.5" thickTop="1" thickBot="1" x14ac:dyDescent="0.25">
      <c r="A95" s="520" t="s">
        <v>415</v>
      </c>
      <c r="B95" s="520" t="s">
        <v>413</v>
      </c>
      <c r="C95" s="520" t="s">
        <v>384</v>
      </c>
      <c r="D95" s="345" t="s">
        <v>414</v>
      </c>
      <c r="E95" s="467" t="s">
        <v>802</v>
      </c>
      <c r="F95" s="519"/>
      <c r="G95" s="519">
        <f t="shared" si="8"/>
        <v>4000000</v>
      </c>
      <c r="H95" s="519">
        <f>'d3'!E73</f>
        <v>0</v>
      </c>
      <c r="I95" s="519">
        <f>'d3'!J73</f>
        <v>4000000</v>
      </c>
      <c r="J95" s="519">
        <f>'d3'!K73</f>
        <v>4000000</v>
      </c>
    </row>
    <row r="96" spans="1:17" ht="409.6" thickTop="1" thickBot="1" x14ac:dyDescent="0.7">
      <c r="A96" s="615" t="s">
        <v>474</v>
      </c>
      <c r="B96" s="615" t="s">
        <v>381</v>
      </c>
      <c r="C96" s="615" t="s">
        <v>192</v>
      </c>
      <c r="D96" s="346" t="s">
        <v>500</v>
      </c>
      <c r="E96" s="688" t="s">
        <v>751</v>
      </c>
      <c r="F96" s="688"/>
      <c r="G96" s="697">
        <f>H96+I96</f>
        <v>322000</v>
      </c>
      <c r="H96" s="697">
        <f>'d3'!E74</f>
        <v>0</v>
      </c>
      <c r="I96" s="697">
        <f>'d3'!J74</f>
        <v>322000</v>
      </c>
      <c r="J96" s="697">
        <f>'d3'!K74</f>
        <v>0</v>
      </c>
    </row>
    <row r="97" spans="1:17" ht="184.5" thickTop="1" thickBot="1" x14ac:dyDescent="0.25">
      <c r="A97" s="617"/>
      <c r="B97" s="617"/>
      <c r="C97" s="617"/>
      <c r="D97" s="347" t="s">
        <v>501</v>
      </c>
      <c r="E97" s="689"/>
      <c r="F97" s="689"/>
      <c r="G97" s="689"/>
      <c r="H97" s="689"/>
      <c r="I97" s="698"/>
      <c r="J97" s="698"/>
      <c r="K97" s="414"/>
      <c r="L97" s="417"/>
      <c r="M97" s="417"/>
    </row>
    <row r="98" spans="1:17" ht="181.5" thickTop="1" thickBot="1" x14ac:dyDescent="0.25">
      <c r="A98" s="435">
        <v>1000000</v>
      </c>
      <c r="B98" s="435"/>
      <c r="C98" s="435"/>
      <c r="D98" s="436" t="s">
        <v>26</v>
      </c>
      <c r="E98" s="437"/>
      <c r="F98" s="438"/>
      <c r="G98" s="438">
        <f>G99</f>
        <v>134801417</v>
      </c>
      <c r="H98" s="438">
        <f t="shared" ref="H98:J98" si="9">H99</f>
        <v>121657517</v>
      </c>
      <c r="I98" s="437">
        <f t="shared" si="9"/>
        <v>13143900</v>
      </c>
      <c r="J98" s="437">
        <f t="shared" si="9"/>
        <v>3313500</v>
      </c>
      <c r="K98" s="427" t="b">
        <f>H98='d3'!E77</f>
        <v>1</v>
      </c>
      <c r="L98" s="428" t="b">
        <f>I98='d3'!J77</f>
        <v>1</v>
      </c>
      <c r="M98" s="429" t="b">
        <f>J98='d3'!K77</f>
        <v>1</v>
      </c>
    </row>
    <row r="99" spans="1:17" ht="181.5" thickTop="1" thickBot="1" x14ac:dyDescent="0.25">
      <c r="A99" s="439">
        <v>1010000</v>
      </c>
      <c r="B99" s="439"/>
      <c r="C99" s="439"/>
      <c r="D99" s="440" t="s">
        <v>43</v>
      </c>
      <c r="E99" s="441"/>
      <c r="F99" s="441"/>
      <c r="G99" s="441">
        <f>SUM(G100:G112)</f>
        <v>134801417</v>
      </c>
      <c r="H99" s="441">
        <f>SUM(H100:H112)</f>
        <v>121657517</v>
      </c>
      <c r="I99" s="441">
        <f>SUM(I100:I112)</f>
        <v>13143900</v>
      </c>
      <c r="J99" s="441">
        <f>SUM(J100:J112)</f>
        <v>3313500</v>
      </c>
    </row>
    <row r="100" spans="1:17" ht="230.25" thickTop="1" thickBot="1" x14ac:dyDescent="0.25">
      <c r="A100" s="520" t="s">
        <v>18</v>
      </c>
      <c r="B100" s="520" t="s">
        <v>207</v>
      </c>
      <c r="C100" s="520" t="s">
        <v>208</v>
      </c>
      <c r="D100" s="520" t="s">
        <v>580</v>
      </c>
      <c r="E100" s="519" t="s">
        <v>821</v>
      </c>
      <c r="F100" s="519"/>
      <c r="G100" s="519">
        <f>H100+I100</f>
        <v>78031685</v>
      </c>
      <c r="H100" s="519">
        <f>'d3'!E78</f>
        <v>68969585</v>
      </c>
      <c r="I100" s="519">
        <f>'d3'!J78</f>
        <v>9062100</v>
      </c>
      <c r="J100" s="519">
        <f>'d3'!K78</f>
        <v>0</v>
      </c>
    </row>
    <row r="101" spans="1:17" ht="243" customHeight="1" thickTop="1" thickBot="1" x14ac:dyDescent="0.25">
      <c r="A101" s="520" t="s">
        <v>193</v>
      </c>
      <c r="B101" s="520" t="s">
        <v>194</v>
      </c>
      <c r="C101" s="520" t="s">
        <v>196</v>
      </c>
      <c r="D101" s="520" t="s">
        <v>197</v>
      </c>
      <c r="E101" s="519" t="s">
        <v>821</v>
      </c>
      <c r="F101" s="519"/>
      <c r="G101" s="519">
        <f t="shared" ref="G101:G112" si="10">H101+I101</f>
        <v>964300</v>
      </c>
      <c r="H101" s="519">
        <f>'d3'!E79</f>
        <v>964300</v>
      </c>
      <c r="I101" s="519">
        <f>'d3'!J79</f>
        <v>0</v>
      </c>
      <c r="J101" s="519">
        <f>'d3'!K79</f>
        <v>0</v>
      </c>
    </row>
    <row r="102" spans="1:17" ht="230.25" thickTop="1" thickBot="1" x14ac:dyDescent="0.25">
      <c r="A102" s="520" t="s">
        <v>198</v>
      </c>
      <c r="B102" s="520" t="s">
        <v>199</v>
      </c>
      <c r="C102" s="520" t="s">
        <v>200</v>
      </c>
      <c r="D102" s="520" t="s">
        <v>201</v>
      </c>
      <c r="E102" s="519" t="s">
        <v>821</v>
      </c>
      <c r="F102" s="519"/>
      <c r="G102" s="519">
        <f t="shared" si="10"/>
        <v>13729895</v>
      </c>
      <c r="H102" s="519">
        <f>'d3'!E80-H103</f>
        <v>13634895</v>
      </c>
      <c r="I102" s="519">
        <f>'d3'!J80-I103</f>
        <v>95000</v>
      </c>
      <c r="J102" s="519">
        <f>'d3'!K80-J103</f>
        <v>0</v>
      </c>
    </row>
    <row r="103" spans="1:17" ht="230.25" thickTop="1" thickBot="1" x14ac:dyDescent="0.25">
      <c r="A103" s="520" t="s">
        <v>198</v>
      </c>
      <c r="B103" s="520" t="s">
        <v>199</v>
      </c>
      <c r="C103" s="520" t="s">
        <v>200</v>
      </c>
      <c r="D103" s="520" t="s">
        <v>201</v>
      </c>
      <c r="E103" s="341" t="s">
        <v>512</v>
      </c>
      <c r="F103" s="525" t="s">
        <v>513</v>
      </c>
      <c r="G103" s="519">
        <f>H103+I103</f>
        <v>300000</v>
      </c>
      <c r="H103" s="523">
        <f>(56000+55000)</f>
        <v>111000</v>
      </c>
      <c r="I103" s="519">
        <f>(10000+84000+28000+67000)</f>
        <v>189000</v>
      </c>
      <c r="J103" s="519">
        <f>(10000+84000+28000+67000)</f>
        <v>189000</v>
      </c>
    </row>
    <row r="104" spans="1:17" ht="230.25" thickTop="1" thickBot="1" x14ac:dyDescent="0.25">
      <c r="A104" s="520" t="s">
        <v>202</v>
      </c>
      <c r="B104" s="520" t="s">
        <v>203</v>
      </c>
      <c r="C104" s="520" t="s">
        <v>200</v>
      </c>
      <c r="D104" s="520" t="s">
        <v>531</v>
      </c>
      <c r="E104" s="519" t="s">
        <v>821</v>
      </c>
      <c r="F104" s="519"/>
      <c r="G104" s="519">
        <f t="shared" si="10"/>
        <v>4937155</v>
      </c>
      <c r="H104" s="519">
        <f>'d3'!E81</f>
        <v>1856955</v>
      </c>
      <c r="I104" s="519">
        <f>'d3'!J81</f>
        <v>3080200</v>
      </c>
      <c r="J104" s="519">
        <f>'d3'!K81</f>
        <v>3000000</v>
      </c>
    </row>
    <row r="105" spans="1:17" ht="230.25" thickTop="1" thickBot="1" x14ac:dyDescent="0.25">
      <c r="A105" s="520" t="s">
        <v>204</v>
      </c>
      <c r="B105" s="520" t="s">
        <v>195</v>
      </c>
      <c r="C105" s="520" t="s">
        <v>205</v>
      </c>
      <c r="D105" s="520" t="s">
        <v>206</v>
      </c>
      <c r="E105" s="519" t="s">
        <v>821</v>
      </c>
      <c r="F105" s="519"/>
      <c r="G105" s="519">
        <f t="shared" si="10"/>
        <v>12540515</v>
      </c>
      <c r="H105" s="519">
        <f>'d3'!E82-H106</f>
        <v>12084415</v>
      </c>
      <c r="I105" s="519">
        <f>'d3'!J82-I106</f>
        <v>456100</v>
      </c>
      <c r="J105" s="519">
        <f>'d3'!K82-J106</f>
        <v>0</v>
      </c>
    </row>
    <row r="106" spans="1:17" ht="230.25" thickTop="1" thickBot="1" x14ac:dyDescent="0.25">
      <c r="A106" s="520" t="s">
        <v>204</v>
      </c>
      <c r="B106" s="520" t="s">
        <v>195</v>
      </c>
      <c r="C106" s="520" t="s">
        <v>205</v>
      </c>
      <c r="D106" s="520" t="s">
        <v>206</v>
      </c>
      <c r="E106" s="341" t="s">
        <v>512</v>
      </c>
      <c r="F106" s="525" t="s">
        <v>513</v>
      </c>
      <c r="G106" s="519">
        <f>H106+I106</f>
        <v>149300</v>
      </c>
      <c r="H106" s="523">
        <v>24800</v>
      </c>
      <c r="I106" s="519">
        <v>124500</v>
      </c>
      <c r="J106" s="519">
        <v>124500</v>
      </c>
    </row>
    <row r="107" spans="1:17" ht="230.25" thickTop="1" thickBot="1" x14ac:dyDescent="0.25">
      <c r="A107" s="520" t="s">
        <v>374</v>
      </c>
      <c r="B107" s="520" t="s">
        <v>375</v>
      </c>
      <c r="C107" s="520" t="s">
        <v>209</v>
      </c>
      <c r="D107" s="520" t="s">
        <v>532</v>
      </c>
      <c r="E107" s="566" t="s">
        <v>821</v>
      </c>
      <c r="F107" s="519"/>
      <c r="G107" s="519">
        <f t="shared" si="10"/>
        <v>18470270</v>
      </c>
      <c r="H107" s="519">
        <f>'d3'!E83-H108</f>
        <v>18333270</v>
      </c>
      <c r="I107" s="519">
        <f>'d3'!J83-I108</f>
        <v>137000</v>
      </c>
      <c r="J107" s="519">
        <f>'d3'!K83-J108</f>
        <v>0</v>
      </c>
    </row>
    <row r="108" spans="1:17" ht="199.5" customHeight="1" thickTop="1" thickBot="1" x14ac:dyDescent="0.25">
      <c r="A108" s="520" t="s">
        <v>374</v>
      </c>
      <c r="B108" s="520" t="s">
        <v>375</v>
      </c>
      <c r="C108" s="520" t="s">
        <v>209</v>
      </c>
      <c r="D108" s="520" t="s">
        <v>532</v>
      </c>
      <c r="E108" s="519" t="s">
        <v>826</v>
      </c>
      <c r="F108" s="519" t="s">
        <v>457</v>
      </c>
      <c r="G108" s="519">
        <f t="shared" si="10"/>
        <v>804000</v>
      </c>
      <c r="H108" s="519">
        <v>804000</v>
      </c>
      <c r="I108" s="519">
        <v>0</v>
      </c>
      <c r="J108" s="519">
        <v>0</v>
      </c>
    </row>
    <row r="109" spans="1:17" ht="246" customHeight="1" thickTop="1" thickBot="1" x14ac:dyDescent="0.25">
      <c r="A109" s="520" t="s">
        <v>376</v>
      </c>
      <c r="B109" s="520" t="s">
        <v>377</v>
      </c>
      <c r="C109" s="520" t="s">
        <v>209</v>
      </c>
      <c r="D109" s="520" t="s">
        <v>533</v>
      </c>
      <c r="E109" s="566" t="s">
        <v>821</v>
      </c>
      <c r="F109" s="519"/>
      <c r="G109" s="519">
        <f t="shared" si="10"/>
        <v>3837160</v>
      </c>
      <c r="H109" s="519">
        <f>'d3'!E84-H110-H111</f>
        <v>3837160</v>
      </c>
      <c r="I109" s="519">
        <f>'d3'!J84-I110-I111</f>
        <v>0</v>
      </c>
      <c r="J109" s="519">
        <f>'d3'!K84-J110-J111</f>
        <v>0</v>
      </c>
    </row>
    <row r="110" spans="1:17" ht="178.5" customHeight="1" thickTop="1" thickBot="1" x14ac:dyDescent="0.25">
      <c r="A110" s="520" t="s">
        <v>376</v>
      </c>
      <c r="B110" s="520" t="s">
        <v>377</v>
      </c>
      <c r="C110" s="520" t="s">
        <v>209</v>
      </c>
      <c r="D110" s="520" t="s">
        <v>533</v>
      </c>
      <c r="E110" s="519" t="s">
        <v>826</v>
      </c>
      <c r="F110" s="519" t="s">
        <v>457</v>
      </c>
      <c r="G110" s="519">
        <f t="shared" si="10"/>
        <v>315000</v>
      </c>
      <c r="H110" s="519">
        <v>315000</v>
      </c>
      <c r="I110" s="519">
        <v>0</v>
      </c>
      <c r="J110" s="519">
        <v>0</v>
      </c>
    </row>
    <row r="111" spans="1:17" ht="310.7" customHeight="1" thickTop="1" thickBot="1" x14ac:dyDescent="0.25">
      <c r="A111" s="520" t="s">
        <v>376</v>
      </c>
      <c r="B111" s="520" t="s">
        <v>377</v>
      </c>
      <c r="C111" s="520" t="s">
        <v>209</v>
      </c>
      <c r="D111" s="520" t="s">
        <v>533</v>
      </c>
      <c r="E111" s="519" t="s">
        <v>824</v>
      </c>
      <c r="F111" s="519"/>
      <c r="G111" s="519">
        <f t="shared" si="10"/>
        <v>164000</v>
      </c>
      <c r="H111" s="519">
        <v>164000</v>
      </c>
      <c r="I111" s="519">
        <v>0</v>
      </c>
      <c r="J111" s="519">
        <v>0</v>
      </c>
      <c r="K111" s="249"/>
      <c r="L111" s="249"/>
    </row>
    <row r="112" spans="1:17" s="478" customFormat="1" ht="230.25" thickTop="1" thickBot="1" x14ac:dyDescent="0.25">
      <c r="A112" s="521" t="s">
        <v>825</v>
      </c>
      <c r="B112" s="521" t="s">
        <v>411</v>
      </c>
      <c r="C112" s="521" t="s">
        <v>47</v>
      </c>
      <c r="D112" s="521" t="s">
        <v>412</v>
      </c>
      <c r="E112" s="341" t="s">
        <v>751</v>
      </c>
      <c r="F112" s="519"/>
      <c r="G112" s="519">
        <f t="shared" si="10"/>
        <v>558137</v>
      </c>
      <c r="H112" s="519">
        <f>'d3'!E85</f>
        <v>558137</v>
      </c>
      <c r="I112" s="519">
        <f>'d3'!J85</f>
        <v>0</v>
      </c>
      <c r="J112" s="519">
        <f>'d3'!K85</f>
        <v>0</v>
      </c>
      <c r="K112" s="488"/>
      <c r="L112" s="488"/>
      <c r="M112" s="482"/>
      <c r="N112" s="482"/>
      <c r="O112" s="482"/>
      <c r="P112" s="482"/>
      <c r="Q112" s="482"/>
    </row>
    <row r="113" spans="1:17" ht="163.5" customHeight="1" thickTop="1" thickBot="1" x14ac:dyDescent="0.25">
      <c r="A113" s="435" t="s">
        <v>24</v>
      </c>
      <c r="B113" s="435"/>
      <c r="C113" s="435"/>
      <c r="D113" s="436" t="s">
        <v>25</v>
      </c>
      <c r="E113" s="437"/>
      <c r="F113" s="438"/>
      <c r="G113" s="438">
        <f>G114</f>
        <v>89868333</v>
      </c>
      <c r="H113" s="438">
        <f t="shared" ref="H113:J113" si="11">H114</f>
        <v>86215807</v>
      </c>
      <c r="I113" s="437">
        <f t="shared" si="11"/>
        <v>3652526</v>
      </c>
      <c r="J113" s="437">
        <f t="shared" si="11"/>
        <v>1648281</v>
      </c>
      <c r="K113" s="427" t="b">
        <f>H113='d3'!E87+'d4'!F12</f>
        <v>1</v>
      </c>
      <c r="L113" s="428" t="b">
        <f>I113='d3'!J86+'d4'!G12</f>
        <v>1</v>
      </c>
      <c r="M113" s="428" t="b">
        <f>J113='d3'!K86+'d4'!H12</f>
        <v>1</v>
      </c>
    </row>
    <row r="114" spans="1:17" ht="175.7" customHeight="1" thickTop="1" thickBot="1" x14ac:dyDescent="0.25">
      <c r="A114" s="439" t="s">
        <v>23</v>
      </c>
      <c r="B114" s="439"/>
      <c r="C114" s="439"/>
      <c r="D114" s="440" t="s">
        <v>39</v>
      </c>
      <c r="E114" s="441"/>
      <c r="F114" s="441"/>
      <c r="G114" s="441">
        <f>SUM(G115:G129)</f>
        <v>89868333</v>
      </c>
      <c r="H114" s="441">
        <f>SUM(H115:H129)</f>
        <v>86215807</v>
      </c>
      <c r="I114" s="441">
        <f>SUM(I115:I129)</f>
        <v>3652526</v>
      </c>
      <c r="J114" s="441">
        <f>SUM(J115:J129)</f>
        <v>1648281</v>
      </c>
    </row>
    <row r="115" spans="1:17" ht="321.75" thickTop="1" thickBot="1" x14ac:dyDescent="0.25">
      <c r="A115" s="520" t="s">
        <v>210</v>
      </c>
      <c r="B115" s="520" t="s">
        <v>211</v>
      </c>
      <c r="C115" s="520" t="s">
        <v>212</v>
      </c>
      <c r="D115" s="520" t="s">
        <v>213</v>
      </c>
      <c r="E115" s="341" t="s">
        <v>829</v>
      </c>
      <c r="F115" s="519" t="s">
        <v>459</v>
      </c>
      <c r="G115" s="519">
        <f t="shared" ref="G115:G116" si="12">H115+I115</f>
        <v>5299595</v>
      </c>
      <c r="H115" s="523">
        <f>'d3'!E88</f>
        <v>5299595</v>
      </c>
      <c r="I115" s="524">
        <f>'d3'!J88</f>
        <v>0</v>
      </c>
      <c r="J115" s="519">
        <f>'d3'!K88</f>
        <v>0</v>
      </c>
    </row>
    <row r="116" spans="1:17" ht="321.75" thickTop="1" thickBot="1" x14ac:dyDescent="0.25">
      <c r="A116" s="520" t="s">
        <v>217</v>
      </c>
      <c r="B116" s="520" t="s">
        <v>218</v>
      </c>
      <c r="C116" s="520" t="s">
        <v>212</v>
      </c>
      <c r="D116" s="520" t="s">
        <v>10</v>
      </c>
      <c r="E116" s="341" t="s">
        <v>829</v>
      </c>
      <c r="F116" s="519" t="s">
        <v>459</v>
      </c>
      <c r="G116" s="519">
        <f t="shared" si="12"/>
        <v>5494267</v>
      </c>
      <c r="H116" s="523">
        <f>'d3'!E89</f>
        <v>4435310</v>
      </c>
      <c r="I116" s="524">
        <f>'d3'!J89</f>
        <v>1058957</v>
      </c>
      <c r="J116" s="519">
        <f>'d3'!K89</f>
        <v>733957</v>
      </c>
    </row>
    <row r="117" spans="1:17" ht="321.75" thickTop="1" thickBot="1" x14ac:dyDescent="0.25">
      <c r="A117" s="520" t="s">
        <v>397</v>
      </c>
      <c r="B117" s="520" t="s">
        <v>398</v>
      </c>
      <c r="C117" s="520" t="s">
        <v>212</v>
      </c>
      <c r="D117" s="520" t="s">
        <v>399</v>
      </c>
      <c r="E117" s="341" t="s">
        <v>829</v>
      </c>
      <c r="F117" s="519" t="s">
        <v>459</v>
      </c>
      <c r="G117" s="519">
        <f t="shared" ref="G117:G121" si="13">H117+I117</f>
        <v>6771860</v>
      </c>
      <c r="H117" s="523">
        <f>'d3'!E90</f>
        <v>6768860</v>
      </c>
      <c r="I117" s="524">
        <f>'d3'!J90</f>
        <v>3000</v>
      </c>
      <c r="J117" s="519">
        <f>'d3'!K90</f>
        <v>0</v>
      </c>
    </row>
    <row r="118" spans="1:17" ht="321.75" thickTop="1" thickBot="1" x14ac:dyDescent="0.25">
      <c r="A118" s="520" t="s">
        <v>48</v>
      </c>
      <c r="B118" s="520" t="s">
        <v>214</v>
      </c>
      <c r="C118" s="520" t="s">
        <v>223</v>
      </c>
      <c r="D118" s="520" t="s">
        <v>49</v>
      </c>
      <c r="E118" s="341" t="s">
        <v>829</v>
      </c>
      <c r="F118" s="519" t="s">
        <v>459</v>
      </c>
      <c r="G118" s="519">
        <f t="shared" si="13"/>
        <v>11566830</v>
      </c>
      <c r="H118" s="519">
        <f>'d3'!E91</f>
        <v>11566830</v>
      </c>
      <c r="I118" s="524">
        <f>'d3'!J91</f>
        <v>0</v>
      </c>
      <c r="J118" s="519">
        <f>'d3'!K91</f>
        <v>0</v>
      </c>
    </row>
    <row r="119" spans="1:17" ht="321.75" thickTop="1" thickBot="1" x14ac:dyDescent="0.25">
      <c r="A119" s="520" t="s">
        <v>50</v>
      </c>
      <c r="B119" s="520" t="s">
        <v>215</v>
      </c>
      <c r="C119" s="520" t="s">
        <v>223</v>
      </c>
      <c r="D119" s="520" t="s">
        <v>4</v>
      </c>
      <c r="E119" s="341" t="s">
        <v>829</v>
      </c>
      <c r="F119" s="519" t="s">
        <v>459</v>
      </c>
      <c r="G119" s="519">
        <f t="shared" si="13"/>
        <v>1909585</v>
      </c>
      <c r="H119" s="519">
        <f>'d3'!E92</f>
        <v>1909585</v>
      </c>
      <c r="I119" s="524">
        <f>'d3'!J92</f>
        <v>0</v>
      </c>
      <c r="J119" s="519">
        <f>'d3'!K92</f>
        <v>0</v>
      </c>
    </row>
    <row r="120" spans="1:17" ht="321.75" thickTop="1" thickBot="1" x14ac:dyDescent="0.25">
      <c r="A120" s="520" t="s">
        <v>51</v>
      </c>
      <c r="B120" s="520" t="s">
        <v>216</v>
      </c>
      <c r="C120" s="520" t="s">
        <v>223</v>
      </c>
      <c r="D120" s="520" t="s">
        <v>395</v>
      </c>
      <c r="E120" s="341" t="s">
        <v>829</v>
      </c>
      <c r="F120" s="519" t="s">
        <v>459</v>
      </c>
      <c r="G120" s="519">
        <f t="shared" si="13"/>
        <v>60300</v>
      </c>
      <c r="H120" s="519">
        <f>'d3'!E93</f>
        <v>60300</v>
      </c>
      <c r="I120" s="524">
        <f>'d3'!J93</f>
        <v>0</v>
      </c>
      <c r="J120" s="519">
        <f>'d3'!K93</f>
        <v>0</v>
      </c>
    </row>
    <row r="121" spans="1:17" ht="321.75" thickTop="1" thickBot="1" x14ac:dyDescent="0.25">
      <c r="A121" s="520" t="s">
        <v>30</v>
      </c>
      <c r="B121" s="520" t="s">
        <v>220</v>
      </c>
      <c r="C121" s="520" t="s">
        <v>223</v>
      </c>
      <c r="D121" s="520" t="s">
        <v>52</v>
      </c>
      <c r="E121" s="341" t="s">
        <v>829</v>
      </c>
      <c r="F121" s="519" t="s">
        <v>459</v>
      </c>
      <c r="G121" s="519">
        <f t="shared" si="13"/>
        <v>46052405</v>
      </c>
      <c r="H121" s="519">
        <f>'d3'!E94-H122</f>
        <v>43854160</v>
      </c>
      <c r="I121" s="524">
        <f>'d3'!J94-I122</f>
        <v>2198245</v>
      </c>
      <c r="J121" s="519">
        <f>'d3'!K94-J122</f>
        <v>622000</v>
      </c>
    </row>
    <row r="122" spans="1:17" ht="230.25" thickTop="1" thickBot="1" x14ac:dyDescent="0.25">
      <c r="A122" s="520" t="s">
        <v>30</v>
      </c>
      <c r="B122" s="520" t="s">
        <v>220</v>
      </c>
      <c r="C122" s="520" t="s">
        <v>223</v>
      </c>
      <c r="D122" s="520" t="s">
        <v>52</v>
      </c>
      <c r="E122" s="341" t="s">
        <v>512</v>
      </c>
      <c r="F122" s="525" t="s">
        <v>513</v>
      </c>
      <c r="G122" s="519">
        <f>H122+I122</f>
        <v>414145</v>
      </c>
      <c r="H122" s="523">
        <f>(27100+117565+67500)</f>
        <v>212165</v>
      </c>
      <c r="I122" s="519">
        <f>(91670+32400+77910)</f>
        <v>201980</v>
      </c>
      <c r="J122" s="519">
        <f>(91670+32400+77910)</f>
        <v>201980</v>
      </c>
    </row>
    <row r="123" spans="1:17" ht="321.75" thickTop="1" thickBot="1" x14ac:dyDescent="0.25">
      <c r="A123" s="520" t="s">
        <v>31</v>
      </c>
      <c r="B123" s="520" t="s">
        <v>221</v>
      </c>
      <c r="C123" s="520" t="s">
        <v>223</v>
      </c>
      <c r="D123" s="520" t="s">
        <v>53</v>
      </c>
      <c r="E123" s="341" t="s">
        <v>829</v>
      </c>
      <c r="F123" s="519" t="s">
        <v>459</v>
      </c>
      <c r="G123" s="519">
        <f t="shared" ref="G123:G129" si="14">H123+I123</f>
        <v>8112790</v>
      </c>
      <c r="H123" s="519">
        <f>'d3'!E95</f>
        <v>8097590</v>
      </c>
      <c r="I123" s="524">
        <f>'d3'!J95</f>
        <v>15200</v>
      </c>
      <c r="J123" s="519">
        <f>'d3'!K95</f>
        <v>15200</v>
      </c>
    </row>
    <row r="124" spans="1:17" ht="321.75" thickTop="1" thickBot="1" x14ac:dyDescent="0.25">
      <c r="A124" s="430" t="s">
        <v>32</v>
      </c>
      <c r="B124" s="430" t="s">
        <v>222</v>
      </c>
      <c r="C124" s="430" t="s">
        <v>223</v>
      </c>
      <c r="D124" s="520" t="s">
        <v>33</v>
      </c>
      <c r="E124" s="341" t="s">
        <v>829</v>
      </c>
      <c r="F124" s="519" t="s">
        <v>459</v>
      </c>
      <c r="G124" s="519">
        <f t="shared" si="14"/>
        <v>112820</v>
      </c>
      <c r="H124" s="519">
        <f>'d3'!E96</f>
        <v>112820</v>
      </c>
      <c r="I124" s="524">
        <f>'d3'!J96</f>
        <v>0</v>
      </c>
      <c r="J124" s="519">
        <f>'d3'!K96</f>
        <v>0</v>
      </c>
    </row>
    <row r="125" spans="1:17" ht="321.75" thickTop="1" thickBot="1" x14ac:dyDescent="0.25">
      <c r="A125" s="430" t="s">
        <v>593</v>
      </c>
      <c r="B125" s="430" t="s">
        <v>591</v>
      </c>
      <c r="C125" s="430" t="s">
        <v>223</v>
      </c>
      <c r="D125" s="520" t="s">
        <v>592</v>
      </c>
      <c r="E125" s="341" t="s">
        <v>829</v>
      </c>
      <c r="F125" s="519" t="s">
        <v>459</v>
      </c>
      <c r="G125" s="519">
        <f t="shared" si="14"/>
        <v>1968927</v>
      </c>
      <c r="H125" s="519">
        <f>'d3'!E97</f>
        <v>1968927</v>
      </c>
      <c r="I125" s="524">
        <f>'d3'!J97</f>
        <v>0</v>
      </c>
      <c r="J125" s="524">
        <f>'d3'!K97</f>
        <v>0</v>
      </c>
    </row>
    <row r="126" spans="1:17" ht="321.75" thickTop="1" thickBot="1" x14ac:dyDescent="0.25">
      <c r="A126" s="430" t="s">
        <v>34</v>
      </c>
      <c r="B126" s="430" t="s">
        <v>224</v>
      </c>
      <c r="C126" s="430" t="s">
        <v>223</v>
      </c>
      <c r="D126" s="520" t="s">
        <v>35</v>
      </c>
      <c r="E126" s="341" t="s">
        <v>829</v>
      </c>
      <c r="F126" s="519" t="s">
        <v>459</v>
      </c>
      <c r="G126" s="519">
        <f t="shared" si="14"/>
        <v>1741665</v>
      </c>
      <c r="H126" s="519">
        <f>'d3'!E98</f>
        <v>1711665</v>
      </c>
      <c r="I126" s="524">
        <f>'d3'!J98</f>
        <v>30000</v>
      </c>
      <c r="J126" s="519">
        <f>'d3'!K98</f>
        <v>30000</v>
      </c>
    </row>
    <row r="127" spans="1:17" ht="321.75" thickTop="1" thickBot="1" x14ac:dyDescent="0.25">
      <c r="A127" s="430" t="s">
        <v>386</v>
      </c>
      <c r="B127" s="430" t="s">
        <v>385</v>
      </c>
      <c r="C127" s="430" t="s">
        <v>384</v>
      </c>
      <c r="D127" s="520" t="s">
        <v>383</v>
      </c>
      <c r="E127" s="341" t="s">
        <v>829</v>
      </c>
      <c r="F127" s="519" t="s">
        <v>459</v>
      </c>
      <c r="G127" s="519">
        <f t="shared" si="14"/>
        <v>18000</v>
      </c>
      <c r="H127" s="519">
        <f>'d3'!E99</f>
        <v>18000</v>
      </c>
      <c r="I127" s="524">
        <f>'d3'!J99</f>
        <v>0</v>
      </c>
      <c r="J127" s="524">
        <f>'d3'!K99</f>
        <v>0</v>
      </c>
    </row>
    <row r="128" spans="1:17" s="576" customFormat="1" ht="321.75" thickTop="1" thickBot="1" x14ac:dyDescent="0.25">
      <c r="A128" s="578" t="s">
        <v>864</v>
      </c>
      <c r="B128" s="578" t="s">
        <v>225</v>
      </c>
      <c r="C128" s="578" t="s">
        <v>192</v>
      </c>
      <c r="D128" s="578" t="s">
        <v>38</v>
      </c>
      <c r="E128" s="341" t="s">
        <v>829</v>
      </c>
      <c r="F128" s="577" t="s">
        <v>459</v>
      </c>
      <c r="G128" s="577">
        <f t="shared" ref="G128" si="15">H128+I128</f>
        <v>45144</v>
      </c>
      <c r="H128" s="577">
        <f>'d3'!E100</f>
        <v>0</v>
      </c>
      <c r="I128" s="579">
        <f>'d3'!J100</f>
        <v>45144</v>
      </c>
      <c r="J128" s="579">
        <f>'d3'!K100</f>
        <v>45144</v>
      </c>
      <c r="K128" s="580"/>
      <c r="L128" s="580"/>
      <c r="M128" s="580"/>
      <c r="N128" s="580"/>
      <c r="O128" s="580"/>
      <c r="P128" s="580"/>
      <c r="Q128" s="580"/>
    </row>
    <row r="129" spans="1:17" ht="321.75" thickTop="1" thickBot="1" x14ac:dyDescent="0.25">
      <c r="A129" s="430" t="s">
        <v>521</v>
      </c>
      <c r="B129" s="430" t="s">
        <v>524</v>
      </c>
      <c r="C129" s="430" t="s">
        <v>54</v>
      </c>
      <c r="D129" s="520" t="s">
        <v>520</v>
      </c>
      <c r="E129" s="341" t="s">
        <v>829</v>
      </c>
      <c r="F129" s="519" t="s">
        <v>459</v>
      </c>
      <c r="G129" s="519">
        <f t="shared" si="14"/>
        <v>300000</v>
      </c>
      <c r="H129" s="519">
        <f>'d4'!F14</f>
        <v>200000</v>
      </c>
      <c r="I129" s="524">
        <f>'d4'!G14</f>
        <v>100000</v>
      </c>
      <c r="J129" s="524">
        <f>'d4'!H14</f>
        <v>0</v>
      </c>
    </row>
    <row r="130" spans="1:17" s="278" customFormat="1" ht="181.5" thickTop="1" thickBot="1" x14ac:dyDescent="0.25">
      <c r="A130" s="435" t="s">
        <v>180</v>
      </c>
      <c r="B130" s="435"/>
      <c r="C130" s="435"/>
      <c r="D130" s="436" t="s">
        <v>754</v>
      </c>
      <c r="E130" s="437"/>
      <c r="F130" s="438"/>
      <c r="G130" s="512">
        <f>G131</f>
        <v>48617301</v>
      </c>
      <c r="H130" s="512">
        <f t="shared" ref="H130:J130" si="16">H131</f>
        <v>17825300</v>
      </c>
      <c r="I130" s="513">
        <f t="shared" si="16"/>
        <v>30792001</v>
      </c>
      <c r="J130" s="513">
        <f t="shared" si="16"/>
        <v>30602001</v>
      </c>
      <c r="K130" s="427" t="b">
        <f>H130='d3'!E101-'d3'!E103+'d7'!H132</f>
        <v>1</v>
      </c>
      <c r="L130" s="427" t="b">
        <f>I130='d3'!J101-'d3'!J103+I132</f>
        <v>1</v>
      </c>
      <c r="M130" s="427" t="b">
        <f>J130='d3'!K101-'d3'!K103+J132</f>
        <v>1</v>
      </c>
      <c r="N130" s="370"/>
      <c r="O130" s="370"/>
      <c r="P130" s="370"/>
      <c r="Q130" s="370"/>
    </row>
    <row r="131" spans="1:17" s="278" customFormat="1" ht="181.5" thickTop="1" thickBot="1" x14ac:dyDescent="0.25">
      <c r="A131" s="439" t="s">
        <v>181</v>
      </c>
      <c r="B131" s="439"/>
      <c r="C131" s="439"/>
      <c r="D131" s="440" t="s">
        <v>755</v>
      </c>
      <c r="E131" s="441"/>
      <c r="F131" s="441"/>
      <c r="G131" s="514">
        <f>SUM(G132:G142)</f>
        <v>48617301</v>
      </c>
      <c r="H131" s="514">
        <f>SUM(H132:H142)</f>
        <v>17825300</v>
      </c>
      <c r="I131" s="514">
        <f>SUM(I132:I142)</f>
        <v>30792001</v>
      </c>
      <c r="J131" s="514">
        <f>SUM(J132:J142)</f>
        <v>30602001</v>
      </c>
      <c r="K131" s="370"/>
      <c r="L131" s="370"/>
      <c r="M131" s="370"/>
      <c r="N131" s="370"/>
      <c r="O131" s="370"/>
      <c r="P131" s="370"/>
      <c r="Q131" s="370"/>
    </row>
    <row r="132" spans="1:17" s="278" customFormat="1" ht="230.25" thickTop="1" thickBot="1" x14ac:dyDescent="0.25">
      <c r="A132" s="421" t="s">
        <v>472</v>
      </c>
      <c r="B132" s="421" t="s">
        <v>266</v>
      </c>
      <c r="C132" s="421" t="s">
        <v>264</v>
      </c>
      <c r="D132" s="421" t="s">
        <v>265</v>
      </c>
      <c r="E132" s="422" t="s">
        <v>778</v>
      </c>
      <c r="F132" s="423"/>
      <c r="G132" s="423">
        <f t="shared" ref="G132:G164" si="17">H132+I132</f>
        <v>36000</v>
      </c>
      <c r="H132" s="424"/>
      <c r="I132" s="506">
        <v>36000</v>
      </c>
      <c r="J132" s="506">
        <v>36000</v>
      </c>
      <c r="K132" s="370"/>
      <c r="L132" s="370"/>
      <c r="M132" s="370"/>
      <c r="N132" s="370"/>
      <c r="O132" s="370"/>
      <c r="P132" s="370"/>
      <c r="Q132" s="370"/>
    </row>
    <row r="133" spans="1:17" s="278" customFormat="1" ht="276" thickTop="1" thickBot="1" x14ac:dyDescent="0.25">
      <c r="A133" s="692" t="s">
        <v>310</v>
      </c>
      <c r="B133" s="692" t="s">
        <v>311</v>
      </c>
      <c r="C133" s="692" t="s">
        <v>384</v>
      </c>
      <c r="D133" s="692" t="s">
        <v>312</v>
      </c>
      <c r="E133" s="523" t="s">
        <v>808</v>
      </c>
      <c r="F133" s="523" t="s">
        <v>809</v>
      </c>
      <c r="G133" s="423">
        <f t="shared" si="17"/>
        <v>7328440</v>
      </c>
      <c r="H133" s="523">
        <v>350000</v>
      </c>
      <c r="I133" s="524">
        <v>6978440</v>
      </c>
      <c r="J133" s="524">
        <v>6978440</v>
      </c>
      <c r="K133" s="370"/>
      <c r="L133" s="370"/>
      <c r="M133" s="370"/>
      <c r="N133" s="370"/>
      <c r="O133" s="370"/>
      <c r="P133" s="370"/>
      <c r="Q133" s="370"/>
    </row>
    <row r="134" spans="1:17" s="278" customFormat="1" ht="230.25" thickTop="1" thickBot="1" x14ac:dyDescent="0.25">
      <c r="A134" s="693"/>
      <c r="B134" s="693"/>
      <c r="C134" s="693"/>
      <c r="D134" s="693"/>
      <c r="E134" s="477" t="s">
        <v>810</v>
      </c>
      <c r="F134" s="477" t="s">
        <v>811</v>
      </c>
      <c r="G134" s="423">
        <f t="shared" si="17"/>
        <v>5692100</v>
      </c>
      <c r="H134" s="523">
        <f>'d3'!E104-'d7'!H133</f>
        <v>2325300</v>
      </c>
      <c r="I134" s="524">
        <f>'d3'!J104-'d7'!I133</f>
        <v>3366800</v>
      </c>
      <c r="J134" s="524">
        <f>'d3'!K104-'d7'!J133</f>
        <v>3366800</v>
      </c>
      <c r="K134" s="370"/>
      <c r="L134" s="370"/>
      <c r="M134" s="370"/>
      <c r="N134" s="370"/>
      <c r="O134" s="370"/>
      <c r="P134" s="370"/>
      <c r="Q134" s="370"/>
    </row>
    <row r="135" spans="1:17" s="278" customFormat="1" ht="276" thickTop="1" thickBot="1" x14ac:dyDescent="0.25">
      <c r="A135" s="520" t="s">
        <v>332</v>
      </c>
      <c r="B135" s="520" t="s">
        <v>333</v>
      </c>
      <c r="C135" s="520" t="s">
        <v>313</v>
      </c>
      <c r="D135" s="520" t="s">
        <v>334</v>
      </c>
      <c r="E135" s="424" t="s">
        <v>808</v>
      </c>
      <c r="F135" s="424" t="s">
        <v>809</v>
      </c>
      <c r="G135" s="423">
        <f t="shared" si="17"/>
        <v>5000000</v>
      </c>
      <c r="H135" s="424">
        <f>'d3'!E105</f>
        <v>0</v>
      </c>
      <c r="I135" s="506">
        <f>'d3'!J105</f>
        <v>5000000</v>
      </c>
      <c r="J135" s="506">
        <f>'d3'!K105</f>
        <v>5000000</v>
      </c>
      <c r="K135" s="370"/>
      <c r="L135" s="370"/>
      <c r="M135" s="370"/>
      <c r="N135" s="370"/>
      <c r="O135" s="370"/>
      <c r="P135" s="370"/>
      <c r="Q135" s="370"/>
    </row>
    <row r="136" spans="1:17" s="278" customFormat="1" ht="276" thickTop="1" thickBot="1" x14ac:dyDescent="0.25">
      <c r="A136" s="692" t="s">
        <v>314</v>
      </c>
      <c r="B136" s="692" t="s">
        <v>315</v>
      </c>
      <c r="C136" s="692" t="s">
        <v>313</v>
      </c>
      <c r="D136" s="692" t="s">
        <v>534</v>
      </c>
      <c r="E136" s="424" t="s">
        <v>808</v>
      </c>
      <c r="F136" s="507" t="s">
        <v>809</v>
      </c>
      <c r="G136" s="423">
        <f t="shared" si="17"/>
        <v>13209200</v>
      </c>
      <c r="H136" s="508">
        <f>'d3'!E106-H137</f>
        <v>550000</v>
      </c>
      <c r="I136" s="506">
        <f>'d3'!J106-'d7'!I137</f>
        <v>12659200</v>
      </c>
      <c r="J136" s="506">
        <f>'d3'!K106-'d7'!J137</f>
        <v>12659200</v>
      </c>
      <c r="K136" s="370"/>
      <c r="L136" s="370"/>
      <c r="M136" s="370"/>
      <c r="N136" s="370"/>
      <c r="O136" s="370"/>
      <c r="P136" s="370"/>
      <c r="Q136" s="370"/>
    </row>
    <row r="137" spans="1:17" s="278" customFormat="1" ht="230.25" thickTop="1" thickBot="1" x14ac:dyDescent="0.25">
      <c r="A137" s="694"/>
      <c r="B137" s="694"/>
      <c r="C137" s="694"/>
      <c r="D137" s="694"/>
      <c r="E137" s="509" t="s">
        <v>512</v>
      </c>
      <c r="F137" s="510" t="s">
        <v>513</v>
      </c>
      <c r="G137" s="423">
        <f t="shared" si="17"/>
        <v>461561</v>
      </c>
      <c r="H137" s="508">
        <v>0</v>
      </c>
      <c r="I137" s="506">
        <v>461561</v>
      </c>
      <c r="J137" s="506">
        <v>461561</v>
      </c>
      <c r="K137" s="370"/>
      <c r="L137" s="370"/>
      <c r="M137" s="370"/>
      <c r="N137" s="370"/>
      <c r="O137" s="370"/>
      <c r="P137" s="370"/>
      <c r="Q137" s="370"/>
    </row>
    <row r="138" spans="1:17" s="278" customFormat="1" ht="276" thickTop="1" thickBot="1" x14ac:dyDescent="0.25">
      <c r="A138" s="520" t="s">
        <v>318</v>
      </c>
      <c r="B138" s="520" t="s">
        <v>319</v>
      </c>
      <c r="C138" s="520" t="s">
        <v>313</v>
      </c>
      <c r="D138" s="520" t="s">
        <v>320</v>
      </c>
      <c r="E138" s="424" t="s">
        <v>808</v>
      </c>
      <c r="F138" s="424" t="s">
        <v>809</v>
      </c>
      <c r="G138" s="423">
        <f t="shared" si="17"/>
        <v>14100000</v>
      </c>
      <c r="H138" s="424">
        <f>'d3'!E107</f>
        <v>14100000</v>
      </c>
      <c r="I138" s="506">
        <f>'d3'!J107</f>
        <v>0</v>
      </c>
      <c r="J138" s="506">
        <f>'d3'!K107</f>
        <v>0</v>
      </c>
      <c r="K138" s="370"/>
      <c r="L138" s="370"/>
      <c r="M138" s="370"/>
      <c r="N138" s="370"/>
      <c r="O138" s="370"/>
      <c r="P138" s="370"/>
      <c r="Q138" s="370"/>
    </row>
    <row r="139" spans="1:17" s="278" customFormat="1" ht="409.6" thickTop="1" thickBot="1" x14ac:dyDescent="0.25">
      <c r="A139" s="692" t="s">
        <v>327</v>
      </c>
      <c r="B139" s="692" t="s">
        <v>242</v>
      </c>
      <c r="C139" s="692" t="s">
        <v>243</v>
      </c>
      <c r="D139" s="692" t="s">
        <v>45</v>
      </c>
      <c r="E139" s="342" t="s">
        <v>812</v>
      </c>
      <c r="F139" s="423" t="s">
        <v>830</v>
      </c>
      <c r="G139" s="423">
        <f t="shared" si="17"/>
        <v>500000</v>
      </c>
      <c r="H139" s="424">
        <v>500000</v>
      </c>
      <c r="I139" s="506">
        <v>0</v>
      </c>
      <c r="J139" s="506">
        <v>0</v>
      </c>
      <c r="K139" s="370"/>
      <c r="L139" s="370"/>
      <c r="M139" s="370"/>
      <c r="N139" s="370"/>
      <c r="O139" s="370"/>
      <c r="P139" s="370"/>
      <c r="Q139" s="370"/>
    </row>
    <row r="140" spans="1:17" s="278" customFormat="1" ht="184.5" thickTop="1" thickBot="1" x14ac:dyDescent="0.25">
      <c r="A140" s="694"/>
      <c r="B140" s="694"/>
      <c r="C140" s="694"/>
      <c r="D140" s="694"/>
      <c r="E140" s="342" t="s">
        <v>813</v>
      </c>
      <c r="F140" s="423" t="s">
        <v>831</v>
      </c>
      <c r="G140" s="423">
        <f t="shared" si="17"/>
        <v>2100000</v>
      </c>
      <c r="H140" s="424">
        <f>'d3'!E108-'d7'!H139</f>
        <v>0</v>
      </c>
      <c r="I140" s="506">
        <f>'d3'!J108-'d7'!I139</f>
        <v>2100000</v>
      </c>
      <c r="J140" s="506">
        <f>'d3'!K108-'d7'!J139</f>
        <v>2100000</v>
      </c>
      <c r="K140" s="370"/>
      <c r="L140" s="370"/>
      <c r="M140" s="370"/>
      <c r="N140" s="370"/>
      <c r="O140" s="370"/>
      <c r="P140" s="370"/>
      <c r="Q140" s="370"/>
    </row>
    <row r="141" spans="1:17" s="483" customFormat="1" ht="409.6" customHeight="1" thickTop="1" thickBot="1" x14ac:dyDescent="0.7">
      <c r="A141" s="615" t="s">
        <v>475</v>
      </c>
      <c r="B141" s="615" t="s">
        <v>381</v>
      </c>
      <c r="C141" s="615" t="s">
        <v>192</v>
      </c>
      <c r="D141" s="432" t="s">
        <v>500</v>
      </c>
      <c r="E141" s="688" t="s">
        <v>751</v>
      </c>
      <c r="F141" s="688"/>
      <c r="G141" s="697">
        <f t="shared" si="17"/>
        <v>190000</v>
      </c>
      <c r="H141" s="697">
        <f>'d3'!E109</f>
        <v>0</v>
      </c>
      <c r="I141" s="697">
        <f>'d3'!J109</f>
        <v>190000</v>
      </c>
      <c r="J141" s="697">
        <f>'d3'!K109</f>
        <v>0</v>
      </c>
      <c r="K141" s="486"/>
      <c r="L141" s="486"/>
      <c r="M141" s="486"/>
      <c r="N141" s="486"/>
      <c r="O141" s="486"/>
      <c r="P141" s="486"/>
      <c r="Q141" s="486"/>
    </row>
    <row r="142" spans="1:17" s="483" customFormat="1" ht="184.5" thickTop="1" thickBot="1" x14ac:dyDescent="0.25">
      <c r="A142" s="617"/>
      <c r="B142" s="617"/>
      <c r="C142" s="617"/>
      <c r="D142" s="434" t="s">
        <v>501</v>
      </c>
      <c r="E142" s="689"/>
      <c r="F142" s="689"/>
      <c r="G142" s="689"/>
      <c r="H142" s="689"/>
      <c r="I142" s="689"/>
      <c r="J142" s="689"/>
      <c r="K142" s="486"/>
      <c r="L142" s="486"/>
      <c r="M142" s="486"/>
      <c r="N142" s="486"/>
      <c r="O142" s="486"/>
      <c r="P142" s="486"/>
      <c r="Q142" s="486"/>
    </row>
    <row r="143" spans="1:17" s="278" customFormat="1" ht="181.5" thickTop="1" thickBot="1" x14ac:dyDescent="0.25">
      <c r="A143" s="435" t="s">
        <v>703</v>
      </c>
      <c r="B143" s="435"/>
      <c r="C143" s="435"/>
      <c r="D143" s="436" t="s">
        <v>752</v>
      </c>
      <c r="E143" s="437"/>
      <c r="F143" s="438"/>
      <c r="G143" s="512">
        <f>H143+I143</f>
        <v>307838150.57999998</v>
      </c>
      <c r="H143" s="512">
        <f>H144</f>
        <v>236401159</v>
      </c>
      <c r="I143" s="513">
        <f>I144</f>
        <v>71436991.579999998</v>
      </c>
      <c r="J143" s="513">
        <f>J144</f>
        <v>71246991.579999998</v>
      </c>
      <c r="K143" s="427" t="b">
        <f>H143='d3'!E112-'d3'!E113+'d7'!H145</f>
        <v>1</v>
      </c>
      <c r="L143" s="427" t="b">
        <f>I143='d3'!J112-'d3'!J113+'d7'!I145</f>
        <v>1</v>
      </c>
      <c r="M143" s="427" t="b">
        <f>J143='d3'!K112-'d3'!K113+'d7'!J145</f>
        <v>1</v>
      </c>
      <c r="N143" s="370"/>
      <c r="O143" s="370"/>
      <c r="P143" s="370"/>
      <c r="Q143" s="370"/>
    </row>
    <row r="144" spans="1:17" s="278" customFormat="1" ht="207.75" customHeight="1" thickTop="1" thickBot="1" x14ac:dyDescent="0.25">
      <c r="A144" s="439" t="s">
        <v>704</v>
      </c>
      <c r="B144" s="439"/>
      <c r="C144" s="439"/>
      <c r="D144" s="440" t="s">
        <v>753</v>
      </c>
      <c r="E144" s="441"/>
      <c r="F144" s="441"/>
      <c r="G144" s="514">
        <f>SUM(G145:G164)</f>
        <v>307838150.57999998</v>
      </c>
      <c r="H144" s="514">
        <f>SUM(H145:H164)</f>
        <v>236401159</v>
      </c>
      <c r="I144" s="514">
        <f>SUM(I145:I164)</f>
        <v>71436991.579999998</v>
      </c>
      <c r="J144" s="514">
        <f>SUM(J145:J164)</f>
        <v>71246991.579999998</v>
      </c>
      <c r="K144" s="370"/>
      <c r="L144" s="370"/>
      <c r="M144" s="370"/>
      <c r="N144" s="370"/>
      <c r="O144" s="370"/>
      <c r="P144" s="370"/>
      <c r="Q144" s="370"/>
    </row>
    <row r="145" spans="1:17" s="278" customFormat="1" ht="340.5" customHeight="1" thickTop="1" thickBot="1" x14ac:dyDescent="0.25">
      <c r="A145" s="521" t="s">
        <v>705</v>
      </c>
      <c r="B145" s="521" t="s">
        <v>266</v>
      </c>
      <c r="C145" s="521" t="s">
        <v>264</v>
      </c>
      <c r="D145" s="521" t="s">
        <v>261</v>
      </c>
      <c r="E145" s="509" t="s">
        <v>778</v>
      </c>
      <c r="F145" s="522"/>
      <c r="G145" s="522">
        <f t="shared" si="17"/>
        <v>144000</v>
      </c>
      <c r="H145" s="522">
        <v>0</v>
      </c>
      <c r="I145" s="522">
        <v>144000</v>
      </c>
      <c r="J145" s="522">
        <v>144000</v>
      </c>
      <c r="K145" s="370"/>
      <c r="L145" s="370"/>
      <c r="M145" s="370"/>
      <c r="N145" s="370"/>
      <c r="O145" s="370"/>
      <c r="P145" s="370"/>
      <c r="Q145" s="370"/>
    </row>
    <row r="146" spans="1:17" s="278" customFormat="1" ht="276" thickTop="1" thickBot="1" x14ac:dyDescent="0.25">
      <c r="A146" s="520" t="s">
        <v>706</v>
      </c>
      <c r="B146" s="520" t="s">
        <v>47</v>
      </c>
      <c r="C146" s="520" t="s">
        <v>46</v>
      </c>
      <c r="D146" s="520" t="s">
        <v>278</v>
      </c>
      <c r="E146" s="523" t="s">
        <v>808</v>
      </c>
      <c r="F146" s="523" t="s">
        <v>809</v>
      </c>
      <c r="G146" s="519">
        <f t="shared" si="17"/>
        <v>100000</v>
      </c>
      <c r="H146" s="519">
        <f>'d3'!E114</f>
        <v>100000</v>
      </c>
      <c r="I146" s="519">
        <f>'d3'!J114</f>
        <v>0</v>
      </c>
      <c r="J146" s="519">
        <f>'d3'!K114</f>
        <v>0</v>
      </c>
      <c r="K146" s="370"/>
      <c r="L146" s="370"/>
      <c r="M146" s="370"/>
      <c r="N146" s="370"/>
      <c r="O146" s="370"/>
      <c r="P146" s="370"/>
      <c r="Q146" s="370"/>
    </row>
    <row r="147" spans="1:17" s="278" customFormat="1" ht="276" thickTop="1" thickBot="1" x14ac:dyDescent="0.25">
      <c r="A147" s="520" t="s">
        <v>707</v>
      </c>
      <c r="B147" s="520" t="s">
        <v>426</v>
      </c>
      <c r="C147" s="520" t="s">
        <v>313</v>
      </c>
      <c r="D147" s="520" t="s">
        <v>427</v>
      </c>
      <c r="E147" s="523" t="s">
        <v>808</v>
      </c>
      <c r="F147" s="523" t="s">
        <v>809</v>
      </c>
      <c r="G147" s="519">
        <f t="shared" si="17"/>
        <v>28000000</v>
      </c>
      <c r="H147" s="523">
        <f>'d3'!E115</f>
        <v>28000000</v>
      </c>
      <c r="I147" s="524">
        <f>'d3'!J115</f>
        <v>0</v>
      </c>
      <c r="J147" s="524">
        <f>'d3'!K115</f>
        <v>0</v>
      </c>
      <c r="K147" s="370"/>
      <c r="L147" s="370"/>
      <c r="M147" s="370"/>
      <c r="N147" s="370"/>
      <c r="O147" s="370"/>
      <c r="P147" s="370"/>
      <c r="Q147" s="370"/>
    </row>
    <row r="148" spans="1:17" s="278" customFormat="1" ht="276" thickTop="1" thickBot="1" x14ac:dyDescent="0.25">
      <c r="A148" s="520" t="s">
        <v>708</v>
      </c>
      <c r="B148" s="520" t="s">
        <v>316</v>
      </c>
      <c r="C148" s="520" t="s">
        <v>313</v>
      </c>
      <c r="D148" s="520" t="s">
        <v>317</v>
      </c>
      <c r="E148" s="523" t="s">
        <v>808</v>
      </c>
      <c r="F148" s="523" t="s">
        <v>809</v>
      </c>
      <c r="G148" s="519">
        <f t="shared" si="17"/>
        <v>3751000</v>
      </c>
      <c r="H148" s="523">
        <f>'d3'!E116</f>
        <v>3751000</v>
      </c>
      <c r="I148" s="524">
        <f>'d3'!J116</f>
        <v>0</v>
      </c>
      <c r="J148" s="524">
        <f>'d3'!K116</f>
        <v>0</v>
      </c>
      <c r="K148" s="370"/>
      <c r="L148" s="370"/>
      <c r="M148" s="370"/>
      <c r="N148" s="370"/>
      <c r="O148" s="370"/>
      <c r="P148" s="370"/>
      <c r="Q148" s="370"/>
    </row>
    <row r="149" spans="1:17" s="278" customFormat="1" ht="276" customHeight="1" thickTop="1" thickBot="1" x14ac:dyDescent="0.25">
      <c r="A149" s="615" t="s">
        <v>709</v>
      </c>
      <c r="B149" s="615" t="s">
        <v>328</v>
      </c>
      <c r="C149" s="615" t="s">
        <v>313</v>
      </c>
      <c r="D149" s="615" t="s">
        <v>329</v>
      </c>
      <c r="E149" s="523" t="s">
        <v>808</v>
      </c>
      <c r="F149" s="523" t="s">
        <v>809</v>
      </c>
      <c r="G149" s="613">
        <f t="shared" si="17"/>
        <v>3430000</v>
      </c>
      <c r="H149" s="613">
        <f>'d3'!E117</f>
        <v>3430000</v>
      </c>
      <c r="I149" s="613">
        <f>'d3'!J117</f>
        <v>0</v>
      </c>
      <c r="J149" s="613">
        <f>'d3'!K117</f>
        <v>0</v>
      </c>
      <c r="K149" s="370"/>
      <c r="L149" s="370"/>
      <c r="M149" s="370"/>
      <c r="N149" s="370"/>
      <c r="O149" s="370"/>
      <c r="P149" s="370"/>
      <c r="Q149" s="370"/>
    </row>
    <row r="150" spans="1:17" s="278" customFormat="1" ht="230.25" thickTop="1" thickBot="1" x14ac:dyDescent="0.25">
      <c r="A150" s="615"/>
      <c r="B150" s="615"/>
      <c r="C150" s="615"/>
      <c r="D150" s="615"/>
      <c r="E150" s="523" t="s">
        <v>832</v>
      </c>
      <c r="F150" s="477" t="s">
        <v>814</v>
      </c>
      <c r="G150" s="691"/>
      <c r="H150" s="691"/>
      <c r="I150" s="691"/>
      <c r="J150" s="691"/>
      <c r="K150" s="370"/>
      <c r="L150" s="370"/>
      <c r="M150" s="370"/>
      <c r="N150" s="370"/>
      <c r="O150" s="370"/>
      <c r="P150" s="370"/>
      <c r="Q150" s="370"/>
    </row>
    <row r="151" spans="1:17" s="278" customFormat="1" ht="230.25" thickTop="1" thickBot="1" x14ac:dyDescent="0.25">
      <c r="A151" s="615" t="s">
        <v>710</v>
      </c>
      <c r="B151" s="615">
        <v>6030</v>
      </c>
      <c r="C151" s="615" t="s">
        <v>313</v>
      </c>
      <c r="D151" s="615" t="s">
        <v>320</v>
      </c>
      <c r="E151" s="523" t="s">
        <v>815</v>
      </c>
      <c r="F151" s="477" t="s">
        <v>816</v>
      </c>
      <c r="G151" s="613">
        <f t="shared" si="17"/>
        <v>165601187</v>
      </c>
      <c r="H151" s="613">
        <f>'d3'!E118</f>
        <v>149686023</v>
      </c>
      <c r="I151" s="613">
        <f>'d3'!J118</f>
        <v>15915164</v>
      </c>
      <c r="J151" s="613">
        <f>'d3'!K118</f>
        <v>15915164</v>
      </c>
      <c r="K151" s="370"/>
      <c r="L151" s="370"/>
      <c r="M151" s="370"/>
      <c r="N151" s="370"/>
      <c r="O151" s="370"/>
      <c r="P151" s="370"/>
      <c r="Q151" s="370"/>
    </row>
    <row r="152" spans="1:17" s="278" customFormat="1" ht="276" thickTop="1" thickBot="1" x14ac:dyDescent="0.25">
      <c r="A152" s="615"/>
      <c r="B152" s="615"/>
      <c r="C152" s="615"/>
      <c r="D152" s="615"/>
      <c r="E152" s="523" t="s">
        <v>808</v>
      </c>
      <c r="F152" s="477" t="s">
        <v>809</v>
      </c>
      <c r="G152" s="691">
        <f t="shared" si="17"/>
        <v>0</v>
      </c>
      <c r="H152" s="691"/>
      <c r="I152" s="691"/>
      <c r="J152" s="691"/>
      <c r="K152" s="370"/>
      <c r="L152" s="370"/>
      <c r="M152" s="370"/>
      <c r="N152" s="370"/>
      <c r="O152" s="370"/>
      <c r="P152" s="370"/>
      <c r="Q152" s="370"/>
    </row>
    <row r="153" spans="1:17" s="278" customFormat="1" ht="276" thickTop="1" thickBot="1" x14ac:dyDescent="0.25">
      <c r="A153" s="520" t="s">
        <v>711</v>
      </c>
      <c r="B153" s="520" t="s">
        <v>336</v>
      </c>
      <c r="C153" s="520" t="s">
        <v>335</v>
      </c>
      <c r="D153" s="520" t="s">
        <v>537</v>
      </c>
      <c r="E153" s="523" t="s">
        <v>808</v>
      </c>
      <c r="F153" s="523" t="s">
        <v>809</v>
      </c>
      <c r="G153" s="519">
        <f t="shared" si="17"/>
        <v>5200000</v>
      </c>
      <c r="H153" s="523">
        <f>'d3'!E119</f>
        <v>0</v>
      </c>
      <c r="I153" s="524">
        <f>'d3'!J119</f>
        <v>5200000</v>
      </c>
      <c r="J153" s="524">
        <f>'d3'!K119</f>
        <v>5200000</v>
      </c>
      <c r="K153" s="370"/>
      <c r="L153" s="370"/>
      <c r="M153" s="370"/>
      <c r="N153" s="370"/>
      <c r="O153" s="370"/>
      <c r="P153" s="370"/>
      <c r="Q153" s="370"/>
    </row>
    <row r="154" spans="1:17" s="278" customFormat="1" ht="184.5" thickTop="1" thickBot="1" x14ac:dyDescent="0.25">
      <c r="A154" s="615" t="s">
        <v>713</v>
      </c>
      <c r="B154" s="615" t="s">
        <v>324</v>
      </c>
      <c r="C154" s="615" t="s">
        <v>326</v>
      </c>
      <c r="D154" s="615" t="s">
        <v>325</v>
      </c>
      <c r="E154" s="523" t="s">
        <v>817</v>
      </c>
      <c r="F154" s="523" t="s">
        <v>818</v>
      </c>
      <c r="G154" s="686">
        <f>H154+I154</f>
        <v>65205579</v>
      </c>
      <c r="H154" s="686">
        <f>'d3'!E120</f>
        <v>48273558</v>
      </c>
      <c r="I154" s="687">
        <f>'d3'!J120</f>
        <v>16932021</v>
      </c>
      <c r="J154" s="687">
        <f>'d3'!K120</f>
        <v>16932021</v>
      </c>
      <c r="K154" s="370"/>
      <c r="L154" s="370"/>
      <c r="M154" s="370"/>
      <c r="N154" s="370"/>
      <c r="O154" s="370"/>
      <c r="P154" s="370"/>
      <c r="Q154" s="370"/>
    </row>
    <row r="155" spans="1:17" s="278" customFormat="1" ht="276" thickTop="1" thickBot="1" x14ac:dyDescent="0.25">
      <c r="A155" s="615"/>
      <c r="B155" s="615"/>
      <c r="C155" s="615"/>
      <c r="D155" s="615"/>
      <c r="E155" s="523" t="s">
        <v>808</v>
      </c>
      <c r="F155" s="523" t="s">
        <v>809</v>
      </c>
      <c r="G155" s="686">
        <f t="shared" si="17"/>
        <v>0</v>
      </c>
      <c r="H155" s="686"/>
      <c r="I155" s="687"/>
      <c r="J155" s="687"/>
      <c r="K155" s="370"/>
      <c r="L155" s="370"/>
      <c r="M155" s="370"/>
      <c r="N155" s="370"/>
      <c r="O155" s="370"/>
      <c r="P155" s="370"/>
      <c r="Q155" s="370"/>
    </row>
    <row r="156" spans="1:17" s="278" customFormat="1" ht="230.25" thickTop="1" thickBot="1" x14ac:dyDescent="0.25">
      <c r="A156" s="615" t="s">
        <v>714</v>
      </c>
      <c r="B156" s="615" t="s">
        <v>242</v>
      </c>
      <c r="C156" s="615" t="s">
        <v>243</v>
      </c>
      <c r="D156" s="615" t="s">
        <v>45</v>
      </c>
      <c r="E156" s="525" t="s">
        <v>751</v>
      </c>
      <c r="F156" s="525"/>
      <c r="G156" s="686">
        <f t="shared" si="17"/>
        <v>18508795.579999998</v>
      </c>
      <c r="H156" s="686">
        <f>'d3'!E121</f>
        <v>0</v>
      </c>
      <c r="I156" s="686">
        <f>'d3'!J121</f>
        <v>18508795.579999998</v>
      </c>
      <c r="J156" s="686">
        <f>'d3'!K121</f>
        <v>18508795.579999998</v>
      </c>
      <c r="K156" s="370"/>
      <c r="L156" s="370"/>
      <c r="M156" s="370"/>
      <c r="N156" s="370"/>
      <c r="O156" s="370"/>
      <c r="P156" s="370"/>
      <c r="Q156" s="370"/>
    </row>
    <row r="157" spans="1:17" s="278" customFormat="1" ht="276" thickTop="1" thickBot="1" x14ac:dyDescent="0.25">
      <c r="A157" s="615"/>
      <c r="B157" s="615"/>
      <c r="C157" s="615"/>
      <c r="D157" s="615"/>
      <c r="E157" s="523" t="s">
        <v>808</v>
      </c>
      <c r="F157" s="523" t="s">
        <v>809</v>
      </c>
      <c r="G157" s="686">
        <f t="shared" si="17"/>
        <v>0</v>
      </c>
      <c r="H157" s="686"/>
      <c r="I157" s="686"/>
      <c r="J157" s="686"/>
      <c r="K157" s="370"/>
      <c r="L157" s="370"/>
      <c r="M157" s="370"/>
      <c r="N157" s="370"/>
      <c r="O157" s="370"/>
      <c r="P157" s="370"/>
      <c r="Q157" s="370"/>
    </row>
    <row r="158" spans="1:17" s="278" customFormat="1" ht="276" customHeight="1" thickTop="1" thickBot="1" x14ac:dyDescent="0.25">
      <c r="A158" s="615" t="s">
        <v>715</v>
      </c>
      <c r="B158" s="615" t="s">
        <v>225</v>
      </c>
      <c r="C158" s="615" t="s">
        <v>192</v>
      </c>
      <c r="D158" s="615" t="s">
        <v>38</v>
      </c>
      <c r="E158" s="523" t="s">
        <v>808</v>
      </c>
      <c r="F158" s="523" t="s">
        <v>809</v>
      </c>
      <c r="G158" s="687">
        <f t="shared" si="17"/>
        <v>14547011</v>
      </c>
      <c r="H158" s="686">
        <f>'d3'!E122</f>
        <v>0</v>
      </c>
      <c r="I158" s="687">
        <f>'d3'!J122</f>
        <v>14547011</v>
      </c>
      <c r="J158" s="687">
        <f>'d3'!K122</f>
        <v>14547011</v>
      </c>
      <c r="K158" s="370"/>
      <c r="L158" s="370"/>
      <c r="M158" s="370"/>
      <c r="N158" s="370"/>
      <c r="O158" s="370"/>
      <c r="P158" s="370"/>
      <c r="Q158" s="370"/>
    </row>
    <row r="159" spans="1:17" s="278" customFormat="1" ht="230.25" thickTop="1" thickBot="1" x14ac:dyDescent="0.25">
      <c r="A159" s="615"/>
      <c r="B159" s="615"/>
      <c r="C159" s="615"/>
      <c r="D159" s="615"/>
      <c r="E159" s="523" t="s">
        <v>832</v>
      </c>
      <c r="F159" s="477" t="s">
        <v>814</v>
      </c>
      <c r="G159" s="687">
        <f t="shared" si="17"/>
        <v>0</v>
      </c>
      <c r="H159" s="686"/>
      <c r="I159" s="687"/>
      <c r="J159" s="687"/>
      <c r="K159" s="370"/>
      <c r="L159" s="370"/>
      <c r="M159" s="370"/>
      <c r="N159" s="370"/>
      <c r="O159" s="370"/>
      <c r="P159" s="370"/>
      <c r="Q159" s="370"/>
    </row>
    <row r="160" spans="1:17" s="278" customFormat="1" ht="409.6" customHeight="1" thickTop="1" thickBot="1" x14ac:dyDescent="0.7">
      <c r="A160" s="615" t="s">
        <v>716</v>
      </c>
      <c r="B160" s="615" t="s">
        <v>381</v>
      </c>
      <c r="C160" s="615" t="s">
        <v>192</v>
      </c>
      <c r="D160" s="432" t="s">
        <v>500</v>
      </c>
      <c r="E160" s="688" t="s">
        <v>751</v>
      </c>
      <c r="F160" s="690"/>
      <c r="G160" s="613">
        <f t="shared" si="17"/>
        <v>190000</v>
      </c>
      <c r="H160" s="613">
        <f>'d3'!E123</f>
        <v>0</v>
      </c>
      <c r="I160" s="613">
        <f>'d3'!J123</f>
        <v>190000</v>
      </c>
      <c r="J160" s="613">
        <f>'d3'!K123</f>
        <v>0</v>
      </c>
      <c r="K160" s="370"/>
      <c r="L160" s="370"/>
      <c r="M160" s="370"/>
      <c r="N160" s="370"/>
      <c r="O160" s="370"/>
      <c r="P160" s="370"/>
      <c r="Q160" s="370"/>
    </row>
    <row r="161" spans="1:17" s="278" customFormat="1" ht="184.5" thickTop="1" thickBot="1" x14ac:dyDescent="0.25">
      <c r="A161" s="617"/>
      <c r="B161" s="617"/>
      <c r="C161" s="617"/>
      <c r="D161" s="434" t="s">
        <v>501</v>
      </c>
      <c r="E161" s="689"/>
      <c r="F161" s="690"/>
      <c r="G161" s="617">
        <f t="shared" si="17"/>
        <v>0</v>
      </c>
      <c r="H161" s="617"/>
      <c r="I161" s="617"/>
      <c r="J161" s="617"/>
      <c r="K161" s="370"/>
      <c r="L161" s="370"/>
      <c r="M161" s="370"/>
      <c r="N161" s="370"/>
      <c r="O161" s="370"/>
      <c r="P161" s="370"/>
      <c r="Q161" s="370"/>
    </row>
    <row r="162" spans="1:17" s="278" customFormat="1" ht="409.6" thickTop="1" thickBot="1" x14ac:dyDescent="0.25">
      <c r="A162" s="520" t="s">
        <v>717</v>
      </c>
      <c r="B162" s="520" t="s">
        <v>602</v>
      </c>
      <c r="C162" s="520" t="s">
        <v>281</v>
      </c>
      <c r="D162" s="345" t="s">
        <v>603</v>
      </c>
      <c r="E162" s="523" t="s">
        <v>819</v>
      </c>
      <c r="F162" s="519"/>
      <c r="G162" s="519">
        <f t="shared" si="17"/>
        <v>108400</v>
      </c>
      <c r="H162" s="523">
        <f>'d3'!E125</f>
        <v>108400</v>
      </c>
      <c r="I162" s="524">
        <f>'d3'!J125</f>
        <v>0</v>
      </c>
      <c r="J162" s="524">
        <f>'d3'!K125</f>
        <v>0</v>
      </c>
      <c r="K162" s="370"/>
      <c r="L162" s="370"/>
      <c r="M162" s="370"/>
      <c r="N162" s="370"/>
      <c r="O162" s="370"/>
      <c r="P162" s="370"/>
      <c r="Q162" s="370"/>
    </row>
    <row r="163" spans="1:17" s="278" customFormat="1" ht="409.6" thickTop="1" thickBot="1" x14ac:dyDescent="0.25">
      <c r="A163" s="520" t="s">
        <v>718</v>
      </c>
      <c r="B163" s="520" t="s">
        <v>280</v>
      </c>
      <c r="C163" s="520" t="s">
        <v>281</v>
      </c>
      <c r="D163" s="520" t="s">
        <v>279</v>
      </c>
      <c r="E163" s="523" t="s">
        <v>820</v>
      </c>
      <c r="F163" s="525"/>
      <c r="G163" s="519">
        <f t="shared" si="17"/>
        <v>1833178</v>
      </c>
      <c r="H163" s="523">
        <f>'d3'!E126</f>
        <v>1833178</v>
      </c>
      <c r="I163" s="524">
        <f>'d3'!J126</f>
        <v>0</v>
      </c>
      <c r="J163" s="524">
        <f>'d3'!K126</f>
        <v>0</v>
      </c>
      <c r="K163" s="370"/>
      <c r="L163" s="370"/>
      <c r="M163" s="370"/>
      <c r="N163" s="370"/>
      <c r="O163" s="370"/>
      <c r="P163" s="370"/>
      <c r="Q163" s="370"/>
    </row>
    <row r="164" spans="1:17" s="278" customFormat="1" ht="409.6" thickTop="1" thickBot="1" x14ac:dyDescent="0.25">
      <c r="A164" s="520" t="s">
        <v>719</v>
      </c>
      <c r="B164" s="520" t="s">
        <v>720</v>
      </c>
      <c r="C164" s="520" t="s">
        <v>281</v>
      </c>
      <c r="D164" s="520" t="s">
        <v>721</v>
      </c>
      <c r="E164" s="523" t="s">
        <v>820</v>
      </c>
      <c r="F164" s="477"/>
      <c r="G164" s="519">
        <f t="shared" si="17"/>
        <v>1219000</v>
      </c>
      <c r="H164" s="523">
        <f>'d3'!E127</f>
        <v>1219000</v>
      </c>
      <c r="I164" s="524">
        <f>'d3'!J127</f>
        <v>0</v>
      </c>
      <c r="J164" s="524">
        <f>'d3'!K127</f>
        <v>0</v>
      </c>
      <c r="K164" s="370"/>
      <c r="L164" s="370"/>
      <c r="M164" s="370"/>
      <c r="N164" s="370"/>
      <c r="O164" s="370"/>
      <c r="P164" s="370"/>
      <c r="Q164" s="370"/>
    </row>
    <row r="165" spans="1:17" ht="316.5" thickTop="1" thickBot="1" x14ac:dyDescent="0.25">
      <c r="A165" s="435" t="s">
        <v>27</v>
      </c>
      <c r="B165" s="435"/>
      <c r="C165" s="435"/>
      <c r="D165" s="436" t="s">
        <v>423</v>
      </c>
      <c r="E165" s="437"/>
      <c r="F165" s="438"/>
      <c r="G165" s="512">
        <f>G166</f>
        <v>49920675</v>
      </c>
      <c r="H165" s="512">
        <f>H166</f>
        <v>0</v>
      </c>
      <c r="I165" s="513">
        <f>I166</f>
        <v>49920675</v>
      </c>
      <c r="J165" s="513">
        <f>J166</f>
        <v>49920675</v>
      </c>
    </row>
    <row r="166" spans="1:17" ht="316.5" customHeight="1" thickTop="1" thickBot="1" x14ac:dyDescent="0.25">
      <c r="A166" s="439" t="s">
        <v>28</v>
      </c>
      <c r="B166" s="439"/>
      <c r="C166" s="439"/>
      <c r="D166" s="440" t="s">
        <v>422</v>
      </c>
      <c r="E166" s="441"/>
      <c r="F166" s="441"/>
      <c r="G166" s="514">
        <f>SUM(G167:G172)</f>
        <v>49920675</v>
      </c>
      <c r="H166" s="514">
        <f>SUM(H167:H172)</f>
        <v>0</v>
      </c>
      <c r="I166" s="514">
        <f>SUM(I167:I172)</f>
        <v>49920675</v>
      </c>
      <c r="J166" s="514">
        <f>SUM(J167:J172)</f>
        <v>49920675</v>
      </c>
      <c r="K166" s="427" t="b">
        <f>H166='d3'!E129-'d3'!E130</f>
        <v>1</v>
      </c>
      <c r="L166" s="428" t="b">
        <f>I166='d3'!J129</f>
        <v>1</v>
      </c>
      <c r="M166" s="428" t="b">
        <f>J166='d3'!K129</f>
        <v>1</v>
      </c>
    </row>
    <row r="167" spans="1:17" s="136" customFormat="1" ht="321.75" thickTop="1" thickBot="1" x14ac:dyDescent="0.25">
      <c r="A167" s="520" t="s">
        <v>488</v>
      </c>
      <c r="B167" s="520" t="s">
        <v>490</v>
      </c>
      <c r="C167" s="520" t="s">
        <v>223</v>
      </c>
      <c r="D167" s="520" t="s">
        <v>489</v>
      </c>
      <c r="E167" s="341" t="s">
        <v>751</v>
      </c>
      <c r="F167" s="519"/>
      <c r="G167" s="519">
        <f>H167+I167</f>
        <v>10000000</v>
      </c>
      <c r="H167" s="519">
        <f>'d3'!E131</f>
        <v>0</v>
      </c>
      <c r="I167" s="519">
        <f>'d3'!J131</f>
        <v>10000000</v>
      </c>
      <c r="J167" s="519">
        <f>'d3'!K131</f>
        <v>10000000</v>
      </c>
      <c r="K167" s="370"/>
      <c r="L167" s="370"/>
      <c r="M167" s="370"/>
      <c r="N167" s="370"/>
      <c r="O167" s="370"/>
      <c r="P167" s="370"/>
      <c r="Q167" s="370"/>
    </row>
    <row r="168" spans="1:17" s="136" customFormat="1" ht="230.25" thickTop="1" thickBot="1" x14ac:dyDescent="0.25">
      <c r="A168" s="520" t="s">
        <v>346</v>
      </c>
      <c r="B168" s="520" t="s">
        <v>347</v>
      </c>
      <c r="C168" s="520" t="s">
        <v>335</v>
      </c>
      <c r="D168" s="520" t="s">
        <v>722</v>
      </c>
      <c r="E168" s="341" t="s">
        <v>751</v>
      </c>
      <c r="F168" s="519"/>
      <c r="G168" s="519">
        <f>I168</f>
        <v>6855987</v>
      </c>
      <c r="H168" s="519">
        <f>'d3'!E132</f>
        <v>0</v>
      </c>
      <c r="I168" s="519">
        <f>'d3'!J132</f>
        <v>6855987</v>
      </c>
      <c r="J168" s="519">
        <f>I168</f>
        <v>6855987</v>
      </c>
      <c r="K168" s="370"/>
      <c r="L168" s="370"/>
      <c r="M168" s="370"/>
      <c r="N168" s="370"/>
      <c r="O168" s="370"/>
      <c r="P168" s="370"/>
      <c r="Q168" s="370"/>
    </row>
    <row r="169" spans="1:17" s="136" customFormat="1" ht="230.25" thickTop="1" thickBot="1" x14ac:dyDescent="0.25">
      <c r="A169" s="520" t="s">
        <v>600</v>
      </c>
      <c r="B169" s="520" t="s">
        <v>601</v>
      </c>
      <c r="C169" s="520" t="s">
        <v>335</v>
      </c>
      <c r="D169" s="520" t="s">
        <v>723</v>
      </c>
      <c r="E169" s="341" t="s">
        <v>751</v>
      </c>
      <c r="F169" s="519"/>
      <c r="G169" s="519">
        <f>I169</f>
        <v>200000</v>
      </c>
      <c r="H169" s="519">
        <f>'d3'!E133</f>
        <v>0</v>
      </c>
      <c r="I169" s="519">
        <f>'d3'!J133</f>
        <v>200000</v>
      </c>
      <c r="J169" s="519">
        <f>I169</f>
        <v>200000</v>
      </c>
      <c r="K169" s="370"/>
      <c r="L169" s="370"/>
      <c r="M169" s="370"/>
      <c r="N169" s="370"/>
      <c r="O169" s="370"/>
      <c r="P169" s="370"/>
      <c r="Q169" s="370"/>
    </row>
    <row r="170" spans="1:17" s="136" customFormat="1" ht="230.25" thickTop="1" thickBot="1" x14ac:dyDescent="0.25">
      <c r="A170" s="520" t="s">
        <v>348</v>
      </c>
      <c r="B170" s="520" t="s">
        <v>349</v>
      </c>
      <c r="C170" s="520" t="s">
        <v>335</v>
      </c>
      <c r="D170" s="520" t="s">
        <v>724</v>
      </c>
      <c r="E170" s="341" t="s">
        <v>751</v>
      </c>
      <c r="F170" s="519"/>
      <c r="G170" s="519">
        <f t="shared" ref="G170:G171" si="18">I170</f>
        <v>0</v>
      </c>
      <c r="H170" s="519">
        <f>'d3'!E134</f>
        <v>0</v>
      </c>
      <c r="I170" s="519">
        <f>'d3'!J134</f>
        <v>0</v>
      </c>
      <c r="J170" s="519">
        <f>I170</f>
        <v>0</v>
      </c>
      <c r="K170" s="370"/>
      <c r="L170" s="370"/>
      <c r="M170" s="370"/>
      <c r="N170" s="370"/>
      <c r="O170" s="370"/>
      <c r="P170" s="370"/>
      <c r="Q170" s="370"/>
    </row>
    <row r="171" spans="1:17" s="136" customFormat="1" ht="230.25" thickTop="1" thickBot="1" x14ac:dyDescent="0.25">
      <c r="A171" s="520" t="s">
        <v>350</v>
      </c>
      <c r="B171" s="520" t="s">
        <v>351</v>
      </c>
      <c r="C171" s="520" t="s">
        <v>335</v>
      </c>
      <c r="D171" s="520" t="s">
        <v>725</v>
      </c>
      <c r="E171" s="341" t="s">
        <v>751</v>
      </c>
      <c r="F171" s="519"/>
      <c r="G171" s="519">
        <f t="shared" si="18"/>
        <v>9126836</v>
      </c>
      <c r="H171" s="519">
        <f>'d3'!E135</f>
        <v>0</v>
      </c>
      <c r="I171" s="519">
        <f>'d3'!J135</f>
        <v>9126836</v>
      </c>
      <c r="J171" s="519">
        <f>I171</f>
        <v>9126836</v>
      </c>
      <c r="K171" s="370"/>
      <c r="L171" s="370"/>
      <c r="M171" s="370"/>
      <c r="N171" s="370"/>
      <c r="O171" s="370"/>
      <c r="P171" s="370"/>
      <c r="Q171" s="370"/>
    </row>
    <row r="172" spans="1:17" s="136" customFormat="1" ht="230.25" thickTop="1" thickBot="1" x14ac:dyDescent="0.25">
      <c r="A172" s="520" t="s">
        <v>496</v>
      </c>
      <c r="B172" s="520" t="s">
        <v>396</v>
      </c>
      <c r="C172" s="520" t="s">
        <v>192</v>
      </c>
      <c r="D172" s="520" t="s">
        <v>292</v>
      </c>
      <c r="E172" s="341" t="s">
        <v>751</v>
      </c>
      <c r="F172" s="519"/>
      <c r="G172" s="519">
        <f>H172+I172</f>
        <v>23737852</v>
      </c>
      <c r="H172" s="519">
        <f>'d3'!E136</f>
        <v>0</v>
      </c>
      <c r="I172" s="519">
        <f>'d3'!J136</f>
        <v>23737852</v>
      </c>
      <c r="J172" s="519">
        <f>'d3'!K136</f>
        <v>23737852</v>
      </c>
      <c r="K172" s="370"/>
      <c r="L172" s="370"/>
      <c r="M172" s="370"/>
      <c r="N172" s="370"/>
      <c r="O172" s="370"/>
      <c r="P172" s="370"/>
      <c r="Q172" s="370"/>
    </row>
    <row r="173" spans="1:17" ht="292.7" customHeight="1" thickTop="1" thickBot="1" x14ac:dyDescent="0.25">
      <c r="A173" s="435" t="s">
        <v>182</v>
      </c>
      <c r="B173" s="435"/>
      <c r="C173" s="435"/>
      <c r="D173" s="436" t="s">
        <v>726</v>
      </c>
      <c r="E173" s="437"/>
      <c r="F173" s="438"/>
      <c r="G173" s="512">
        <f>G174</f>
        <v>126000</v>
      </c>
      <c r="H173" s="512">
        <f t="shared" ref="H173:J173" si="19">H174</f>
        <v>0</v>
      </c>
      <c r="I173" s="513">
        <f t="shared" si="19"/>
        <v>126000</v>
      </c>
      <c r="J173" s="513">
        <f t="shared" si="19"/>
        <v>126000</v>
      </c>
      <c r="K173" s="427" t="b">
        <f>H173='d3'!E138-'d3'!E139+H175</f>
        <v>1</v>
      </c>
      <c r="L173" s="428" t="b">
        <f>I173='d3'!J138-'d3'!J139+'d7'!I175</f>
        <v>1</v>
      </c>
      <c r="M173" s="428" t="b">
        <f>J173='d3'!K138-'d3'!K139+'d7'!J175</f>
        <v>1</v>
      </c>
    </row>
    <row r="174" spans="1:17" ht="316.5" thickTop="1" thickBot="1" x14ac:dyDescent="0.25">
      <c r="A174" s="439" t="s">
        <v>183</v>
      </c>
      <c r="B174" s="439"/>
      <c r="C174" s="439"/>
      <c r="D174" s="440" t="s">
        <v>727</v>
      </c>
      <c r="E174" s="441"/>
      <c r="F174" s="441"/>
      <c r="G174" s="514">
        <f>SUM(G175)</f>
        <v>126000</v>
      </c>
      <c r="H174" s="514">
        <f t="shared" ref="H174:J174" si="20">SUM(H175)</f>
        <v>0</v>
      </c>
      <c r="I174" s="514">
        <f t="shared" si="20"/>
        <v>126000</v>
      </c>
      <c r="J174" s="514">
        <f t="shared" si="20"/>
        <v>126000</v>
      </c>
    </row>
    <row r="175" spans="1:17" ht="230.25" thickTop="1" thickBot="1" x14ac:dyDescent="0.25">
      <c r="A175" s="520" t="s">
        <v>470</v>
      </c>
      <c r="B175" s="520" t="s">
        <v>266</v>
      </c>
      <c r="C175" s="520" t="s">
        <v>264</v>
      </c>
      <c r="D175" s="520" t="s">
        <v>265</v>
      </c>
      <c r="E175" s="509" t="s">
        <v>778</v>
      </c>
      <c r="F175" s="519"/>
      <c r="G175" s="519">
        <f>H175+I175</f>
        <v>126000</v>
      </c>
      <c r="H175" s="519">
        <v>0</v>
      </c>
      <c r="I175" s="519">
        <f>(100000+26000)</f>
        <v>126000</v>
      </c>
      <c r="J175" s="519">
        <f>(100000+26000)</f>
        <v>126000</v>
      </c>
    </row>
    <row r="176" spans="1:17" ht="201.75" customHeight="1" thickTop="1" thickBot="1" x14ac:dyDescent="0.25">
      <c r="A176" s="435" t="s">
        <v>504</v>
      </c>
      <c r="B176" s="435"/>
      <c r="C176" s="435"/>
      <c r="D176" s="436" t="s">
        <v>506</v>
      </c>
      <c r="E176" s="437"/>
      <c r="F176" s="438"/>
      <c r="G176" s="512">
        <f>G177</f>
        <v>54523073</v>
      </c>
      <c r="H176" s="512">
        <f t="shared" ref="H176:J176" si="21">H177</f>
        <v>54505073</v>
      </c>
      <c r="I176" s="513">
        <f t="shared" si="21"/>
        <v>18000</v>
      </c>
      <c r="J176" s="513">
        <f t="shared" si="21"/>
        <v>18000</v>
      </c>
    </row>
    <row r="177" spans="1:17" ht="181.5" thickTop="1" thickBot="1" x14ac:dyDescent="0.25">
      <c r="A177" s="439" t="s">
        <v>505</v>
      </c>
      <c r="B177" s="439"/>
      <c r="C177" s="439"/>
      <c r="D177" s="440" t="s">
        <v>507</v>
      </c>
      <c r="E177" s="441"/>
      <c r="F177" s="441"/>
      <c r="G177" s="514">
        <f>SUM(G178:G180)</f>
        <v>54523073</v>
      </c>
      <c r="H177" s="514">
        <f>SUM(H178:H180)</f>
        <v>54505073</v>
      </c>
      <c r="I177" s="514">
        <f>SUM(I178:I180)</f>
        <v>18000</v>
      </c>
      <c r="J177" s="514">
        <f>SUM(J178:J180)</f>
        <v>18000</v>
      </c>
      <c r="K177" s="427" t="b">
        <f>H177='d3'!E141-'d3'!E142+'d7'!H178</f>
        <v>1</v>
      </c>
      <c r="L177" s="428" t="b">
        <f>I177='d3'!J141-'d3'!J142+'d7'!I178</f>
        <v>1</v>
      </c>
      <c r="M177" s="428" t="b">
        <f>J177='d3'!K141-'d3'!K142+'d7'!J178</f>
        <v>1</v>
      </c>
    </row>
    <row r="178" spans="1:17" ht="230.25" thickTop="1" thickBot="1" x14ac:dyDescent="0.25">
      <c r="A178" s="520" t="s">
        <v>508</v>
      </c>
      <c r="B178" s="520" t="s">
        <v>266</v>
      </c>
      <c r="C178" s="520" t="s">
        <v>264</v>
      </c>
      <c r="D178" s="520" t="s">
        <v>265</v>
      </c>
      <c r="E178" s="467" t="s">
        <v>778</v>
      </c>
      <c r="F178" s="519"/>
      <c r="G178" s="519">
        <f>H178+I178</f>
        <v>18000</v>
      </c>
      <c r="H178" s="523"/>
      <c r="I178" s="519">
        <v>18000</v>
      </c>
      <c r="J178" s="519">
        <v>18000</v>
      </c>
    </row>
    <row r="179" spans="1:17" ht="276" thickTop="1" thickBot="1" x14ac:dyDescent="0.25">
      <c r="A179" s="520" t="s">
        <v>536</v>
      </c>
      <c r="B179" s="520" t="s">
        <v>321</v>
      </c>
      <c r="C179" s="520" t="s">
        <v>323</v>
      </c>
      <c r="D179" s="520" t="s">
        <v>322</v>
      </c>
      <c r="E179" s="341" t="s">
        <v>861</v>
      </c>
      <c r="F179" s="519" t="s">
        <v>567</v>
      </c>
      <c r="G179" s="697">
        <f>H179+I179</f>
        <v>54505073</v>
      </c>
      <c r="H179" s="697">
        <f>'d3'!E144</f>
        <v>54505073</v>
      </c>
      <c r="I179" s="697">
        <f>'d3'!J144</f>
        <v>0</v>
      </c>
      <c r="J179" s="697">
        <f>'d3'!K144</f>
        <v>0</v>
      </c>
    </row>
    <row r="180" spans="1:17" ht="184.5" thickTop="1" thickBot="1" x14ac:dyDescent="0.25">
      <c r="A180" s="520" t="s">
        <v>536</v>
      </c>
      <c r="B180" s="520" t="s">
        <v>321</v>
      </c>
      <c r="C180" s="520" t="s">
        <v>323</v>
      </c>
      <c r="D180" s="520" t="s">
        <v>322</v>
      </c>
      <c r="E180" s="341" t="s">
        <v>862</v>
      </c>
      <c r="F180" s="519"/>
      <c r="G180" s="689"/>
      <c r="H180" s="689"/>
      <c r="I180" s="689"/>
      <c r="J180" s="689"/>
    </row>
    <row r="181" spans="1:17" ht="160.5" customHeight="1" thickTop="1" thickBot="1" x14ac:dyDescent="0.25">
      <c r="A181" s="435" t="s">
        <v>188</v>
      </c>
      <c r="B181" s="435"/>
      <c r="C181" s="435"/>
      <c r="D181" s="436" t="s">
        <v>400</v>
      </c>
      <c r="E181" s="437"/>
      <c r="F181" s="438"/>
      <c r="G181" s="512">
        <f>G182</f>
        <v>9582780</v>
      </c>
      <c r="H181" s="512">
        <f t="shared" ref="H181:J181" si="22">H182</f>
        <v>9182780</v>
      </c>
      <c r="I181" s="513">
        <f t="shared" si="22"/>
        <v>400000</v>
      </c>
      <c r="J181" s="513">
        <f t="shared" si="22"/>
        <v>400000</v>
      </c>
      <c r="K181" s="427" t="b">
        <f>H181='d3'!E145</f>
        <v>1</v>
      </c>
      <c r="L181" s="428" t="b">
        <f>I181='d3'!J145</f>
        <v>1</v>
      </c>
      <c r="M181" s="428" t="b">
        <f>J181='d3'!K145</f>
        <v>1</v>
      </c>
    </row>
    <row r="182" spans="1:17" ht="136.5" thickTop="1" thickBot="1" x14ac:dyDescent="0.25">
      <c r="A182" s="439" t="s">
        <v>189</v>
      </c>
      <c r="B182" s="439"/>
      <c r="C182" s="439"/>
      <c r="D182" s="440" t="s">
        <v>401</v>
      </c>
      <c r="E182" s="441"/>
      <c r="F182" s="441"/>
      <c r="G182" s="514">
        <f>SUM(G183:G187)</f>
        <v>9582780</v>
      </c>
      <c r="H182" s="514">
        <f>SUM(H183:H187)</f>
        <v>9182780</v>
      </c>
      <c r="I182" s="514">
        <f>SUM(I183:I187)</f>
        <v>400000</v>
      </c>
      <c r="J182" s="514">
        <f>SUM(J183:J187)</f>
        <v>400000</v>
      </c>
    </row>
    <row r="183" spans="1:17" ht="184.5" thickTop="1" thickBot="1" x14ac:dyDescent="0.25">
      <c r="A183" s="520" t="s">
        <v>290</v>
      </c>
      <c r="B183" s="520" t="s">
        <v>291</v>
      </c>
      <c r="C183" s="520" t="s">
        <v>289</v>
      </c>
      <c r="D183" s="520" t="s">
        <v>288</v>
      </c>
      <c r="E183" s="341" t="s">
        <v>510</v>
      </c>
      <c r="F183" s="525" t="s">
        <v>480</v>
      </c>
      <c r="G183" s="523">
        <f>H183+I183</f>
        <v>5468200</v>
      </c>
      <c r="H183" s="519">
        <v>5468200</v>
      </c>
      <c r="I183" s="519"/>
      <c r="J183" s="519"/>
      <c r="K183" s="427" t="b">
        <f>H183+H184='d3'!E147</f>
        <v>1</v>
      </c>
      <c r="L183" s="428" t="b">
        <f>I183+I184='d3'!J147</f>
        <v>1</v>
      </c>
      <c r="M183" s="428" t="b">
        <f>J183+J184='d3'!K147</f>
        <v>1</v>
      </c>
    </row>
    <row r="184" spans="1:17" ht="184.5" thickTop="1" thickBot="1" x14ac:dyDescent="0.25">
      <c r="A184" s="520" t="s">
        <v>290</v>
      </c>
      <c r="B184" s="520" t="s">
        <v>291</v>
      </c>
      <c r="C184" s="520" t="s">
        <v>289</v>
      </c>
      <c r="D184" s="520" t="s">
        <v>288</v>
      </c>
      <c r="E184" s="341" t="s">
        <v>511</v>
      </c>
      <c r="F184" s="525" t="s">
        <v>476</v>
      </c>
      <c r="G184" s="523">
        <f t="shared" ref="G184:G187" si="23">H184+I184</f>
        <v>120000</v>
      </c>
      <c r="H184" s="519">
        <v>120000</v>
      </c>
      <c r="I184" s="519"/>
      <c r="J184" s="519"/>
      <c r="M184" s="428"/>
    </row>
    <row r="185" spans="1:17" ht="184.5" thickTop="1" thickBot="1" x14ac:dyDescent="0.25">
      <c r="A185" s="520" t="s">
        <v>282</v>
      </c>
      <c r="B185" s="520" t="s">
        <v>284</v>
      </c>
      <c r="C185" s="520" t="s">
        <v>243</v>
      </c>
      <c r="D185" s="520" t="s">
        <v>283</v>
      </c>
      <c r="E185" s="519" t="s">
        <v>835</v>
      </c>
      <c r="F185" s="525"/>
      <c r="G185" s="523">
        <f t="shared" si="23"/>
        <v>745000</v>
      </c>
      <c r="H185" s="519">
        <v>745000</v>
      </c>
      <c r="I185" s="519">
        <v>0</v>
      </c>
      <c r="J185" s="519">
        <v>0</v>
      </c>
      <c r="K185" s="427" t="b">
        <f>H185='d3'!E148</f>
        <v>1</v>
      </c>
      <c r="L185" s="428" t="b">
        <f>I185='d3'!J148</f>
        <v>1</v>
      </c>
      <c r="M185" s="428" t="b">
        <f>J185='d3'!K148</f>
        <v>1</v>
      </c>
    </row>
    <row r="186" spans="1:17" ht="276" thickTop="1" thickBot="1" x14ac:dyDescent="0.25">
      <c r="A186" s="520" t="s">
        <v>286</v>
      </c>
      <c r="B186" s="520" t="s">
        <v>287</v>
      </c>
      <c r="C186" s="520" t="s">
        <v>192</v>
      </c>
      <c r="D186" s="520" t="s">
        <v>285</v>
      </c>
      <c r="E186" s="519" t="s">
        <v>509</v>
      </c>
      <c r="F186" s="525" t="s">
        <v>481</v>
      </c>
      <c r="G186" s="523">
        <f t="shared" si="23"/>
        <v>2049580</v>
      </c>
      <c r="H186" s="519">
        <f>2049580</f>
        <v>2049580</v>
      </c>
      <c r="I186" s="519">
        <v>0</v>
      </c>
      <c r="J186" s="519">
        <v>0</v>
      </c>
      <c r="K186" s="427" t="b">
        <f>'d3'!E149=H186+H187</f>
        <v>1</v>
      </c>
      <c r="L186" s="428" t="b">
        <f>'d3'!J149=I186+I187</f>
        <v>1</v>
      </c>
      <c r="M186" s="428" t="b">
        <f>'d3'!K149=J186+J187</f>
        <v>1</v>
      </c>
    </row>
    <row r="187" spans="1:17" ht="184.5" thickTop="1" thickBot="1" x14ac:dyDescent="0.25">
      <c r="A187" s="520" t="s">
        <v>286</v>
      </c>
      <c r="B187" s="520" t="s">
        <v>287</v>
      </c>
      <c r="C187" s="520" t="s">
        <v>192</v>
      </c>
      <c r="D187" s="520" t="s">
        <v>285</v>
      </c>
      <c r="E187" s="519" t="s">
        <v>833</v>
      </c>
      <c r="F187" s="519" t="s">
        <v>834</v>
      </c>
      <c r="G187" s="523">
        <f t="shared" si="23"/>
        <v>1200000</v>
      </c>
      <c r="H187" s="519">
        <v>800000</v>
      </c>
      <c r="I187" s="519">
        <v>400000</v>
      </c>
      <c r="J187" s="519">
        <v>400000</v>
      </c>
      <c r="K187" s="414"/>
      <c r="L187" s="417"/>
      <c r="M187" s="418"/>
    </row>
    <row r="188" spans="1:17" ht="226.5" thickTop="1" thickBot="1" x14ac:dyDescent="0.25">
      <c r="A188" s="435" t="s">
        <v>186</v>
      </c>
      <c r="B188" s="435"/>
      <c r="C188" s="435"/>
      <c r="D188" s="436" t="s">
        <v>728</v>
      </c>
      <c r="E188" s="437"/>
      <c r="F188" s="438"/>
      <c r="G188" s="512">
        <f>G189</f>
        <v>648900</v>
      </c>
      <c r="H188" s="512">
        <f t="shared" ref="H188:J188" si="24">H189</f>
        <v>0</v>
      </c>
      <c r="I188" s="513">
        <f t="shared" si="24"/>
        <v>648900</v>
      </c>
      <c r="J188" s="513">
        <f t="shared" si="24"/>
        <v>18000</v>
      </c>
      <c r="K188" s="427" t="b">
        <f>H188='d3'!E151-'d3'!E152+H190</f>
        <v>1</v>
      </c>
      <c r="L188" s="428" t="b">
        <f>I188='d3'!J151-'d3'!J152+'d7'!I190</f>
        <v>1</v>
      </c>
      <c r="M188" s="428" t="b">
        <f>J188='d3'!K151-'d3'!K152+'d7'!J190</f>
        <v>1</v>
      </c>
    </row>
    <row r="189" spans="1:17" ht="226.5" thickTop="1" thickBot="1" x14ac:dyDescent="0.25">
      <c r="A189" s="439" t="s">
        <v>187</v>
      </c>
      <c r="B189" s="439"/>
      <c r="C189" s="439"/>
      <c r="D189" s="440" t="s">
        <v>729</v>
      </c>
      <c r="E189" s="441"/>
      <c r="F189" s="441"/>
      <c r="G189" s="514">
        <f>SUM(G190:G194)</f>
        <v>648900</v>
      </c>
      <c r="H189" s="514">
        <f>SUM(H190:H194)</f>
        <v>0</v>
      </c>
      <c r="I189" s="514">
        <f>SUM(I190:I194)</f>
        <v>648900</v>
      </c>
      <c r="J189" s="514">
        <f>SUM(J190:J194)</f>
        <v>18000</v>
      </c>
    </row>
    <row r="190" spans="1:17" s="503" customFormat="1" ht="230.25" thickTop="1" thickBot="1" x14ac:dyDescent="0.25">
      <c r="A190" s="520" t="s">
        <v>473</v>
      </c>
      <c r="B190" s="520" t="s">
        <v>266</v>
      </c>
      <c r="C190" s="520" t="s">
        <v>264</v>
      </c>
      <c r="D190" s="520" t="s">
        <v>265</v>
      </c>
      <c r="E190" s="467" t="s">
        <v>778</v>
      </c>
      <c r="F190" s="519"/>
      <c r="G190" s="519">
        <f>H190+I190</f>
        <v>18000</v>
      </c>
      <c r="H190" s="523"/>
      <c r="I190" s="519">
        <v>18000</v>
      </c>
      <c r="J190" s="519">
        <v>18000</v>
      </c>
      <c r="K190" s="505"/>
      <c r="L190" s="505"/>
      <c r="M190" s="505"/>
      <c r="N190" s="505"/>
      <c r="O190" s="505"/>
      <c r="P190" s="505"/>
      <c r="Q190" s="505"/>
    </row>
    <row r="191" spans="1:17" ht="184.5" thickTop="1" thickBot="1" x14ac:dyDescent="0.25">
      <c r="A191" s="520" t="s">
        <v>341</v>
      </c>
      <c r="B191" s="520" t="s">
        <v>342</v>
      </c>
      <c r="C191" s="520" t="s">
        <v>56</v>
      </c>
      <c r="D191" s="520" t="s">
        <v>57</v>
      </c>
      <c r="E191" s="341" t="s">
        <v>750</v>
      </c>
      <c r="F191" s="525"/>
      <c r="G191" s="523">
        <f t="shared" ref="G191:G194" si="25">H191+I191</f>
        <v>248900</v>
      </c>
      <c r="H191" s="519">
        <f>'d3'!E153</f>
        <v>0</v>
      </c>
      <c r="I191" s="519">
        <f>'d3'!J153</f>
        <v>248900</v>
      </c>
      <c r="J191" s="519">
        <f>'d3'!K153</f>
        <v>0</v>
      </c>
    </row>
    <row r="192" spans="1:17" ht="184.5" thickTop="1" thickBot="1" x14ac:dyDescent="0.25">
      <c r="A192" s="520" t="s">
        <v>540</v>
      </c>
      <c r="B192" s="520" t="s">
        <v>541</v>
      </c>
      <c r="C192" s="520" t="s">
        <v>539</v>
      </c>
      <c r="D192" s="520" t="s">
        <v>542</v>
      </c>
      <c r="E192" s="341" t="s">
        <v>750</v>
      </c>
      <c r="F192" s="525"/>
      <c r="G192" s="523">
        <f t="shared" si="25"/>
        <v>70000</v>
      </c>
      <c r="H192" s="519">
        <f>'d3'!E154</f>
        <v>0</v>
      </c>
      <c r="I192" s="519">
        <f>'d3'!J154</f>
        <v>70000</v>
      </c>
      <c r="J192" s="519">
        <f>'d3'!K154</f>
        <v>0</v>
      </c>
    </row>
    <row r="193" spans="1:17" ht="184.5" thickTop="1" thickBot="1" x14ac:dyDescent="0.25">
      <c r="A193" s="520" t="s">
        <v>606</v>
      </c>
      <c r="B193" s="520" t="s">
        <v>604</v>
      </c>
      <c r="C193" s="520" t="s">
        <v>607</v>
      </c>
      <c r="D193" s="520" t="s">
        <v>605</v>
      </c>
      <c r="E193" s="341" t="s">
        <v>750</v>
      </c>
      <c r="F193" s="525"/>
      <c r="G193" s="523">
        <f t="shared" si="25"/>
        <v>125000</v>
      </c>
      <c r="H193" s="519">
        <f>'d3'!E155</f>
        <v>0</v>
      </c>
      <c r="I193" s="519">
        <f>'d3'!J155</f>
        <v>125000</v>
      </c>
      <c r="J193" s="519">
        <f>'d3'!K155</f>
        <v>0</v>
      </c>
    </row>
    <row r="194" spans="1:17" ht="184.5" thickTop="1" thickBot="1" x14ac:dyDescent="0.25">
      <c r="A194" s="520" t="s">
        <v>343</v>
      </c>
      <c r="B194" s="520" t="s">
        <v>344</v>
      </c>
      <c r="C194" s="520" t="s">
        <v>58</v>
      </c>
      <c r="D194" s="520" t="s">
        <v>543</v>
      </c>
      <c r="E194" s="341" t="s">
        <v>750</v>
      </c>
      <c r="F194" s="525"/>
      <c r="G194" s="523">
        <f t="shared" si="25"/>
        <v>187000</v>
      </c>
      <c r="H194" s="519">
        <f>'d3'!E156</f>
        <v>0</v>
      </c>
      <c r="I194" s="519">
        <f>'d3'!J156</f>
        <v>187000</v>
      </c>
      <c r="J194" s="519">
        <f>'d3'!K156</f>
        <v>0</v>
      </c>
    </row>
    <row r="195" spans="1:17" ht="361.5" thickTop="1" thickBot="1" x14ac:dyDescent="0.25">
      <c r="A195" s="435" t="s">
        <v>184</v>
      </c>
      <c r="B195" s="435"/>
      <c r="C195" s="435"/>
      <c r="D195" s="436" t="s">
        <v>491</v>
      </c>
      <c r="E195" s="437"/>
      <c r="F195" s="438"/>
      <c r="G195" s="512">
        <f>G196</f>
        <v>250000</v>
      </c>
      <c r="H195" s="512">
        <f t="shared" ref="H195:J195" si="26">H196</f>
        <v>0</v>
      </c>
      <c r="I195" s="513">
        <f t="shared" si="26"/>
        <v>250000</v>
      </c>
      <c r="J195" s="513">
        <f t="shared" si="26"/>
        <v>250000</v>
      </c>
      <c r="K195" s="427" t="b">
        <f>H195='d3'!E158-'d3'!E159</f>
        <v>1</v>
      </c>
      <c r="L195" s="428" t="b">
        <f>I195='d3'!J158-'d3'!J159</f>
        <v>1</v>
      </c>
      <c r="M195" s="428" t="b">
        <f>J195='d3'!K158-'d3'!K159</f>
        <v>1</v>
      </c>
    </row>
    <row r="196" spans="1:17" ht="361.5" thickTop="1" thickBot="1" x14ac:dyDescent="0.25">
      <c r="A196" s="439" t="s">
        <v>185</v>
      </c>
      <c r="B196" s="439"/>
      <c r="C196" s="439"/>
      <c r="D196" s="440" t="s">
        <v>492</v>
      </c>
      <c r="E196" s="441"/>
      <c r="F196" s="441"/>
      <c r="G196" s="514">
        <f>SUM(G197:G198)</f>
        <v>250000</v>
      </c>
      <c r="H196" s="514">
        <f>SUM(H197:H198)</f>
        <v>0</v>
      </c>
      <c r="I196" s="514">
        <f>SUM(I197:I198)</f>
        <v>250000</v>
      </c>
      <c r="J196" s="514">
        <f>SUM(J197:J198)</f>
        <v>250000</v>
      </c>
    </row>
    <row r="197" spans="1:17" ht="230.25" thickTop="1" thickBot="1" x14ac:dyDescent="0.25">
      <c r="A197" s="520" t="s">
        <v>338</v>
      </c>
      <c r="B197" s="520" t="s">
        <v>339</v>
      </c>
      <c r="C197" s="520" t="s">
        <v>340</v>
      </c>
      <c r="D197" s="520" t="s">
        <v>526</v>
      </c>
      <c r="E197" s="341" t="s">
        <v>751</v>
      </c>
      <c r="F197" s="519"/>
      <c r="G197" s="523">
        <f t="shared" ref="G197:G198" si="27">H197+I197</f>
        <v>200000</v>
      </c>
      <c r="H197" s="519">
        <f>'d3'!E160</f>
        <v>0</v>
      </c>
      <c r="I197" s="519">
        <f>'d3'!J160</f>
        <v>200000</v>
      </c>
      <c r="J197" s="519">
        <f>'d3'!K160</f>
        <v>200000</v>
      </c>
    </row>
    <row r="198" spans="1:17" ht="230.25" thickTop="1" thickBot="1" x14ac:dyDescent="0.25">
      <c r="A198" s="520" t="s">
        <v>416</v>
      </c>
      <c r="B198" s="520" t="s">
        <v>417</v>
      </c>
      <c r="C198" s="520" t="s">
        <v>192</v>
      </c>
      <c r="D198" s="520" t="s">
        <v>418</v>
      </c>
      <c r="E198" s="341" t="s">
        <v>751</v>
      </c>
      <c r="F198" s="519"/>
      <c r="G198" s="523">
        <f t="shared" si="27"/>
        <v>50000</v>
      </c>
      <c r="H198" s="519">
        <f>'d3'!E161</f>
        <v>0</v>
      </c>
      <c r="I198" s="519">
        <f>'d3'!J161</f>
        <v>50000</v>
      </c>
      <c r="J198" s="519">
        <f>'d3'!K161</f>
        <v>50000</v>
      </c>
    </row>
    <row r="199" spans="1:17" ht="81.75" customHeight="1" thickTop="1" thickBot="1" x14ac:dyDescent="1.2">
      <c r="A199" s="491" t="s">
        <v>431</v>
      </c>
      <c r="B199" s="491" t="s">
        <v>431</v>
      </c>
      <c r="C199" s="491" t="s">
        <v>431</v>
      </c>
      <c r="D199" s="492" t="s">
        <v>441</v>
      </c>
      <c r="E199" s="491" t="s">
        <v>431</v>
      </c>
      <c r="F199" s="491" t="s">
        <v>431</v>
      </c>
      <c r="G199" s="493">
        <f>G16+G32+G114+G48+G73+G99+G166+G182+G189+G196+G177+G174+G144+G131</f>
        <v>2701371258.5799999</v>
      </c>
      <c r="H199" s="493">
        <f>H16+H32+H114+H48+H73+H99+H166+H182+H189+H196+H177+H174+H144+H131</f>
        <v>2345904511</v>
      </c>
      <c r="I199" s="493">
        <f>I16+I32+I114+I48+I73+I99+I166+I182+I189+I196+I177+I174+I144+I131</f>
        <v>355466747.57999998</v>
      </c>
      <c r="J199" s="493">
        <f>J16+J32+J114+J48+J73+J99+J166+J182+J189+J196+J177+J174+J144+J131</f>
        <v>194680762.57999998</v>
      </c>
      <c r="K199" s="529" t="b">
        <f>G199=H199+I199</f>
        <v>1</v>
      </c>
    </row>
    <row r="200" spans="1:17" ht="31.7" customHeight="1" thickTop="1" x14ac:dyDescent="0.2">
      <c r="A200" s="645" t="s">
        <v>575</v>
      </c>
      <c r="B200" s="646"/>
      <c r="C200" s="646"/>
      <c r="D200" s="646"/>
      <c r="E200" s="646"/>
      <c r="F200" s="646"/>
      <c r="G200" s="646"/>
      <c r="H200" s="646"/>
      <c r="I200" s="646"/>
      <c r="J200" s="646"/>
    </row>
    <row r="201" spans="1:17" ht="31.7" customHeight="1" x14ac:dyDescent="0.2">
      <c r="A201" s="206"/>
      <c r="B201" s="207"/>
      <c r="C201" s="207"/>
      <c r="D201" s="207"/>
      <c r="E201" s="207"/>
      <c r="F201" s="207"/>
      <c r="G201" s="207"/>
      <c r="H201" s="207"/>
      <c r="I201" s="207"/>
      <c r="J201" s="207"/>
    </row>
    <row r="202" spans="1:17" ht="31.7" customHeight="1" x14ac:dyDescent="0.65">
      <c r="A202" s="206"/>
      <c r="B202" s="217"/>
      <c r="C202" s="207"/>
      <c r="D202" s="207"/>
      <c r="E202" s="207"/>
      <c r="F202" s="207"/>
      <c r="G202" s="207"/>
      <c r="H202" s="207"/>
      <c r="I202" s="207"/>
      <c r="J202" s="207"/>
    </row>
    <row r="203" spans="1:17" ht="45" customHeight="1" x14ac:dyDescent="0.2">
      <c r="A203" s="206"/>
      <c r="B203" s="207"/>
      <c r="C203" s="207"/>
      <c r="D203" s="187" t="s">
        <v>677</v>
      </c>
      <c r="E203" s="207"/>
      <c r="F203" s="207"/>
      <c r="G203" s="187" t="s">
        <v>678</v>
      </c>
      <c r="H203" s="207"/>
      <c r="I203" s="207"/>
      <c r="J203" s="207"/>
    </row>
    <row r="204" spans="1:17" ht="61.5" customHeight="1" x14ac:dyDescent="0.65">
      <c r="A204" s="200"/>
      <c r="B204" s="200"/>
      <c r="C204" s="200"/>
      <c r="D204" s="601"/>
      <c r="E204" s="601"/>
      <c r="F204" s="601"/>
      <c r="G204" s="601"/>
      <c r="H204" s="601"/>
      <c r="I204" s="601"/>
      <c r="J204" s="601"/>
      <c r="K204" s="601"/>
      <c r="L204" s="601"/>
      <c r="M204" s="601"/>
      <c r="N204" s="601"/>
      <c r="O204" s="601"/>
      <c r="P204" s="601"/>
      <c r="Q204" s="601"/>
    </row>
    <row r="205" spans="1:17" ht="45.75" x14ac:dyDescent="0.65">
      <c r="D205" s="217" t="s">
        <v>648</v>
      </c>
      <c r="E205" s="10"/>
      <c r="F205" s="92"/>
      <c r="G205" s="217" t="s">
        <v>649</v>
      </c>
      <c r="H205" s="121"/>
      <c r="I205" s="92"/>
      <c r="J205" s="10"/>
      <c r="K205" s="387"/>
      <c r="L205" s="387"/>
      <c r="M205" s="387"/>
      <c r="N205" s="387"/>
      <c r="O205" s="387"/>
      <c r="P205" s="387"/>
      <c r="Q205" s="387"/>
    </row>
    <row r="206" spans="1:17" ht="45.75" x14ac:dyDescent="0.65">
      <c r="D206" s="601"/>
      <c r="E206" s="601"/>
      <c r="F206" s="601"/>
      <c r="G206" s="601"/>
      <c r="H206" s="601"/>
      <c r="I206" s="601"/>
      <c r="J206" s="601"/>
      <c r="K206" s="387"/>
      <c r="L206" s="387"/>
      <c r="M206" s="387"/>
      <c r="N206" s="387"/>
      <c r="O206" s="387"/>
      <c r="P206" s="387"/>
      <c r="Q206" s="387"/>
    </row>
    <row r="207" spans="1:17" x14ac:dyDescent="0.2">
      <c r="E207" s="4"/>
      <c r="F207" s="3"/>
    </row>
    <row r="208" spans="1:17" x14ac:dyDescent="0.2">
      <c r="E208" s="4"/>
      <c r="F208" s="3"/>
    </row>
    <row r="209" spans="1:10" ht="62.25" x14ac:dyDescent="0.8">
      <c r="A209" s="197"/>
      <c r="B209" s="197"/>
      <c r="C209" s="197"/>
      <c r="D209" s="197"/>
      <c r="E209" s="10"/>
      <c r="F209" s="92"/>
      <c r="I209" s="197"/>
      <c r="J209" s="102"/>
    </row>
    <row r="210" spans="1:10" ht="45.75" x14ac:dyDescent="0.2">
      <c r="E210" s="11"/>
      <c r="F210" s="121"/>
    </row>
    <row r="211" spans="1:10" ht="45.75" x14ac:dyDescent="0.2">
      <c r="A211" s="197"/>
      <c r="B211" s="197"/>
      <c r="C211" s="197"/>
      <c r="D211" s="197"/>
      <c r="E211" s="10" t="s">
        <v>658</v>
      </c>
      <c r="F211" s="92"/>
      <c r="I211" s="197"/>
      <c r="J211" s="197"/>
    </row>
    <row r="212" spans="1:10" ht="45.75" x14ac:dyDescent="0.2">
      <c r="E212" s="11"/>
      <c r="F212" s="121"/>
    </row>
    <row r="213" spans="1:10" ht="45.75" x14ac:dyDescent="0.2">
      <c r="E213" s="11" t="s">
        <v>659</v>
      </c>
      <c r="F213" s="121"/>
    </row>
    <row r="214" spans="1:10" ht="45.75" x14ac:dyDescent="0.2">
      <c r="E214" s="11"/>
      <c r="F214" s="121"/>
    </row>
    <row r="215" spans="1:10" ht="45.75" x14ac:dyDescent="0.2">
      <c r="A215" s="197"/>
      <c r="B215" s="197"/>
      <c r="C215" s="197"/>
      <c r="D215" s="197"/>
      <c r="E215" s="11"/>
      <c r="F215" s="121"/>
      <c r="G215" s="197"/>
      <c r="H215" s="197"/>
      <c r="I215" s="197"/>
      <c r="J215" s="197"/>
    </row>
    <row r="216" spans="1:10" ht="45.75" x14ac:dyDescent="0.2">
      <c r="A216" s="197"/>
      <c r="B216" s="197"/>
      <c r="C216" s="197"/>
      <c r="D216" s="197"/>
      <c r="E216" s="11"/>
      <c r="F216" s="121"/>
      <c r="G216" s="197"/>
      <c r="H216" s="197"/>
      <c r="I216" s="197"/>
      <c r="J216" s="197"/>
    </row>
    <row r="217" spans="1:10" ht="45.75" x14ac:dyDescent="0.2">
      <c r="A217" s="197"/>
      <c r="B217" s="197"/>
      <c r="C217" s="197"/>
      <c r="D217" s="197"/>
      <c r="E217" s="11"/>
      <c r="F217" s="121"/>
      <c r="G217" s="197"/>
      <c r="H217" s="197"/>
      <c r="I217" s="197"/>
      <c r="J217" s="197"/>
    </row>
    <row r="218" spans="1:10" ht="45.75" x14ac:dyDescent="0.2">
      <c r="A218" s="197"/>
      <c r="B218" s="197"/>
      <c r="C218" s="197"/>
      <c r="D218" s="197"/>
      <c r="E218" s="11"/>
      <c r="F218" s="121"/>
      <c r="G218" s="197"/>
      <c r="H218" s="197"/>
      <c r="I218" s="197"/>
      <c r="J218" s="197"/>
    </row>
  </sheetData>
  <mergeCells count="155">
    <mergeCell ref="A141:A142"/>
    <mergeCell ref="B141:B142"/>
    <mergeCell ref="C141:C142"/>
    <mergeCell ref="E141:E142"/>
    <mergeCell ref="F141:F142"/>
    <mergeCell ref="G141:G142"/>
    <mergeCell ref="H141:H142"/>
    <mergeCell ref="I141:I142"/>
    <mergeCell ref="J141:J142"/>
    <mergeCell ref="D206:J206"/>
    <mergeCell ref="A200:J200"/>
    <mergeCell ref="G179:G180"/>
    <mergeCell ref="H179:H180"/>
    <mergeCell ref="I179:I180"/>
    <mergeCell ref="J179:J180"/>
    <mergeCell ref="D204:Q204"/>
    <mergeCell ref="G68:G69"/>
    <mergeCell ref="H68:H69"/>
    <mergeCell ref="I68:I69"/>
    <mergeCell ref="J68:J69"/>
    <mergeCell ref="A96:A97"/>
    <mergeCell ref="B96:B97"/>
    <mergeCell ref="C96:C97"/>
    <mergeCell ref="E96:E97"/>
    <mergeCell ref="F96:F97"/>
    <mergeCell ref="G96:G97"/>
    <mergeCell ref="H96:H97"/>
    <mergeCell ref="I96:I97"/>
    <mergeCell ref="J96:J97"/>
    <mergeCell ref="A139:A140"/>
    <mergeCell ref="B139:B140"/>
    <mergeCell ref="C139:C140"/>
    <mergeCell ref="D139:D140"/>
    <mergeCell ref="G66:G67"/>
    <mergeCell ref="H66:H67"/>
    <mergeCell ref="I66:I67"/>
    <mergeCell ref="J66:J67"/>
    <mergeCell ref="G60:G61"/>
    <mergeCell ref="H60:H61"/>
    <mergeCell ref="I60:I61"/>
    <mergeCell ref="J60:J61"/>
    <mergeCell ref="G62:G63"/>
    <mergeCell ref="H62:H63"/>
    <mergeCell ref="I62:I63"/>
    <mergeCell ref="J62:J63"/>
    <mergeCell ref="J53:J54"/>
    <mergeCell ref="G55:G56"/>
    <mergeCell ref="H55:H56"/>
    <mergeCell ref="I55:I56"/>
    <mergeCell ref="J55:J56"/>
    <mergeCell ref="G64:G65"/>
    <mergeCell ref="H64:H65"/>
    <mergeCell ref="I64:I65"/>
    <mergeCell ref="J64:J65"/>
    <mergeCell ref="I1:J1"/>
    <mergeCell ref="I2:J2"/>
    <mergeCell ref="I3:J3"/>
    <mergeCell ref="A5:J5"/>
    <mergeCell ref="A8:J8"/>
    <mergeCell ref="A24:A25"/>
    <mergeCell ref="B24:B25"/>
    <mergeCell ref="C24:C25"/>
    <mergeCell ref="E24:E25"/>
    <mergeCell ref="F24:F25"/>
    <mergeCell ref="H24:H25"/>
    <mergeCell ref="I24:I25"/>
    <mergeCell ref="J24:J25"/>
    <mergeCell ref="G24:G25"/>
    <mergeCell ref="L19:L21"/>
    <mergeCell ref="M19:M21"/>
    <mergeCell ref="A6:J6"/>
    <mergeCell ref="A9:J9"/>
    <mergeCell ref="A10:J10"/>
    <mergeCell ref="F12:F13"/>
    <mergeCell ref="G12:G13"/>
    <mergeCell ref="A12:A13"/>
    <mergeCell ref="B12:B13"/>
    <mergeCell ref="C12:C13"/>
    <mergeCell ref="D12:D13"/>
    <mergeCell ref="E12:E13"/>
    <mergeCell ref="H12:H13"/>
    <mergeCell ref="I12:J12"/>
    <mergeCell ref="A133:A134"/>
    <mergeCell ref="B133:B134"/>
    <mergeCell ref="C133:C134"/>
    <mergeCell ref="D133:D134"/>
    <mergeCell ref="A136:A137"/>
    <mergeCell ref="B136:B137"/>
    <mergeCell ref="C136:C137"/>
    <mergeCell ref="D136:D137"/>
    <mergeCell ref="K19:K21"/>
    <mergeCell ref="G49:G50"/>
    <mergeCell ref="H49:H50"/>
    <mergeCell ref="I49:I50"/>
    <mergeCell ref="J49:J50"/>
    <mergeCell ref="G57:G58"/>
    <mergeCell ref="H57:H58"/>
    <mergeCell ref="I57:I58"/>
    <mergeCell ref="J57:J58"/>
    <mergeCell ref="G51:G52"/>
    <mergeCell ref="H51:H52"/>
    <mergeCell ref="I51:I52"/>
    <mergeCell ref="J51:J52"/>
    <mergeCell ref="G53:G54"/>
    <mergeCell ref="H53:H54"/>
    <mergeCell ref="I53:I54"/>
    <mergeCell ref="H149:H150"/>
    <mergeCell ref="I149:I150"/>
    <mergeCell ref="J149:J150"/>
    <mergeCell ref="A151:A152"/>
    <mergeCell ref="B151:B152"/>
    <mergeCell ref="C151:C152"/>
    <mergeCell ref="D151:D152"/>
    <mergeCell ref="H151:H152"/>
    <mergeCell ref="I151:I152"/>
    <mergeCell ref="J151:J152"/>
    <mergeCell ref="A149:A150"/>
    <mergeCell ref="B149:B150"/>
    <mergeCell ref="C149:C150"/>
    <mergeCell ref="D149:D150"/>
    <mergeCell ref="G149:G150"/>
    <mergeCell ref="G151:G152"/>
    <mergeCell ref="H154:H155"/>
    <mergeCell ref="I154:I155"/>
    <mergeCell ref="J154:J155"/>
    <mergeCell ref="A156:A157"/>
    <mergeCell ref="B156:B157"/>
    <mergeCell ref="C156:C157"/>
    <mergeCell ref="D156:D157"/>
    <mergeCell ref="H156:H157"/>
    <mergeCell ref="I156:I157"/>
    <mergeCell ref="J156:J157"/>
    <mergeCell ref="A154:A155"/>
    <mergeCell ref="B154:B155"/>
    <mergeCell ref="C154:C155"/>
    <mergeCell ref="D154:D155"/>
    <mergeCell ref="G154:G155"/>
    <mergeCell ref="G156:G157"/>
    <mergeCell ref="H158:H159"/>
    <mergeCell ref="I158:I159"/>
    <mergeCell ref="J158:J159"/>
    <mergeCell ref="A160:A161"/>
    <mergeCell ref="B160:B161"/>
    <mergeCell ref="C160:C161"/>
    <mergeCell ref="E160:E161"/>
    <mergeCell ref="F160:F161"/>
    <mergeCell ref="H160:H161"/>
    <mergeCell ref="I160:I161"/>
    <mergeCell ref="J160:J161"/>
    <mergeCell ref="A158:A159"/>
    <mergeCell ref="B158:B159"/>
    <mergeCell ref="C158:C159"/>
    <mergeCell ref="D158:D159"/>
    <mergeCell ref="G158:G159"/>
    <mergeCell ref="G160:G161"/>
  </mergeCells>
  <pageMargins left="0.23622047244094491" right="0.27559055118110237" top="0.27559055118110237" bottom="0.15748031496062992" header="0.23622047244094491" footer="0.27559055118110237"/>
  <pageSetup paperSize="9" scale="19" fitToHeight="0" orientation="landscape" r:id="rId1"/>
  <headerFooter alignWithMargins="0">
    <oddFooter>&amp;C&amp;"Times New Roman Cyr,курсив"Сторінка &amp;P з &amp;N</oddFooter>
  </headerFooter>
  <rowBreaks count="6" manualBreakCount="6">
    <brk id="22" min="4" max="9" man="1"/>
    <brk id="34" max="9" man="1"/>
    <brk id="44" max="9" man="1"/>
    <brk id="104" max="9" man="1"/>
    <brk id="122" max="9" man="1"/>
    <brk id="205" max="9" man="1"/>
  </row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6"/>
  <dimension ref="A1:J162"/>
  <sheetViews>
    <sheetView view="pageBreakPreview" zoomScale="85" zoomScaleNormal="85" zoomScaleSheetLayoutView="85" workbookViewId="0">
      <selection activeCell="C2" sqref="C2:F2"/>
    </sheetView>
  </sheetViews>
  <sheetFormatPr defaultColWidth="9.140625" defaultRowHeight="12.75" x14ac:dyDescent="0.2"/>
  <cols>
    <col min="1" max="1" width="18.140625" style="76" customWidth="1"/>
    <col min="2" max="2" width="108" style="76" customWidth="1"/>
    <col min="3" max="3" width="4" style="76" hidden="1" customWidth="1"/>
    <col min="4" max="4" width="17" style="76" customWidth="1"/>
    <col min="5" max="5" width="14.7109375" style="405" customWidth="1"/>
    <col min="6" max="6" width="21.85546875" style="405" bestFit="1" customWidth="1"/>
    <col min="7" max="7" width="18.85546875" style="76" bestFit="1" customWidth="1"/>
    <col min="8" max="9" width="9.140625" style="76"/>
    <col min="10" max="10" width="52.5703125" style="76" customWidth="1"/>
    <col min="11" max="16384" width="9.140625" style="76"/>
  </cols>
  <sheetData>
    <row r="1" spans="1:9" ht="16.5" customHeight="1" x14ac:dyDescent="0.2">
      <c r="C1" s="593" t="s">
        <v>843</v>
      </c>
      <c r="D1" s="593"/>
      <c r="E1" s="404"/>
      <c r="F1" s="404"/>
    </row>
    <row r="2" spans="1:9" ht="16.5" customHeight="1" x14ac:dyDescent="0.2">
      <c r="C2" s="707" t="s">
        <v>916</v>
      </c>
      <c r="D2" s="708"/>
      <c r="E2" s="708"/>
      <c r="F2" s="708"/>
    </row>
    <row r="3" spans="1:9" ht="12.75" customHeight="1" x14ac:dyDescent="0.2">
      <c r="C3" s="593"/>
      <c r="D3" s="699"/>
    </row>
    <row r="4" spans="1:9" ht="12.75" customHeight="1" x14ac:dyDescent="0.2">
      <c r="C4" s="593"/>
      <c r="D4" s="595"/>
    </row>
    <row r="5" spans="1:9" ht="16.5" x14ac:dyDescent="0.25">
      <c r="A5" s="729" t="s">
        <v>766</v>
      </c>
      <c r="B5" s="729"/>
      <c r="C5" s="729"/>
      <c r="D5" s="595"/>
      <c r="E5" s="709"/>
      <c r="F5" s="710"/>
      <c r="G5" s="710"/>
      <c r="H5" s="710"/>
      <c r="I5" s="607"/>
    </row>
    <row r="6" spans="1:9" s="286" customFormat="1" ht="16.5" x14ac:dyDescent="0.25">
      <c r="A6" s="729" t="s">
        <v>765</v>
      </c>
      <c r="B6" s="729"/>
      <c r="C6" s="729"/>
      <c r="D6" s="595"/>
      <c r="E6" s="406"/>
      <c r="F6" s="407"/>
      <c r="G6" s="284"/>
      <c r="H6" s="284"/>
      <c r="I6" s="285"/>
    </row>
    <row r="7" spans="1:9" ht="16.5" x14ac:dyDescent="0.25">
      <c r="A7" s="714" t="s">
        <v>146</v>
      </c>
      <c r="B7" s="714"/>
      <c r="C7" s="714"/>
      <c r="D7" s="639"/>
      <c r="E7" s="709"/>
      <c r="F7" s="709"/>
      <c r="G7" s="709"/>
      <c r="H7" s="709"/>
      <c r="I7" s="594"/>
    </row>
    <row r="8" spans="1:9" ht="16.5" x14ac:dyDescent="0.2">
      <c r="A8" s="714" t="s">
        <v>667</v>
      </c>
      <c r="B8" s="714"/>
      <c r="C8" s="714"/>
      <c r="D8" s="639"/>
      <c r="E8" s="711"/>
      <c r="F8" s="711"/>
      <c r="G8" s="711"/>
      <c r="H8" s="711"/>
      <c r="I8" s="712"/>
    </row>
    <row r="9" spans="1:9" s="143" customFormat="1" ht="16.5" x14ac:dyDescent="0.2">
      <c r="A9" s="144"/>
      <c r="B9" s="144"/>
      <c r="C9" s="144"/>
      <c r="D9" s="138"/>
      <c r="E9" s="408"/>
      <c r="F9" s="408"/>
      <c r="G9" s="141"/>
      <c r="H9" s="141"/>
      <c r="I9" s="142"/>
    </row>
    <row r="10" spans="1:9" s="143" customFormat="1" ht="16.5" x14ac:dyDescent="0.2">
      <c r="A10" s="149">
        <v>22564000000</v>
      </c>
      <c r="B10" s="148"/>
      <c r="C10" s="144"/>
      <c r="D10" s="138"/>
      <c r="E10" s="408"/>
      <c r="F10" s="408"/>
      <c r="G10" s="141"/>
      <c r="H10" s="141"/>
      <c r="I10" s="142"/>
    </row>
    <row r="11" spans="1:9" s="143" customFormat="1" ht="16.5" x14ac:dyDescent="0.2">
      <c r="A11" s="150" t="s">
        <v>568</v>
      </c>
      <c r="B11" s="147"/>
      <c r="C11" s="144"/>
      <c r="D11" s="138"/>
      <c r="E11" s="408"/>
      <c r="F11" s="408"/>
      <c r="G11" s="141"/>
      <c r="H11" s="141"/>
      <c r="I11" s="142"/>
    </row>
    <row r="12" spans="1:9" ht="17.25" thickBot="1" x14ac:dyDescent="0.25">
      <c r="A12" s="132"/>
      <c r="B12" s="132"/>
      <c r="C12" s="133"/>
      <c r="D12" s="133" t="s">
        <v>454</v>
      </c>
      <c r="E12" s="408"/>
      <c r="F12" s="408"/>
      <c r="G12" s="77"/>
    </row>
    <row r="13" spans="1:9" s="78" customFormat="1" ht="50.25" customHeight="1" thickTop="1" thickBot="1" x14ac:dyDescent="0.25">
      <c r="A13" s="353" t="s">
        <v>147</v>
      </c>
      <c r="B13" s="704" t="s">
        <v>148</v>
      </c>
      <c r="C13" s="703"/>
      <c r="D13" s="703"/>
      <c r="E13" s="409"/>
      <c r="F13" s="409"/>
    </row>
    <row r="14" spans="1:9" s="78" customFormat="1" ht="39.75" customHeight="1" thickTop="1" thickBot="1" x14ac:dyDescent="0.25">
      <c r="A14" s="151" t="s">
        <v>149</v>
      </c>
      <c r="B14" s="700" t="s">
        <v>150</v>
      </c>
      <c r="C14" s="713"/>
      <c r="D14" s="152">
        <v>100</v>
      </c>
      <c r="E14" s="409"/>
      <c r="F14" s="409"/>
    </row>
    <row r="15" spans="1:9" s="78" customFormat="1" ht="40.700000000000003" customHeight="1" thickTop="1" thickBot="1" x14ac:dyDescent="0.25">
      <c r="A15" s="151" t="s">
        <v>151</v>
      </c>
      <c r="B15" s="700" t="s">
        <v>152</v>
      </c>
      <c r="C15" s="713"/>
      <c r="D15" s="152">
        <v>4200000</v>
      </c>
      <c r="E15" s="409"/>
      <c r="F15" s="409"/>
    </row>
    <row r="16" spans="1:9" s="78" customFormat="1" ht="61.5" hidden="1" customHeight="1" thickTop="1" thickBot="1" x14ac:dyDescent="0.25">
      <c r="A16" s="151" t="s">
        <v>153</v>
      </c>
      <c r="B16" s="700" t="s">
        <v>154</v>
      </c>
      <c r="C16" s="713"/>
      <c r="D16" s="152">
        <v>0</v>
      </c>
      <c r="E16" s="409"/>
      <c r="F16" s="409"/>
    </row>
    <row r="17" spans="1:7" s="78" customFormat="1" ht="41.25" customHeight="1" thickTop="1" thickBot="1" x14ac:dyDescent="0.25">
      <c r="A17" s="151" t="s">
        <v>155</v>
      </c>
      <c r="B17" s="700" t="s">
        <v>156</v>
      </c>
      <c r="C17" s="713"/>
      <c r="D17" s="152">
        <v>1100</v>
      </c>
      <c r="E17" s="409"/>
      <c r="F17" s="409"/>
    </row>
    <row r="18" spans="1:7" s="78" customFormat="1" ht="26.45" customHeight="1" thickTop="1" thickBot="1" x14ac:dyDescent="0.25">
      <c r="A18" s="151"/>
      <c r="B18" s="719" t="s">
        <v>157</v>
      </c>
      <c r="C18" s="713"/>
      <c r="D18" s="153">
        <f>SUM(D14:D17)</f>
        <v>4201200</v>
      </c>
      <c r="E18" s="409"/>
      <c r="F18" s="409"/>
    </row>
    <row r="19" spans="1:7" s="78" customFormat="1" ht="26.45" hidden="1" customHeight="1" thickTop="1" thickBot="1" x14ac:dyDescent="0.25">
      <c r="A19" s="151"/>
      <c r="B19" s="719" t="s">
        <v>498</v>
      </c>
      <c r="C19" s="713"/>
      <c r="D19" s="153"/>
      <c r="E19" s="409"/>
      <c r="F19" s="409"/>
    </row>
    <row r="20" spans="1:7" s="78" customFormat="1" ht="26.45" customHeight="1" thickTop="1" thickBot="1" x14ac:dyDescent="0.25">
      <c r="A20" s="169"/>
      <c r="B20" s="719" t="s">
        <v>668</v>
      </c>
      <c r="C20" s="713"/>
      <c r="D20" s="153">
        <v>0</v>
      </c>
      <c r="E20" s="409"/>
      <c r="F20" s="409"/>
    </row>
    <row r="21" spans="1:7" s="78" customFormat="1" ht="26.45" customHeight="1" thickTop="1" thickBot="1" x14ac:dyDescent="0.25">
      <c r="A21" s="155" t="s">
        <v>431</v>
      </c>
      <c r="B21" s="705" t="s">
        <v>572</v>
      </c>
      <c r="C21" s="706"/>
      <c r="D21" s="154">
        <f>D18+D20</f>
        <v>4201200</v>
      </c>
      <c r="E21" s="409"/>
      <c r="F21" s="409"/>
    </row>
    <row r="22" spans="1:7" s="78" customFormat="1" ht="47.25" customHeight="1" thickTop="1" thickBot="1" x14ac:dyDescent="0.25">
      <c r="A22" s="353" t="s">
        <v>147</v>
      </c>
      <c r="B22" s="702" t="s">
        <v>158</v>
      </c>
      <c r="C22" s="703"/>
      <c r="D22" s="703"/>
      <c r="E22" s="409"/>
      <c r="F22" s="409"/>
    </row>
    <row r="23" spans="1:7" s="78" customFormat="1" ht="43.5" customHeight="1" thickTop="1" thickBot="1" x14ac:dyDescent="0.25">
      <c r="A23" s="248" t="s">
        <v>159</v>
      </c>
      <c r="B23" s="700" t="s">
        <v>160</v>
      </c>
      <c r="C23" s="701"/>
      <c r="D23" s="152">
        <v>114000</v>
      </c>
      <c r="E23" s="409"/>
      <c r="F23" s="409"/>
    </row>
    <row r="24" spans="1:7" s="78" customFormat="1" ht="44.45" customHeight="1" thickTop="1" thickBot="1" x14ac:dyDescent="0.25">
      <c r="A24" s="248" t="s">
        <v>161</v>
      </c>
      <c r="B24" s="700" t="s">
        <v>162</v>
      </c>
      <c r="C24" s="701"/>
      <c r="D24" s="152">
        <v>126000</v>
      </c>
      <c r="E24" s="409"/>
      <c r="F24" s="409"/>
    </row>
    <row r="25" spans="1:7" s="78" customFormat="1" ht="44.45" customHeight="1" thickTop="1" thickBot="1" x14ac:dyDescent="0.25">
      <c r="A25" s="248" t="s">
        <v>547</v>
      </c>
      <c r="B25" s="700" t="s">
        <v>460</v>
      </c>
      <c r="C25" s="701"/>
      <c r="D25" s="152">
        <v>322000</v>
      </c>
      <c r="E25" s="409"/>
      <c r="F25" s="409"/>
    </row>
    <row r="26" spans="1:7" s="78" customFormat="1" ht="32.25" customHeight="1" thickTop="1" thickBot="1" x14ac:dyDescent="0.25">
      <c r="A26" s="248" t="s">
        <v>163</v>
      </c>
      <c r="B26" s="700" t="s">
        <v>165</v>
      </c>
      <c r="C26" s="701"/>
      <c r="D26" s="152">
        <v>268330</v>
      </c>
      <c r="E26" s="409"/>
      <c r="F26" s="409"/>
    </row>
    <row r="27" spans="1:7" s="78" customFormat="1" ht="55.5" customHeight="1" thickTop="1" thickBot="1" x14ac:dyDescent="0.25">
      <c r="A27" s="248" t="s">
        <v>164</v>
      </c>
      <c r="B27" s="700" t="s">
        <v>499</v>
      </c>
      <c r="C27" s="701"/>
      <c r="D27" s="152">
        <f>190000+1753600</f>
        <v>1943600</v>
      </c>
      <c r="E27" s="409"/>
      <c r="F27" s="409"/>
    </row>
    <row r="28" spans="1:7" s="78" customFormat="1" ht="79.5" customHeight="1" thickTop="1" thickBot="1" x14ac:dyDescent="0.25">
      <c r="A28" s="248" t="s">
        <v>166</v>
      </c>
      <c r="B28" s="700" t="s">
        <v>167</v>
      </c>
      <c r="C28" s="701"/>
      <c r="D28" s="152">
        <f>190000</f>
        <v>190000</v>
      </c>
      <c r="E28" s="409"/>
      <c r="F28" s="409"/>
    </row>
    <row r="29" spans="1:7" s="78" customFormat="1" ht="48" customHeight="1" thickTop="1" thickBot="1" x14ac:dyDescent="0.25">
      <c r="A29" s="248" t="s">
        <v>548</v>
      </c>
      <c r="B29" s="700" t="s">
        <v>168</v>
      </c>
      <c r="C29" s="701"/>
      <c r="D29" s="152">
        <v>49000</v>
      </c>
      <c r="E29" s="409"/>
      <c r="F29" s="409"/>
    </row>
    <row r="30" spans="1:7" s="78" customFormat="1" ht="54" customHeight="1" thickTop="1" thickBot="1" x14ac:dyDescent="0.3">
      <c r="A30" s="725" t="s">
        <v>549</v>
      </c>
      <c r="B30" s="723" t="s">
        <v>546</v>
      </c>
      <c r="C30" s="724"/>
      <c r="D30" s="727">
        <v>1188270</v>
      </c>
      <c r="E30" s="409"/>
      <c r="F30" s="409"/>
    </row>
    <row r="31" spans="1:7" s="78" customFormat="1" ht="54" customHeight="1" thickTop="1" thickBot="1" x14ac:dyDescent="0.25">
      <c r="A31" s="726"/>
      <c r="B31" s="720" t="s">
        <v>545</v>
      </c>
      <c r="C31" s="721"/>
      <c r="D31" s="728"/>
      <c r="E31" s="409"/>
      <c r="F31" s="409"/>
    </row>
    <row r="32" spans="1:7" s="78" customFormat="1" ht="27.75" customHeight="1" thickTop="1" thickBot="1" x14ac:dyDescent="0.25">
      <c r="A32" s="155" t="s">
        <v>431</v>
      </c>
      <c r="B32" s="705" t="s">
        <v>572</v>
      </c>
      <c r="C32" s="722"/>
      <c r="D32" s="154">
        <f>SUM(D23:D31)</f>
        <v>4201200</v>
      </c>
      <c r="E32" s="531" t="b">
        <f>D21=D32</f>
        <v>1</v>
      </c>
      <c r="F32" s="531" t="b">
        <f>D32='d3'!P123+'d3'!P109+'d3'!P74+'d3'!P23</f>
        <v>1</v>
      </c>
      <c r="G32" s="531" t="b">
        <f>D32='d7'!G160+'d7'!G141+'d7'!G96+'d7'!G24</f>
        <v>1</v>
      </c>
    </row>
    <row r="33" spans="1:6" s="183" customFormat="1" ht="27.75" customHeight="1" thickTop="1" x14ac:dyDescent="0.2">
      <c r="A33" s="179"/>
      <c r="B33" s="180"/>
      <c r="C33" s="181"/>
      <c r="D33" s="182"/>
      <c r="E33" s="410"/>
      <c r="F33" s="410"/>
    </row>
    <row r="34" spans="1:6" ht="19.5" customHeight="1" x14ac:dyDescent="0.25">
      <c r="B34" s="225" t="s">
        <v>677</v>
      </c>
      <c r="C34" s="226" t="s">
        <v>647</v>
      </c>
      <c r="D34" s="220" t="s">
        <v>678</v>
      </c>
      <c r="E34" s="411"/>
    </row>
    <row r="35" spans="1:6" ht="16.5" x14ac:dyDescent="0.2">
      <c r="B35" s="227"/>
      <c r="C35" s="228"/>
      <c r="D35" s="223"/>
      <c r="E35" s="412"/>
    </row>
    <row r="36" spans="1:6" ht="18.75" x14ac:dyDescent="0.25">
      <c r="A36" s="117" t="s">
        <v>653</v>
      </c>
      <c r="B36" s="225" t="s">
        <v>648</v>
      </c>
      <c r="C36" s="226" t="s">
        <v>649</v>
      </c>
      <c r="D36" s="224" t="s">
        <v>649</v>
      </c>
      <c r="E36" s="411"/>
    </row>
    <row r="37" spans="1:6" ht="18.75" x14ac:dyDescent="0.2">
      <c r="A37" s="117"/>
      <c r="B37" s="117"/>
      <c r="C37" s="117"/>
    </row>
    <row r="38" spans="1:6" ht="18.75" x14ac:dyDescent="0.2">
      <c r="A38" s="718"/>
      <c r="B38" s="718"/>
      <c r="C38" s="116"/>
    </row>
    <row r="44" spans="1:6" ht="16.5" x14ac:dyDescent="0.2">
      <c r="A44" s="717"/>
      <c r="B44" s="79"/>
      <c r="C44" s="80"/>
      <c r="D44" s="81"/>
    </row>
    <row r="45" spans="1:6" ht="16.5" x14ac:dyDescent="0.2">
      <c r="A45" s="717"/>
      <c r="B45" s="82"/>
      <c r="C45" s="80"/>
      <c r="D45" s="81"/>
    </row>
    <row r="46" spans="1:6" ht="16.5" x14ac:dyDescent="0.2">
      <c r="A46" s="717"/>
      <c r="B46" s="83"/>
      <c r="C46" s="80"/>
      <c r="D46" s="81"/>
    </row>
    <row r="47" spans="1:6" ht="16.5" x14ac:dyDescent="0.2">
      <c r="A47" s="717"/>
      <c r="B47" s="79"/>
      <c r="C47" s="80"/>
      <c r="D47" s="81"/>
    </row>
    <row r="48" spans="1:6" ht="16.5" x14ac:dyDescent="0.2">
      <c r="A48" s="717"/>
      <c r="B48" s="79"/>
      <c r="C48" s="80"/>
      <c r="D48" s="81"/>
    </row>
    <row r="79" spans="6:6" x14ac:dyDescent="0.2">
      <c r="F79" s="715"/>
    </row>
    <row r="80" spans="6:6" x14ac:dyDescent="0.2">
      <c r="F80" s="716"/>
    </row>
    <row r="116" spans="6:6" x14ac:dyDescent="0.2">
      <c r="F116" s="405">
        <f>G116+H116</f>
        <v>0</v>
      </c>
    </row>
    <row r="118" spans="6:6" x14ac:dyDescent="0.2">
      <c r="F118" s="405">
        <f t="shared" ref="F118:F128" si="0">G118+H118</f>
        <v>0</v>
      </c>
    </row>
    <row r="119" spans="6:6" x14ac:dyDescent="0.2">
      <c r="F119" s="405">
        <f t="shared" si="0"/>
        <v>0</v>
      </c>
    </row>
    <row r="120" spans="6:6" x14ac:dyDescent="0.2">
      <c r="F120" s="405">
        <f t="shared" si="0"/>
        <v>0</v>
      </c>
    </row>
    <row r="121" spans="6:6" x14ac:dyDescent="0.2">
      <c r="F121" s="405">
        <f t="shared" si="0"/>
        <v>0</v>
      </c>
    </row>
    <row r="122" spans="6:6" x14ac:dyDescent="0.2">
      <c r="F122" s="405">
        <f t="shared" si="0"/>
        <v>0</v>
      </c>
    </row>
    <row r="123" spans="6:6" x14ac:dyDescent="0.2">
      <c r="F123" s="405">
        <f t="shared" si="0"/>
        <v>0</v>
      </c>
    </row>
    <row r="124" spans="6:6" x14ac:dyDescent="0.2">
      <c r="F124" s="405">
        <f t="shared" si="0"/>
        <v>0</v>
      </c>
    </row>
    <row r="125" spans="6:6" x14ac:dyDescent="0.2">
      <c r="F125" s="405">
        <f t="shared" si="0"/>
        <v>0</v>
      </c>
    </row>
    <row r="126" spans="6:6" x14ac:dyDescent="0.2">
      <c r="F126" s="405">
        <f t="shared" si="0"/>
        <v>0</v>
      </c>
    </row>
    <row r="127" spans="6:6" x14ac:dyDescent="0.2">
      <c r="F127" s="405">
        <f t="shared" si="0"/>
        <v>0</v>
      </c>
    </row>
    <row r="128" spans="6:6" x14ac:dyDescent="0.2">
      <c r="F128" s="405">
        <f t="shared" si="0"/>
        <v>0</v>
      </c>
    </row>
    <row r="130" spans="6:9" x14ac:dyDescent="0.2">
      <c r="F130" s="405">
        <f>G131+H131</f>
        <v>0</v>
      </c>
    </row>
    <row r="131" spans="6:9" x14ac:dyDescent="0.2">
      <c r="F131" s="405">
        <f t="shared" ref="F131" si="1">G131+H131</f>
        <v>0</v>
      </c>
    </row>
    <row r="132" spans="6:9" x14ac:dyDescent="0.2">
      <c r="F132" s="405">
        <f>G132+H132</f>
        <v>0</v>
      </c>
    </row>
    <row r="133" spans="6:9" x14ac:dyDescent="0.2">
      <c r="F133" s="405">
        <f>G133+H133</f>
        <v>0</v>
      </c>
    </row>
    <row r="134" spans="6:9" x14ac:dyDescent="0.2">
      <c r="F134" s="405">
        <f>G134+H134</f>
        <v>0</v>
      </c>
    </row>
    <row r="135" spans="6:9" x14ac:dyDescent="0.2">
      <c r="F135" s="405">
        <f>G135+H135</f>
        <v>0</v>
      </c>
    </row>
    <row r="140" spans="6:9" ht="46.5" x14ac:dyDescent="0.2">
      <c r="I140" s="129"/>
    </row>
    <row r="143" spans="6:9" ht="46.5" x14ac:dyDescent="0.2">
      <c r="F143" s="413">
        <f>G143+H143</f>
        <v>0</v>
      </c>
      <c r="I143" s="129"/>
    </row>
    <row r="162" spans="10:10" ht="90" x14ac:dyDescent="0.2">
      <c r="J162" s="127" t="b">
        <f>F162=G162+H162</f>
        <v>1</v>
      </c>
    </row>
  </sheetData>
  <mergeCells count="36">
    <mergeCell ref="B16:C16"/>
    <mergeCell ref="B15:C15"/>
    <mergeCell ref="B14:C14"/>
    <mergeCell ref="A5:D5"/>
    <mergeCell ref="A7:D7"/>
    <mergeCell ref="A6:D6"/>
    <mergeCell ref="F79:F80"/>
    <mergeCell ref="A44:A48"/>
    <mergeCell ref="A38:B38"/>
    <mergeCell ref="B19:C19"/>
    <mergeCell ref="B18:C18"/>
    <mergeCell ref="B31:C31"/>
    <mergeCell ref="B32:C32"/>
    <mergeCell ref="B30:C30"/>
    <mergeCell ref="B29:C29"/>
    <mergeCell ref="B28:C28"/>
    <mergeCell ref="B27:C27"/>
    <mergeCell ref="A30:A31"/>
    <mergeCell ref="D30:D31"/>
    <mergeCell ref="B20:C20"/>
    <mergeCell ref="C1:D1"/>
    <mergeCell ref="C3:D3"/>
    <mergeCell ref="C4:D4"/>
    <mergeCell ref="B26:C26"/>
    <mergeCell ref="B25:C25"/>
    <mergeCell ref="B24:C24"/>
    <mergeCell ref="B23:C23"/>
    <mergeCell ref="B22:D22"/>
    <mergeCell ref="B13:D13"/>
    <mergeCell ref="B21:C21"/>
    <mergeCell ref="C2:F2"/>
    <mergeCell ref="E5:I5"/>
    <mergeCell ref="E7:I7"/>
    <mergeCell ref="E8:I8"/>
    <mergeCell ref="B17:C17"/>
    <mergeCell ref="A8:D8"/>
  </mergeCells>
  <pageMargins left="0.23622047244094491" right="0.31496062992125984" top="0.27559055118110237" bottom="0" header="0.23622047244094491" footer="0.19685039370078741"/>
  <pageSetup paperSize="9" scale="67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1"/>
  <sheetViews>
    <sheetView tabSelected="1" view="pageBreakPreview" zoomScale="85" zoomScaleNormal="85" zoomScaleSheetLayoutView="85" workbookViewId="0">
      <selection activeCell="A4" sqref="A4:F4"/>
    </sheetView>
  </sheetViews>
  <sheetFormatPr defaultColWidth="9.140625" defaultRowHeight="12.75" x14ac:dyDescent="0.2"/>
  <cols>
    <col min="1" max="1" width="6.85546875" style="170" customWidth="1"/>
    <col min="2" max="2" width="15.140625" style="170" customWidth="1"/>
    <col min="3" max="3" width="15.28515625" style="170" customWidth="1"/>
    <col min="4" max="4" width="10.85546875" style="170" customWidth="1"/>
    <col min="5" max="5" width="58.140625" style="170" customWidth="1"/>
    <col min="6" max="6" width="15.85546875" style="170" customWidth="1"/>
    <col min="7" max="7" width="9.140625" style="370"/>
    <col min="8" max="10" width="9.140625" style="170"/>
    <col min="11" max="11" width="52.5703125" style="170" customWidth="1"/>
    <col min="12" max="16384" width="9.140625" style="170"/>
  </cols>
  <sheetData>
    <row r="1" spans="1:9" x14ac:dyDescent="0.2">
      <c r="A1" s="87"/>
      <c r="B1" s="87"/>
      <c r="C1" s="87"/>
      <c r="D1" s="87"/>
      <c r="E1" s="87"/>
      <c r="F1" s="87" t="s">
        <v>844</v>
      </c>
    </row>
    <row r="2" spans="1:9" x14ac:dyDescent="0.2">
      <c r="A2" s="87"/>
      <c r="B2" s="87"/>
      <c r="C2" s="87"/>
      <c r="D2" s="87"/>
      <c r="E2" s="87"/>
      <c r="F2" s="87" t="s">
        <v>917</v>
      </c>
    </row>
    <row r="3" spans="1:9" x14ac:dyDescent="0.2">
      <c r="A3" s="87"/>
      <c r="B3" s="87"/>
      <c r="C3" s="87"/>
      <c r="D3" s="87"/>
      <c r="E3" s="87"/>
      <c r="F3" s="734" t="s">
        <v>918</v>
      </c>
      <c r="G3" s="677"/>
      <c r="H3" s="677"/>
      <c r="I3" s="677"/>
    </row>
    <row r="4" spans="1:9" ht="15.75" x14ac:dyDescent="0.25">
      <c r="A4" s="735" t="s">
        <v>768</v>
      </c>
      <c r="B4" s="736"/>
      <c r="C4" s="736"/>
      <c r="D4" s="736"/>
      <c r="E4" s="736"/>
      <c r="F4" s="736"/>
    </row>
    <row r="5" spans="1:9" s="278" customFormat="1" ht="15.75" x14ac:dyDescent="0.25">
      <c r="A5" s="735" t="s">
        <v>767</v>
      </c>
      <c r="B5" s="736"/>
      <c r="C5" s="736"/>
      <c r="D5" s="736"/>
      <c r="E5" s="736"/>
      <c r="F5" s="736"/>
      <c r="G5" s="370"/>
    </row>
    <row r="6" spans="1:9" ht="15.75" x14ac:dyDescent="0.25">
      <c r="A6" s="735" t="s">
        <v>352</v>
      </c>
      <c r="B6" s="736"/>
      <c r="C6" s="736"/>
      <c r="D6" s="736"/>
      <c r="E6" s="736"/>
      <c r="F6" s="736"/>
    </row>
    <row r="7" spans="1:9" ht="15.75" x14ac:dyDescent="0.25">
      <c r="A7" s="735" t="s">
        <v>761</v>
      </c>
      <c r="B7" s="736"/>
      <c r="C7" s="736"/>
      <c r="D7" s="736"/>
      <c r="E7" s="736"/>
      <c r="F7" s="736"/>
    </row>
    <row r="8" spans="1:9" ht="15.75" x14ac:dyDescent="0.25">
      <c r="A8" s="173"/>
      <c r="B8" s="172"/>
      <c r="C8" s="172"/>
      <c r="D8" s="172"/>
      <c r="E8" s="172"/>
      <c r="F8" s="172"/>
    </row>
    <row r="9" spans="1:9" x14ac:dyDescent="0.2">
      <c r="A9" s="682">
        <v>22564000000</v>
      </c>
      <c r="B9" s="607"/>
      <c r="C9" s="172"/>
      <c r="D9" s="172"/>
      <c r="E9" s="172"/>
      <c r="F9" s="172"/>
    </row>
    <row r="10" spans="1:9" x14ac:dyDescent="0.2">
      <c r="A10" s="684" t="s">
        <v>568</v>
      </c>
      <c r="B10" s="685"/>
      <c r="C10" s="172"/>
      <c r="D10" s="172"/>
      <c r="E10" s="172"/>
      <c r="F10" s="172"/>
    </row>
    <row r="11" spans="1:9" ht="13.5" thickBot="1" x14ac:dyDescent="0.25">
      <c r="A11" s="171"/>
      <c r="B11" s="171"/>
      <c r="C11" s="172"/>
      <c r="D11" s="172"/>
      <c r="E11" s="172"/>
      <c r="F11" s="172"/>
    </row>
    <row r="12" spans="1:9" ht="48" customHeight="1" thickTop="1" thickBot="1" x14ac:dyDescent="0.25">
      <c r="A12" s="350" t="s">
        <v>353</v>
      </c>
      <c r="B12" s="351" t="s">
        <v>354</v>
      </c>
      <c r="C12" s="351" t="s">
        <v>22</v>
      </c>
      <c r="D12" s="351" t="s">
        <v>16</v>
      </c>
      <c r="E12" s="350" t="s">
        <v>355</v>
      </c>
      <c r="F12" s="352" t="s">
        <v>455</v>
      </c>
    </row>
    <row r="13" spans="1:9" ht="17.25" thickTop="1" thickBot="1" x14ac:dyDescent="0.25">
      <c r="A13" s="357">
        <v>1</v>
      </c>
      <c r="B13" s="358" t="s">
        <v>341</v>
      </c>
      <c r="C13" s="358" t="s">
        <v>342</v>
      </c>
      <c r="D13" s="358" t="s">
        <v>56</v>
      </c>
      <c r="E13" s="358" t="s">
        <v>904</v>
      </c>
      <c r="F13" s="359">
        <v>100900</v>
      </c>
    </row>
    <row r="14" spans="1:9" ht="17.25" thickTop="1" thickBot="1" x14ac:dyDescent="0.25">
      <c r="A14" s="357">
        <v>2</v>
      </c>
      <c r="B14" s="358" t="s">
        <v>341</v>
      </c>
      <c r="C14" s="358" t="s">
        <v>342</v>
      </c>
      <c r="D14" s="358" t="s">
        <v>56</v>
      </c>
      <c r="E14" s="361" t="s">
        <v>608</v>
      </c>
      <c r="F14" s="360">
        <v>100000</v>
      </c>
    </row>
    <row r="15" spans="1:9" ht="48.75" thickTop="1" thickBot="1" x14ac:dyDescent="0.25">
      <c r="A15" s="357">
        <v>3</v>
      </c>
      <c r="B15" s="358" t="s">
        <v>341</v>
      </c>
      <c r="C15" s="358" t="s">
        <v>342</v>
      </c>
      <c r="D15" s="358" t="s">
        <v>56</v>
      </c>
      <c r="E15" s="361" t="s">
        <v>907</v>
      </c>
      <c r="F15" s="360">
        <v>48000</v>
      </c>
    </row>
    <row r="16" spans="1:9" ht="80.25" thickTop="1" thickBot="1" x14ac:dyDescent="0.25">
      <c r="A16" s="357">
        <v>4</v>
      </c>
      <c r="B16" s="358" t="s">
        <v>540</v>
      </c>
      <c r="C16" s="358" t="s">
        <v>541</v>
      </c>
      <c r="D16" s="358" t="s">
        <v>539</v>
      </c>
      <c r="E16" s="361" t="s">
        <v>681</v>
      </c>
      <c r="F16" s="360">
        <v>70000</v>
      </c>
    </row>
    <row r="17" spans="1:7" ht="33" thickTop="1" thickBot="1" x14ac:dyDescent="0.25">
      <c r="A17" s="357">
        <v>5</v>
      </c>
      <c r="B17" s="358" t="s">
        <v>606</v>
      </c>
      <c r="C17" s="358" t="s">
        <v>604</v>
      </c>
      <c r="D17" s="358" t="s">
        <v>607</v>
      </c>
      <c r="E17" s="362" t="s">
        <v>682</v>
      </c>
      <c r="F17" s="360">
        <v>5000</v>
      </c>
    </row>
    <row r="18" spans="1:7" ht="33" thickTop="1" thickBot="1" x14ac:dyDescent="0.25">
      <c r="A18" s="357">
        <v>6</v>
      </c>
      <c r="B18" s="363" t="s">
        <v>606</v>
      </c>
      <c r="C18" s="363" t="s">
        <v>604</v>
      </c>
      <c r="D18" s="358" t="s">
        <v>607</v>
      </c>
      <c r="E18" s="358" t="s">
        <v>683</v>
      </c>
      <c r="F18" s="359">
        <v>120000</v>
      </c>
    </row>
    <row r="19" spans="1:7" ht="80.25" thickTop="1" thickBot="1" x14ac:dyDescent="0.25">
      <c r="A19" s="357">
        <v>7</v>
      </c>
      <c r="B19" s="358" t="s">
        <v>343</v>
      </c>
      <c r="C19" s="358" t="s">
        <v>344</v>
      </c>
      <c r="D19" s="358" t="s">
        <v>58</v>
      </c>
      <c r="E19" s="362" t="s">
        <v>456</v>
      </c>
      <c r="F19" s="359">
        <v>92500</v>
      </c>
    </row>
    <row r="20" spans="1:7" ht="33" thickTop="1" thickBot="1" x14ac:dyDescent="0.25">
      <c r="A20" s="357">
        <v>8</v>
      </c>
      <c r="B20" s="358" t="s">
        <v>343</v>
      </c>
      <c r="C20" s="358" t="s">
        <v>344</v>
      </c>
      <c r="D20" s="358" t="s">
        <v>58</v>
      </c>
      <c r="E20" s="358" t="s">
        <v>684</v>
      </c>
      <c r="F20" s="359">
        <v>35000</v>
      </c>
    </row>
    <row r="21" spans="1:7" ht="80.45" customHeight="1" thickTop="1" thickBot="1" x14ac:dyDescent="0.25">
      <c r="A21" s="357">
        <v>9</v>
      </c>
      <c r="B21" s="358" t="s">
        <v>343</v>
      </c>
      <c r="C21" s="358" t="s">
        <v>344</v>
      </c>
      <c r="D21" s="358" t="s">
        <v>58</v>
      </c>
      <c r="E21" s="358" t="s">
        <v>686</v>
      </c>
      <c r="F21" s="359">
        <v>19500</v>
      </c>
    </row>
    <row r="22" spans="1:7" ht="80.45" customHeight="1" thickTop="1" thickBot="1" x14ac:dyDescent="0.25">
      <c r="A22" s="357">
        <v>10</v>
      </c>
      <c r="B22" s="358" t="s">
        <v>343</v>
      </c>
      <c r="C22" s="358" t="s">
        <v>344</v>
      </c>
      <c r="D22" s="358" t="s">
        <v>58</v>
      </c>
      <c r="E22" s="361" t="s">
        <v>685</v>
      </c>
      <c r="F22" s="360">
        <v>40000</v>
      </c>
    </row>
    <row r="23" spans="1:7" ht="17.25" thickTop="1" thickBot="1" x14ac:dyDescent="0.25">
      <c r="A23" s="364" t="s">
        <v>431</v>
      </c>
      <c r="B23" s="364" t="s">
        <v>431</v>
      </c>
      <c r="C23" s="364" t="s">
        <v>431</v>
      </c>
      <c r="D23" s="364" t="s">
        <v>431</v>
      </c>
      <c r="E23" s="365" t="s">
        <v>441</v>
      </c>
      <c r="F23" s="366">
        <f>SUM(F13:F22)</f>
        <v>630900</v>
      </c>
      <c r="G23" s="530" t="b">
        <f>F23='d3'!J153+'d3'!J154+'d3'!J155+'d3'!J156</f>
        <v>1</v>
      </c>
    </row>
    <row r="24" spans="1:7" ht="16.5" thickTop="1" x14ac:dyDescent="0.2">
      <c r="A24" s="90"/>
      <c r="B24" s="90"/>
      <c r="C24" s="90"/>
      <c r="D24" s="90"/>
      <c r="E24" s="90"/>
      <c r="F24" s="91"/>
    </row>
    <row r="25" spans="1:7" s="136" customFormat="1" ht="15.75" x14ac:dyDescent="0.25">
      <c r="A25" s="113"/>
      <c r="B25" s="118" t="s">
        <v>677</v>
      </c>
      <c r="C25" s="118"/>
      <c r="D25" s="113"/>
      <c r="E25" s="113"/>
      <c r="F25" s="118" t="s">
        <v>678</v>
      </c>
      <c r="G25" s="370"/>
    </row>
    <row r="26" spans="1:7" ht="27" hidden="1" customHeight="1" x14ac:dyDescent="0.2">
      <c r="A26" s="730" t="s">
        <v>648</v>
      </c>
      <c r="B26" s="731"/>
      <c r="C26" s="731"/>
      <c r="D26" s="731"/>
      <c r="E26" s="113"/>
      <c r="F26" s="115" t="s">
        <v>649</v>
      </c>
    </row>
    <row r="27" spans="1:7" ht="15.75" x14ac:dyDescent="0.2">
      <c r="A27" s="216"/>
      <c r="B27" s="216"/>
      <c r="C27" s="216"/>
      <c r="D27" s="216"/>
      <c r="E27" s="113"/>
      <c r="F27" s="114"/>
    </row>
    <row r="28" spans="1:7" s="211" customFormat="1" ht="15.75" x14ac:dyDescent="0.2">
      <c r="A28" s="216"/>
      <c r="B28" s="216"/>
      <c r="C28" s="216"/>
      <c r="D28" s="216"/>
      <c r="E28" s="113"/>
      <c r="F28" s="114"/>
      <c r="G28" s="370"/>
    </row>
    <row r="29" spans="1:7" s="211" customFormat="1" ht="15.75" x14ac:dyDescent="0.25">
      <c r="A29" s="216"/>
      <c r="B29" s="118" t="s">
        <v>648</v>
      </c>
      <c r="C29" s="229"/>
      <c r="D29" s="216"/>
      <c r="E29" s="113"/>
      <c r="F29" s="229" t="s">
        <v>649</v>
      </c>
      <c r="G29" s="370"/>
    </row>
    <row r="30" spans="1:7" ht="15.75" x14ac:dyDescent="0.25">
      <c r="A30" s="733"/>
      <c r="B30" s="733"/>
      <c r="C30" s="733"/>
      <c r="D30" s="733"/>
      <c r="E30" s="88"/>
      <c r="F30" s="88"/>
    </row>
    <row r="31" spans="1:7" ht="15.75" x14ac:dyDescent="0.2">
      <c r="A31" s="732"/>
      <c r="B31" s="732"/>
      <c r="C31" s="732"/>
      <c r="D31" s="732"/>
      <c r="E31" s="732"/>
      <c r="F31" s="89"/>
    </row>
    <row r="88" spans="7:7" x14ac:dyDescent="0.2">
      <c r="G88" s="716"/>
    </row>
    <row r="89" spans="7:7" x14ac:dyDescent="0.2">
      <c r="G89" s="716"/>
    </row>
    <row r="149" spans="7:10" ht="46.5" x14ac:dyDescent="0.65">
      <c r="J149" s="103"/>
    </row>
    <row r="152" spans="7:10" ht="46.5" x14ac:dyDescent="0.65">
      <c r="G152" s="403"/>
      <c r="J152" s="103"/>
    </row>
    <row r="171" spans="11:11" ht="90" x14ac:dyDescent="1.1499999999999999">
      <c r="K171" s="126" t="b">
        <f>G171=H171+I171</f>
        <v>1</v>
      </c>
    </row>
  </sheetData>
  <mergeCells count="11">
    <mergeCell ref="A26:D26"/>
    <mergeCell ref="A31:E31"/>
    <mergeCell ref="G88:G89"/>
    <mergeCell ref="A30:D30"/>
    <mergeCell ref="F3:I3"/>
    <mergeCell ref="A4:F4"/>
    <mergeCell ref="A6:F6"/>
    <mergeCell ref="A7:F7"/>
    <mergeCell ref="A9:B9"/>
    <mergeCell ref="A10:B10"/>
    <mergeCell ref="A5:F5"/>
  </mergeCells>
  <pageMargins left="0.74803149606299213" right="0.74803149606299213" top="0.98425196850393704" bottom="0.98425196850393704" header="0.51181102362204722" footer="0.51181102362204722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9</vt:i4>
      </vt:variant>
      <vt:variant>
        <vt:lpstr>Іменовані діапазони</vt:lpstr>
      </vt:variant>
      <vt:variant>
        <vt:i4>12</vt:i4>
      </vt:variant>
    </vt:vector>
  </HeadingPairs>
  <TitlesOfParts>
    <vt:vector size="21" baseType="lpstr">
      <vt:lpstr>d1</vt:lpstr>
      <vt:lpstr>d2</vt:lpstr>
      <vt:lpstr>d3</vt:lpstr>
      <vt:lpstr>d4</vt:lpstr>
      <vt:lpstr>d5</vt:lpstr>
      <vt:lpstr>d6</vt:lpstr>
      <vt:lpstr>d7</vt:lpstr>
      <vt:lpstr>d8</vt:lpstr>
      <vt:lpstr>d9</vt:lpstr>
      <vt:lpstr>'d3'!Заголовки_для_друку</vt:lpstr>
      <vt:lpstr>'d6'!Заголовки_для_друку</vt:lpstr>
      <vt:lpstr>'d7'!Заголовки_для_друку</vt:lpstr>
      <vt:lpstr>'d1'!Область_друку</vt:lpstr>
      <vt:lpstr>'d2'!Область_друку</vt:lpstr>
      <vt:lpstr>'d3'!Область_друку</vt:lpstr>
      <vt:lpstr>'d4'!Область_друку</vt:lpstr>
      <vt:lpstr>'d5'!Область_друку</vt:lpstr>
      <vt:lpstr>'d6'!Область_друку</vt:lpstr>
      <vt:lpstr>'d7'!Область_друку</vt:lpstr>
      <vt:lpstr>'d8'!Область_друку</vt:lpstr>
      <vt:lpstr>'d9'!Область_друку</vt:lpstr>
    </vt:vector>
  </TitlesOfParts>
  <Company>Міське фінуправління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Власюк Олена</dc:creator>
  <cp:lastModifiedBy>Мовчан Інна Володмирівна</cp:lastModifiedBy>
  <cp:lastPrinted>2020-12-13T19:02:36Z</cp:lastPrinted>
  <dcterms:created xsi:type="dcterms:W3CDTF">2001-12-03T09:30:42Z</dcterms:created>
  <dcterms:modified xsi:type="dcterms:W3CDTF">2020-12-30T09:55:24Z</dcterms:modified>
</cp:coreProperties>
</file>