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1\Рішення бюджет від .04.2021 року №\"/>
    </mc:Choice>
  </mc:AlternateContent>
  <xr:revisionPtr revIDLastSave="0" documentId="13_ncr:1_{90868ADF-5104-47F1-A32B-874DAFFFA4D5}" xr6:coauthVersionLast="45" xr6:coauthVersionMax="45" xr10:uidLastSave="{00000000-0000-0000-0000-000000000000}"/>
  <bookViews>
    <workbookView xWindow="-120" yWindow="480" windowWidth="29040" windowHeight="15840" tabRatio="585" activeTab="10" xr2:uid="{00000000-000D-0000-FFFF-FFFF00000000}"/>
  </bookViews>
  <sheets>
    <sheet name="d1" sheetId="171" r:id="rId1"/>
    <sheet name="d2" sheetId="172" r:id="rId2"/>
    <sheet name="d3" sheetId="165" r:id="rId3"/>
    <sheet name="d4" sheetId="107" r:id="rId4"/>
    <sheet name="d5" sheetId="170" r:id="rId5"/>
    <sheet name="d6" sheetId="166" r:id="rId6"/>
    <sheet name="d7" sheetId="167" r:id="rId7"/>
    <sheet name="d8" sheetId="108" r:id="rId8"/>
    <sheet name="d9" sheetId="153" r:id="rId9"/>
    <sheet name="d3-п" sheetId="176" r:id="rId10"/>
    <sheet name="Р-п" sheetId="177" r:id="rId11"/>
  </sheets>
  <definedNames>
    <definedName name="_GoBack" localSheetId="5">'d6'!#REF!</definedName>
    <definedName name="_xlnm.Print_Titles" localSheetId="2">'d3'!$12:$15</definedName>
    <definedName name="_xlnm.Print_Titles" localSheetId="9">'d3-п'!$12:$15</definedName>
    <definedName name="_xlnm.Print_Titles" localSheetId="5">'d6'!$10:$11</definedName>
    <definedName name="_xlnm.Print_Titles" localSheetId="6">'d7'!$12:$14</definedName>
    <definedName name="_xlnm.Print_Titles" localSheetId="10">'Р-п'!$12:$15</definedName>
    <definedName name="_xlnm.Print_Area" localSheetId="0">'d1'!$A$1:$F$116</definedName>
    <definedName name="_xlnm.Print_Area" localSheetId="1">'d2'!$A$1:$F$46</definedName>
    <definedName name="_xlnm.Print_Area" localSheetId="2">'d3'!$A$1:$P$308</definedName>
    <definedName name="_xlnm.Print_Area" localSheetId="9">'d3-п'!$A$1:$P$308</definedName>
    <definedName name="_xlnm.Print_Area" localSheetId="3">'d4'!$B$1:$Q$24</definedName>
    <definedName name="_xlnm.Print_Area" localSheetId="4">'d5'!$A$1:$D$68</definedName>
    <definedName name="_xlnm.Print_Area" localSheetId="5">'d6'!$B$1:$K$251</definedName>
    <definedName name="_xlnm.Print_Area" localSheetId="6">'d7'!$A$1:$J$245</definedName>
    <definedName name="_xlnm.Print_Area" localSheetId="7">'d8'!$A$1:$D$36</definedName>
    <definedName name="_xlnm.Print_Area" localSheetId="8">'d9'!$A$1:$F$36</definedName>
    <definedName name="_xlnm.Print_Area" localSheetId="10">'Р-п'!$A$1:$P$308</definedName>
    <definedName name="С16" localSheetId="0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91029"/>
</workbook>
</file>

<file path=xl/calcChain.xml><?xml version="1.0" encoding="utf-8"?>
<calcChain xmlns="http://schemas.openxmlformats.org/spreadsheetml/2006/main">
  <c r="K210" i="165" l="1"/>
  <c r="J165" i="166"/>
  <c r="J77" i="166"/>
  <c r="K87" i="165"/>
  <c r="E88" i="165"/>
  <c r="O88" i="165"/>
  <c r="J88" i="165" s="1"/>
  <c r="J83" i="166"/>
  <c r="P88" i="165" l="1"/>
  <c r="J85" i="166"/>
  <c r="N301" i="177" l="1"/>
  <c r="M301" i="177"/>
  <c r="L301" i="177"/>
  <c r="K301" i="177"/>
  <c r="I301" i="177"/>
  <c r="H301" i="177"/>
  <c r="G301" i="177"/>
  <c r="F301" i="177"/>
  <c r="N298" i="177"/>
  <c r="M298" i="177"/>
  <c r="L298" i="177"/>
  <c r="K298" i="177"/>
  <c r="I298" i="177"/>
  <c r="H298" i="177"/>
  <c r="G298" i="177"/>
  <c r="F298" i="177"/>
  <c r="N296" i="177"/>
  <c r="M296" i="177"/>
  <c r="L296" i="177"/>
  <c r="K296" i="177"/>
  <c r="I296" i="177"/>
  <c r="H296" i="177"/>
  <c r="G296" i="177"/>
  <c r="F296" i="177"/>
  <c r="N294" i="177"/>
  <c r="M294" i="177"/>
  <c r="L294" i="177"/>
  <c r="K294" i="177"/>
  <c r="I294" i="177"/>
  <c r="H294" i="177"/>
  <c r="G294" i="177"/>
  <c r="F294" i="177"/>
  <c r="N293" i="177"/>
  <c r="M293" i="177"/>
  <c r="L293" i="177"/>
  <c r="K293" i="177"/>
  <c r="I293" i="177"/>
  <c r="G293" i="177"/>
  <c r="N289" i="177"/>
  <c r="M289" i="177"/>
  <c r="L289" i="177"/>
  <c r="K289" i="177"/>
  <c r="I289" i="177"/>
  <c r="H289" i="177"/>
  <c r="G289" i="177"/>
  <c r="F289" i="177"/>
  <c r="O287" i="177"/>
  <c r="N287" i="177"/>
  <c r="M287" i="177"/>
  <c r="L287" i="177"/>
  <c r="K287" i="177"/>
  <c r="I287" i="177"/>
  <c r="H287" i="177"/>
  <c r="G287" i="177"/>
  <c r="F287" i="177"/>
  <c r="N284" i="177"/>
  <c r="M284" i="177"/>
  <c r="L284" i="177"/>
  <c r="K284" i="177"/>
  <c r="I284" i="177"/>
  <c r="G284" i="177"/>
  <c r="F284" i="177"/>
  <c r="N280" i="177"/>
  <c r="M280" i="177"/>
  <c r="K280" i="177"/>
  <c r="I280" i="177"/>
  <c r="H280" i="177"/>
  <c r="G280" i="177"/>
  <c r="F280" i="177"/>
  <c r="E280" i="177"/>
  <c r="N279" i="177"/>
  <c r="M279" i="177"/>
  <c r="K279" i="177"/>
  <c r="I279" i="177"/>
  <c r="H279" i="177"/>
  <c r="G279" i="177"/>
  <c r="F279" i="177"/>
  <c r="N278" i="177"/>
  <c r="M278" i="177"/>
  <c r="K278" i="177"/>
  <c r="I278" i="177"/>
  <c r="H278" i="177"/>
  <c r="G278" i="177"/>
  <c r="F278" i="177"/>
  <c r="N277" i="177"/>
  <c r="M277" i="177"/>
  <c r="K277" i="177"/>
  <c r="I277" i="177"/>
  <c r="H277" i="177"/>
  <c r="G277" i="177"/>
  <c r="F277" i="177"/>
  <c r="N273" i="177"/>
  <c r="M273" i="177"/>
  <c r="L273" i="177"/>
  <c r="K273" i="177"/>
  <c r="I273" i="177"/>
  <c r="H273" i="177"/>
  <c r="G273" i="177"/>
  <c r="F273" i="177"/>
  <c r="N272" i="177"/>
  <c r="M272" i="177"/>
  <c r="L272" i="177"/>
  <c r="I272" i="177"/>
  <c r="G272" i="177"/>
  <c r="N268" i="177"/>
  <c r="M268" i="177"/>
  <c r="L268" i="177"/>
  <c r="K268" i="177"/>
  <c r="I268" i="177"/>
  <c r="H268" i="177"/>
  <c r="G268" i="177"/>
  <c r="F268" i="177"/>
  <c r="N265" i="177"/>
  <c r="M265" i="177"/>
  <c r="L265" i="177"/>
  <c r="I265" i="177"/>
  <c r="H265" i="177"/>
  <c r="G265" i="177"/>
  <c r="N263" i="177"/>
  <c r="M263" i="177"/>
  <c r="L263" i="177"/>
  <c r="K263" i="177"/>
  <c r="I263" i="177"/>
  <c r="H263" i="177"/>
  <c r="G263" i="177"/>
  <c r="F263" i="177"/>
  <c r="N262" i="177"/>
  <c r="M262" i="177"/>
  <c r="L262" i="177"/>
  <c r="K262" i="177"/>
  <c r="I262" i="177"/>
  <c r="H262" i="177"/>
  <c r="G262" i="177"/>
  <c r="N257" i="177"/>
  <c r="M257" i="177"/>
  <c r="L257" i="177"/>
  <c r="K257" i="177"/>
  <c r="I257" i="177"/>
  <c r="H257" i="177"/>
  <c r="G257" i="177"/>
  <c r="F257" i="177"/>
  <c r="N253" i="177"/>
  <c r="M253" i="177"/>
  <c r="L253" i="177"/>
  <c r="K253" i="177"/>
  <c r="I253" i="177"/>
  <c r="H253" i="177"/>
  <c r="G253" i="177"/>
  <c r="N252" i="177"/>
  <c r="M252" i="177"/>
  <c r="L252" i="177"/>
  <c r="K252" i="177"/>
  <c r="I252" i="177"/>
  <c r="H252" i="177"/>
  <c r="G252" i="177"/>
  <c r="F252" i="177"/>
  <c r="N251" i="177"/>
  <c r="M251" i="177"/>
  <c r="L251" i="177"/>
  <c r="I251" i="177"/>
  <c r="G251" i="177"/>
  <c r="N247" i="177"/>
  <c r="M247" i="177"/>
  <c r="L247" i="177"/>
  <c r="K247" i="177"/>
  <c r="I247" i="177"/>
  <c r="H247" i="177"/>
  <c r="G247" i="177"/>
  <c r="F247" i="177"/>
  <c r="N244" i="177"/>
  <c r="M244" i="177"/>
  <c r="L244" i="177"/>
  <c r="K244" i="177"/>
  <c r="I244" i="177"/>
  <c r="H244" i="177"/>
  <c r="G244" i="177"/>
  <c r="F244" i="177"/>
  <c r="N243" i="177"/>
  <c r="M243" i="177"/>
  <c r="L243" i="177"/>
  <c r="K243" i="177"/>
  <c r="I243" i="177"/>
  <c r="G243" i="177"/>
  <c r="N239" i="177"/>
  <c r="M239" i="177"/>
  <c r="L239" i="177"/>
  <c r="I239" i="177"/>
  <c r="H239" i="177"/>
  <c r="G239" i="177"/>
  <c r="F239" i="177"/>
  <c r="N238" i="177"/>
  <c r="M238" i="177"/>
  <c r="L238" i="177"/>
  <c r="I238" i="177"/>
  <c r="H238" i="177"/>
  <c r="G238" i="177"/>
  <c r="F238" i="177"/>
  <c r="N237" i="177"/>
  <c r="M237" i="177"/>
  <c r="L237" i="177"/>
  <c r="K237" i="177"/>
  <c r="I237" i="177"/>
  <c r="H237" i="177"/>
  <c r="G237" i="177"/>
  <c r="F237" i="177"/>
  <c r="N236" i="177"/>
  <c r="M236" i="177"/>
  <c r="L236" i="177"/>
  <c r="K236" i="177"/>
  <c r="I236" i="177"/>
  <c r="H236" i="177"/>
  <c r="G236" i="177"/>
  <c r="F236" i="177"/>
  <c r="N235" i="177"/>
  <c r="M235" i="177"/>
  <c r="L235" i="177"/>
  <c r="I235" i="177"/>
  <c r="H235" i="177"/>
  <c r="G235" i="177"/>
  <c r="F235" i="177"/>
  <c r="N233" i="177"/>
  <c r="M233" i="177"/>
  <c r="L233" i="177"/>
  <c r="K233" i="177"/>
  <c r="R233" i="177" s="1"/>
  <c r="I233" i="177"/>
  <c r="H233" i="177"/>
  <c r="G233" i="177"/>
  <c r="F233" i="177"/>
  <c r="N230" i="177"/>
  <c r="M230" i="177"/>
  <c r="L230" i="177"/>
  <c r="I230" i="177"/>
  <c r="H230" i="177"/>
  <c r="G230" i="177"/>
  <c r="F230" i="177"/>
  <c r="N227" i="177"/>
  <c r="M227" i="177"/>
  <c r="L227" i="177"/>
  <c r="K227" i="177"/>
  <c r="I227" i="177"/>
  <c r="H227" i="177"/>
  <c r="G227" i="177"/>
  <c r="F227" i="177"/>
  <c r="N226" i="177"/>
  <c r="M226" i="177"/>
  <c r="L226" i="177"/>
  <c r="K226" i="177"/>
  <c r="I226" i="177"/>
  <c r="H226" i="177"/>
  <c r="G226" i="177"/>
  <c r="F226" i="177"/>
  <c r="N225" i="177"/>
  <c r="M225" i="177"/>
  <c r="L225" i="177"/>
  <c r="K225" i="177"/>
  <c r="I225" i="177"/>
  <c r="G225" i="177"/>
  <c r="N220" i="177"/>
  <c r="M220" i="177"/>
  <c r="L220" i="177"/>
  <c r="K220" i="177"/>
  <c r="I220" i="177"/>
  <c r="N219" i="177"/>
  <c r="M219" i="177"/>
  <c r="L219" i="177"/>
  <c r="K219" i="177"/>
  <c r="I219" i="177"/>
  <c r="H219" i="177"/>
  <c r="G219" i="177"/>
  <c r="F219" i="177"/>
  <c r="N215" i="177"/>
  <c r="M215" i="177"/>
  <c r="K215" i="177"/>
  <c r="I215" i="177"/>
  <c r="H215" i="177"/>
  <c r="G215" i="177"/>
  <c r="F215" i="177"/>
  <c r="E215" i="177"/>
  <c r="N213" i="177"/>
  <c r="M213" i="177"/>
  <c r="L213" i="177"/>
  <c r="I213" i="177"/>
  <c r="H213" i="177"/>
  <c r="G213" i="177"/>
  <c r="F213" i="177"/>
  <c r="N212" i="177"/>
  <c r="M212" i="177"/>
  <c r="L212" i="177"/>
  <c r="K212" i="177"/>
  <c r="I212" i="177"/>
  <c r="H212" i="177"/>
  <c r="G212" i="177"/>
  <c r="F212" i="177"/>
  <c r="N210" i="177"/>
  <c r="M210" i="177"/>
  <c r="L210" i="177"/>
  <c r="K210" i="177"/>
  <c r="I210" i="177"/>
  <c r="H210" i="177"/>
  <c r="G210" i="177"/>
  <c r="N208" i="177"/>
  <c r="M208" i="177"/>
  <c r="L208" i="177"/>
  <c r="I208" i="177"/>
  <c r="H208" i="177"/>
  <c r="G208" i="177"/>
  <c r="F208" i="177"/>
  <c r="N205" i="177"/>
  <c r="M205" i="177"/>
  <c r="L205" i="177"/>
  <c r="I205" i="177"/>
  <c r="H205" i="177"/>
  <c r="G205" i="177"/>
  <c r="N204" i="177"/>
  <c r="M204" i="177"/>
  <c r="L204" i="177"/>
  <c r="K204" i="177"/>
  <c r="I204" i="177"/>
  <c r="H204" i="177"/>
  <c r="G204" i="177"/>
  <c r="N203" i="177"/>
  <c r="M203" i="177"/>
  <c r="L203" i="177"/>
  <c r="K203" i="177"/>
  <c r="I203" i="177"/>
  <c r="H203" i="177"/>
  <c r="G203" i="177"/>
  <c r="F203" i="177"/>
  <c r="N202" i="177"/>
  <c r="M202" i="177"/>
  <c r="L202" i="177"/>
  <c r="K202" i="177"/>
  <c r="I202" i="177"/>
  <c r="H202" i="177"/>
  <c r="G202" i="177"/>
  <c r="F202" i="177"/>
  <c r="N199" i="177"/>
  <c r="M199" i="177"/>
  <c r="L199" i="177"/>
  <c r="K199" i="177"/>
  <c r="I199" i="177"/>
  <c r="H199" i="177"/>
  <c r="G199" i="177"/>
  <c r="F199" i="177"/>
  <c r="N198" i="177"/>
  <c r="M198" i="177"/>
  <c r="L198" i="177"/>
  <c r="K198" i="177"/>
  <c r="I198" i="177"/>
  <c r="H198" i="177"/>
  <c r="G198" i="177"/>
  <c r="F198" i="177"/>
  <c r="N197" i="177"/>
  <c r="M197" i="177"/>
  <c r="L197" i="177"/>
  <c r="K197" i="177"/>
  <c r="R197" i="177" s="1"/>
  <c r="I197" i="177"/>
  <c r="G197" i="177"/>
  <c r="N192" i="177"/>
  <c r="M192" i="177"/>
  <c r="L192" i="177"/>
  <c r="K192" i="177"/>
  <c r="I192" i="177"/>
  <c r="H192" i="177"/>
  <c r="G192" i="177"/>
  <c r="F192" i="177"/>
  <c r="N190" i="177"/>
  <c r="M190" i="177"/>
  <c r="L190" i="177"/>
  <c r="K190" i="177"/>
  <c r="I190" i="177"/>
  <c r="H190" i="177"/>
  <c r="G190" i="177"/>
  <c r="F190" i="177"/>
  <c r="N189" i="177"/>
  <c r="M189" i="177"/>
  <c r="L189" i="177"/>
  <c r="K189" i="177"/>
  <c r="I189" i="177"/>
  <c r="H189" i="177"/>
  <c r="G189" i="177"/>
  <c r="F189" i="177"/>
  <c r="N186" i="177"/>
  <c r="M186" i="177"/>
  <c r="L186" i="177"/>
  <c r="K186" i="177"/>
  <c r="I186" i="177"/>
  <c r="H186" i="177"/>
  <c r="G186" i="177"/>
  <c r="F186" i="177"/>
  <c r="N185" i="177"/>
  <c r="M185" i="177"/>
  <c r="L185" i="177"/>
  <c r="K185" i="177"/>
  <c r="I185" i="177"/>
  <c r="H185" i="177"/>
  <c r="G185" i="177"/>
  <c r="F185" i="177"/>
  <c r="N184" i="177"/>
  <c r="M184" i="177"/>
  <c r="L184" i="177"/>
  <c r="I184" i="177"/>
  <c r="H184" i="177"/>
  <c r="G184" i="177"/>
  <c r="F184" i="177"/>
  <c r="N183" i="177"/>
  <c r="M183" i="177"/>
  <c r="L183" i="177"/>
  <c r="K183" i="177"/>
  <c r="I183" i="177"/>
  <c r="H183" i="177"/>
  <c r="G183" i="177"/>
  <c r="F183" i="177"/>
  <c r="N182" i="177"/>
  <c r="M182" i="177"/>
  <c r="L182" i="177"/>
  <c r="K182" i="177"/>
  <c r="I182" i="177"/>
  <c r="H182" i="177"/>
  <c r="G182" i="177"/>
  <c r="N179" i="177"/>
  <c r="M179" i="177"/>
  <c r="L179" i="177"/>
  <c r="K179" i="177"/>
  <c r="I179" i="177"/>
  <c r="H179" i="177"/>
  <c r="G179" i="177"/>
  <c r="F179" i="177"/>
  <c r="N178" i="177"/>
  <c r="M178" i="177"/>
  <c r="L178" i="177"/>
  <c r="I178" i="177"/>
  <c r="G178" i="177"/>
  <c r="N174" i="177"/>
  <c r="M174" i="177"/>
  <c r="L174" i="177"/>
  <c r="I174" i="177"/>
  <c r="H174" i="177"/>
  <c r="G174" i="177"/>
  <c r="F174" i="177"/>
  <c r="N171" i="177"/>
  <c r="M171" i="177"/>
  <c r="L171" i="177"/>
  <c r="K171" i="177"/>
  <c r="I171" i="177"/>
  <c r="H171" i="177"/>
  <c r="G171" i="177"/>
  <c r="N168" i="177"/>
  <c r="M168" i="177"/>
  <c r="L168" i="177"/>
  <c r="I168" i="177"/>
  <c r="H168" i="177"/>
  <c r="G168" i="177"/>
  <c r="N167" i="177"/>
  <c r="M167" i="177"/>
  <c r="L167" i="177"/>
  <c r="K167" i="177"/>
  <c r="I167" i="177"/>
  <c r="H167" i="177"/>
  <c r="G167" i="177"/>
  <c r="N166" i="177"/>
  <c r="M166" i="177"/>
  <c r="L166" i="177"/>
  <c r="K166" i="177"/>
  <c r="I166" i="177"/>
  <c r="H166" i="177"/>
  <c r="G166" i="177"/>
  <c r="N164" i="177"/>
  <c r="M164" i="177"/>
  <c r="L164" i="177"/>
  <c r="I164" i="177"/>
  <c r="H164" i="177"/>
  <c r="G164" i="177"/>
  <c r="F164" i="177"/>
  <c r="M163" i="177"/>
  <c r="I163" i="177"/>
  <c r="G163" i="177"/>
  <c r="N161" i="177"/>
  <c r="M161" i="177"/>
  <c r="L161" i="177"/>
  <c r="K161" i="177"/>
  <c r="I161" i="177"/>
  <c r="H161" i="177"/>
  <c r="G161" i="177"/>
  <c r="N159" i="177"/>
  <c r="M159" i="177"/>
  <c r="L159" i="177"/>
  <c r="K159" i="177"/>
  <c r="I159" i="177"/>
  <c r="H159" i="177"/>
  <c r="G159" i="177"/>
  <c r="N158" i="177"/>
  <c r="M158" i="177"/>
  <c r="L158" i="177"/>
  <c r="K158" i="177"/>
  <c r="I158" i="177"/>
  <c r="H158" i="177"/>
  <c r="G158" i="177"/>
  <c r="N155" i="177"/>
  <c r="M155" i="177"/>
  <c r="L155" i="177"/>
  <c r="K155" i="177"/>
  <c r="I155" i="177"/>
  <c r="G155" i="177"/>
  <c r="M154" i="177"/>
  <c r="I154" i="177"/>
  <c r="G154" i="177"/>
  <c r="N152" i="177"/>
  <c r="M152" i="177"/>
  <c r="L152" i="177"/>
  <c r="K152" i="177"/>
  <c r="I152" i="177"/>
  <c r="G152" i="177"/>
  <c r="N147" i="177"/>
  <c r="M147" i="177"/>
  <c r="L147" i="177"/>
  <c r="K147" i="177"/>
  <c r="I147" i="177"/>
  <c r="H147" i="177"/>
  <c r="G147" i="177"/>
  <c r="F147" i="177"/>
  <c r="N144" i="177"/>
  <c r="M144" i="177"/>
  <c r="L144" i="177"/>
  <c r="K144" i="177"/>
  <c r="I144" i="177"/>
  <c r="H144" i="177"/>
  <c r="G144" i="177"/>
  <c r="F144" i="177"/>
  <c r="N141" i="177"/>
  <c r="M141" i="177"/>
  <c r="L141" i="177"/>
  <c r="K141" i="177"/>
  <c r="I141" i="177"/>
  <c r="H141" i="177"/>
  <c r="G141" i="177"/>
  <c r="N140" i="177"/>
  <c r="M140" i="177"/>
  <c r="K140" i="177"/>
  <c r="I140" i="177"/>
  <c r="G140" i="177"/>
  <c r="M138" i="177"/>
  <c r="I138" i="177"/>
  <c r="M137" i="177"/>
  <c r="I137" i="177"/>
  <c r="G137" i="177"/>
  <c r="M136" i="177"/>
  <c r="I136" i="177"/>
  <c r="G136" i="177"/>
  <c r="N135" i="177"/>
  <c r="M135" i="177"/>
  <c r="L135" i="177"/>
  <c r="K135" i="177"/>
  <c r="I135" i="177"/>
  <c r="H135" i="177"/>
  <c r="G135" i="177"/>
  <c r="M133" i="177"/>
  <c r="K133" i="177"/>
  <c r="I133" i="177"/>
  <c r="N128" i="177"/>
  <c r="M128" i="177"/>
  <c r="L128" i="177"/>
  <c r="K128" i="177"/>
  <c r="I128" i="177"/>
  <c r="H128" i="177"/>
  <c r="G128" i="177"/>
  <c r="F128" i="177"/>
  <c r="N125" i="177"/>
  <c r="M125" i="177"/>
  <c r="L125" i="177"/>
  <c r="I125" i="177"/>
  <c r="H125" i="177"/>
  <c r="G125" i="177"/>
  <c r="F125" i="177"/>
  <c r="N121" i="177"/>
  <c r="M121" i="177"/>
  <c r="L121" i="177"/>
  <c r="K121" i="177"/>
  <c r="I121" i="177"/>
  <c r="H121" i="177"/>
  <c r="G121" i="177"/>
  <c r="F121" i="177"/>
  <c r="N118" i="177"/>
  <c r="M118" i="177"/>
  <c r="L118" i="177"/>
  <c r="K118" i="177"/>
  <c r="I118" i="177"/>
  <c r="H118" i="177"/>
  <c r="G118" i="177"/>
  <c r="M117" i="177"/>
  <c r="I117" i="177"/>
  <c r="N115" i="177"/>
  <c r="M115" i="177"/>
  <c r="L115" i="177"/>
  <c r="K115" i="177"/>
  <c r="I115" i="177"/>
  <c r="H115" i="177"/>
  <c r="G115" i="177"/>
  <c r="F115" i="177"/>
  <c r="N113" i="177"/>
  <c r="M113" i="177"/>
  <c r="L113" i="177"/>
  <c r="K113" i="177"/>
  <c r="I113" i="177"/>
  <c r="H113" i="177"/>
  <c r="G113" i="177"/>
  <c r="N111" i="177"/>
  <c r="M111" i="177"/>
  <c r="L111" i="177"/>
  <c r="K111" i="177"/>
  <c r="I111" i="177"/>
  <c r="H111" i="177"/>
  <c r="G111" i="177"/>
  <c r="F111" i="177"/>
  <c r="N110" i="177"/>
  <c r="M110" i="177"/>
  <c r="L110" i="177"/>
  <c r="K110" i="177"/>
  <c r="I110" i="177"/>
  <c r="H110" i="177"/>
  <c r="G110" i="177"/>
  <c r="F110" i="177"/>
  <c r="N108" i="177"/>
  <c r="M108" i="177"/>
  <c r="L108" i="177"/>
  <c r="K108" i="177"/>
  <c r="I108" i="177"/>
  <c r="H108" i="177"/>
  <c r="G108" i="177"/>
  <c r="N107" i="177"/>
  <c r="M107" i="177"/>
  <c r="L107" i="177"/>
  <c r="K107" i="177"/>
  <c r="I107" i="177"/>
  <c r="M106" i="177"/>
  <c r="I106" i="177"/>
  <c r="G106" i="177"/>
  <c r="N104" i="177"/>
  <c r="M104" i="177"/>
  <c r="L104" i="177"/>
  <c r="K104" i="177"/>
  <c r="I104" i="177"/>
  <c r="H104" i="177"/>
  <c r="G104" i="177"/>
  <c r="F104" i="177"/>
  <c r="N103" i="177"/>
  <c r="M103" i="177"/>
  <c r="L103" i="177"/>
  <c r="K103" i="177"/>
  <c r="I103" i="177"/>
  <c r="H103" i="177"/>
  <c r="G103" i="177"/>
  <c r="F103" i="177"/>
  <c r="N102" i="177"/>
  <c r="M102" i="177"/>
  <c r="L102" i="177"/>
  <c r="K102" i="177"/>
  <c r="I102" i="177"/>
  <c r="H102" i="177"/>
  <c r="G102" i="177"/>
  <c r="F102" i="177"/>
  <c r="N101" i="177"/>
  <c r="M101" i="177"/>
  <c r="L101" i="177"/>
  <c r="K101" i="177"/>
  <c r="I101" i="177"/>
  <c r="H101" i="177"/>
  <c r="G101" i="177"/>
  <c r="N100" i="177"/>
  <c r="M100" i="177"/>
  <c r="L100" i="177"/>
  <c r="K100" i="177"/>
  <c r="I100" i="177"/>
  <c r="H100" i="177"/>
  <c r="G100" i="177"/>
  <c r="F100" i="177"/>
  <c r="N99" i="177"/>
  <c r="M99" i="177"/>
  <c r="L99" i="177"/>
  <c r="K99" i="177"/>
  <c r="I99" i="177"/>
  <c r="H99" i="177"/>
  <c r="G99" i="177"/>
  <c r="F99" i="177"/>
  <c r="N98" i="177"/>
  <c r="M98" i="177"/>
  <c r="L98" i="177"/>
  <c r="K98" i="177"/>
  <c r="I98" i="177"/>
  <c r="H98" i="177"/>
  <c r="G98" i="177"/>
  <c r="F98" i="177"/>
  <c r="N97" i="177"/>
  <c r="M97" i="177"/>
  <c r="L97" i="177"/>
  <c r="K97" i="177"/>
  <c r="R97" i="177" s="1"/>
  <c r="I97" i="177"/>
  <c r="H97" i="177"/>
  <c r="G97" i="177"/>
  <c r="O94" i="177"/>
  <c r="N94" i="177"/>
  <c r="M94" i="177"/>
  <c r="L94" i="177"/>
  <c r="K94" i="177"/>
  <c r="I94" i="177"/>
  <c r="H94" i="177"/>
  <c r="G94" i="177"/>
  <c r="F94" i="177"/>
  <c r="N93" i="177"/>
  <c r="M93" i="177"/>
  <c r="L93" i="177"/>
  <c r="K93" i="177"/>
  <c r="I93" i="177"/>
  <c r="H93" i="177"/>
  <c r="G93" i="177"/>
  <c r="F93" i="177"/>
  <c r="N92" i="177"/>
  <c r="M92" i="177"/>
  <c r="L92" i="177"/>
  <c r="I92" i="177"/>
  <c r="G92" i="177"/>
  <c r="N87" i="177"/>
  <c r="M87" i="177"/>
  <c r="L87" i="177"/>
  <c r="K87" i="177"/>
  <c r="I87" i="177"/>
  <c r="H87" i="177"/>
  <c r="G87" i="177"/>
  <c r="F87" i="177"/>
  <c r="N84" i="177"/>
  <c r="M84" i="177"/>
  <c r="L84" i="177"/>
  <c r="K84" i="177"/>
  <c r="I84" i="177"/>
  <c r="H84" i="177"/>
  <c r="G84" i="177"/>
  <c r="N83" i="177"/>
  <c r="M83" i="177"/>
  <c r="L83" i="177"/>
  <c r="K83" i="177"/>
  <c r="I83" i="177"/>
  <c r="N81" i="177"/>
  <c r="M81" i="177"/>
  <c r="L81" i="177"/>
  <c r="K81" i="177"/>
  <c r="I81" i="177"/>
  <c r="H81" i="177"/>
  <c r="G81" i="177"/>
  <c r="F81" i="177"/>
  <c r="N79" i="177"/>
  <c r="M79" i="177"/>
  <c r="L79" i="177"/>
  <c r="K79" i="177"/>
  <c r="I79" i="177"/>
  <c r="H79" i="177"/>
  <c r="G79" i="177"/>
  <c r="N77" i="177"/>
  <c r="M77" i="177"/>
  <c r="L77" i="177"/>
  <c r="K77" i="177"/>
  <c r="I77" i="177"/>
  <c r="H77" i="177"/>
  <c r="G77" i="177"/>
  <c r="F77" i="177"/>
  <c r="N76" i="177"/>
  <c r="M76" i="177"/>
  <c r="L76" i="177"/>
  <c r="K76" i="177"/>
  <c r="I76" i="177"/>
  <c r="H76" i="177"/>
  <c r="G76" i="177"/>
  <c r="N75" i="177"/>
  <c r="M75" i="177"/>
  <c r="L75" i="177"/>
  <c r="K75" i="177"/>
  <c r="I75" i="177"/>
  <c r="H75" i="177"/>
  <c r="G75" i="177"/>
  <c r="O74" i="177"/>
  <c r="N74" i="177"/>
  <c r="M74" i="177"/>
  <c r="L74" i="177"/>
  <c r="K74" i="177"/>
  <c r="I74" i="177"/>
  <c r="H74" i="177"/>
  <c r="G74" i="177"/>
  <c r="N73" i="177"/>
  <c r="M73" i="177"/>
  <c r="L73" i="177"/>
  <c r="K73" i="177"/>
  <c r="I73" i="177"/>
  <c r="H73" i="177"/>
  <c r="G73" i="177"/>
  <c r="N71" i="177"/>
  <c r="M71" i="177"/>
  <c r="L71" i="177"/>
  <c r="K71" i="177"/>
  <c r="I71" i="177"/>
  <c r="N65" i="177"/>
  <c r="M65" i="177"/>
  <c r="L65" i="177"/>
  <c r="K65" i="177"/>
  <c r="I65" i="177"/>
  <c r="H65" i="177"/>
  <c r="N64" i="177"/>
  <c r="M64" i="177"/>
  <c r="L64" i="177"/>
  <c r="K64" i="177"/>
  <c r="R64" i="177" s="1"/>
  <c r="I64" i="177"/>
  <c r="H64" i="177"/>
  <c r="G64" i="177"/>
  <c r="N62" i="177"/>
  <c r="M62" i="177"/>
  <c r="L62" i="177"/>
  <c r="K62" i="177"/>
  <c r="I62" i="177"/>
  <c r="N61" i="177"/>
  <c r="M61" i="177"/>
  <c r="L61" i="177"/>
  <c r="K61" i="177"/>
  <c r="I61" i="177"/>
  <c r="H61" i="177"/>
  <c r="N60" i="177"/>
  <c r="M60" i="177"/>
  <c r="L60" i="177"/>
  <c r="K60" i="177"/>
  <c r="I60" i="177"/>
  <c r="N58" i="177"/>
  <c r="M58" i="177"/>
  <c r="L58" i="177"/>
  <c r="K58" i="177"/>
  <c r="I58" i="177"/>
  <c r="H58" i="177"/>
  <c r="G58" i="177"/>
  <c r="F58" i="177"/>
  <c r="M57" i="177"/>
  <c r="K57" i="177"/>
  <c r="I57" i="177"/>
  <c r="O55" i="177"/>
  <c r="N55" i="177"/>
  <c r="M55" i="177"/>
  <c r="L55" i="177"/>
  <c r="K55" i="177"/>
  <c r="I55" i="177"/>
  <c r="H55" i="177"/>
  <c r="G55" i="177"/>
  <c r="F55" i="177"/>
  <c r="M54" i="177"/>
  <c r="I54" i="177"/>
  <c r="M52" i="177"/>
  <c r="I52" i="177"/>
  <c r="N51" i="177"/>
  <c r="M51" i="177"/>
  <c r="L51" i="177"/>
  <c r="I51" i="177"/>
  <c r="H51" i="177"/>
  <c r="G51" i="177"/>
  <c r="F51" i="177"/>
  <c r="N48" i="177"/>
  <c r="M48" i="177"/>
  <c r="L48" i="177"/>
  <c r="K48" i="177"/>
  <c r="I48" i="177"/>
  <c r="H48" i="177"/>
  <c r="G48" i="177"/>
  <c r="F48" i="177"/>
  <c r="M46" i="177"/>
  <c r="I46" i="177"/>
  <c r="I45" i="177"/>
  <c r="I43" i="177"/>
  <c r="N39" i="177"/>
  <c r="M39" i="177"/>
  <c r="L39" i="177"/>
  <c r="I39" i="177"/>
  <c r="H39" i="177"/>
  <c r="G39" i="177"/>
  <c r="N38" i="177"/>
  <c r="M38" i="177"/>
  <c r="L38" i="177"/>
  <c r="K38" i="177"/>
  <c r="I38" i="177"/>
  <c r="H38" i="177"/>
  <c r="G38" i="177"/>
  <c r="F38" i="177"/>
  <c r="N37" i="177"/>
  <c r="M37" i="177"/>
  <c r="L37" i="177"/>
  <c r="K37" i="177"/>
  <c r="I37" i="177"/>
  <c r="H37" i="177"/>
  <c r="G37" i="177"/>
  <c r="F37" i="177"/>
  <c r="N34" i="177"/>
  <c r="M34" i="177"/>
  <c r="L34" i="177"/>
  <c r="K34" i="177"/>
  <c r="I34" i="177"/>
  <c r="H34" i="177"/>
  <c r="G34" i="177"/>
  <c r="F34" i="177"/>
  <c r="O31" i="177"/>
  <c r="N31" i="177"/>
  <c r="M31" i="177"/>
  <c r="L31" i="177"/>
  <c r="K31" i="177"/>
  <c r="I31" i="177"/>
  <c r="H31" i="177"/>
  <c r="G31" i="177"/>
  <c r="F31" i="177"/>
  <c r="O29" i="177"/>
  <c r="N29" i="177"/>
  <c r="M29" i="177"/>
  <c r="K29" i="177"/>
  <c r="I29" i="177"/>
  <c r="H29" i="177"/>
  <c r="G29" i="177"/>
  <c r="F29" i="177"/>
  <c r="N27" i="177"/>
  <c r="M27" i="177"/>
  <c r="L27" i="177"/>
  <c r="K27" i="177"/>
  <c r="I27" i="177"/>
  <c r="H27" i="177"/>
  <c r="G27" i="177"/>
  <c r="F27" i="177"/>
  <c r="N25" i="177"/>
  <c r="M25" i="177"/>
  <c r="L25" i="177"/>
  <c r="K25" i="177"/>
  <c r="I25" i="177"/>
  <c r="H25" i="177"/>
  <c r="G25" i="177"/>
  <c r="F25" i="177"/>
  <c r="N22" i="177"/>
  <c r="M22" i="177"/>
  <c r="L22" i="177"/>
  <c r="K22" i="177"/>
  <c r="I22" i="177"/>
  <c r="H22" i="177"/>
  <c r="G22" i="177"/>
  <c r="N21" i="177"/>
  <c r="M21" i="177"/>
  <c r="L21" i="177"/>
  <c r="K21" i="177"/>
  <c r="I21" i="177"/>
  <c r="H21" i="177"/>
  <c r="G21" i="177"/>
  <c r="F21" i="177"/>
  <c r="N20" i="177"/>
  <c r="M20" i="177"/>
  <c r="L20" i="177"/>
  <c r="K20" i="177"/>
  <c r="I20" i="177"/>
  <c r="H20" i="177"/>
  <c r="N19" i="177"/>
  <c r="M19" i="177"/>
  <c r="L19" i="177"/>
  <c r="I19" i="177"/>
  <c r="P304" i="177"/>
  <c r="O304" i="177"/>
  <c r="N304" i="177"/>
  <c r="M304" i="177"/>
  <c r="L304" i="177"/>
  <c r="K304" i="177"/>
  <c r="J304" i="177"/>
  <c r="H304" i="177"/>
  <c r="G304" i="177"/>
  <c r="F304" i="177"/>
  <c r="E304" i="177"/>
  <c r="Q304" i="177" s="1"/>
  <c r="Q284" i="177"/>
  <c r="R247" i="177"/>
  <c r="R243" i="177"/>
  <c r="R236" i="177"/>
  <c r="P221" i="177"/>
  <c r="O221" i="177"/>
  <c r="J221" i="177"/>
  <c r="H221" i="177"/>
  <c r="G221" i="177"/>
  <c r="F221" i="177"/>
  <c r="E221" i="177"/>
  <c r="R212" i="177"/>
  <c r="R190" i="177"/>
  <c r="R189" i="177"/>
  <c r="R183" i="177"/>
  <c r="R182" i="177"/>
  <c r="R144" i="177"/>
  <c r="R133" i="177"/>
  <c r="R121" i="177"/>
  <c r="R118" i="177"/>
  <c r="R107" i="177"/>
  <c r="O88" i="177"/>
  <c r="J88" i="177" s="1"/>
  <c r="E88" i="177"/>
  <c r="R87" i="177"/>
  <c r="O67" i="177"/>
  <c r="J67" i="177"/>
  <c r="J66" i="177" s="1"/>
  <c r="F67" i="177"/>
  <c r="E67" i="177" s="1"/>
  <c r="O66" i="177"/>
  <c r="N66" i="177"/>
  <c r="M66" i="177"/>
  <c r="L66" i="177"/>
  <c r="K66" i="177"/>
  <c r="I66" i="177"/>
  <c r="H66" i="177"/>
  <c r="G66" i="177"/>
  <c r="R65" i="177"/>
  <c r="R62" i="177"/>
  <c r="R60" i="177"/>
  <c r="R25" i="177"/>
  <c r="P304" i="176"/>
  <c r="O304" i="176"/>
  <c r="N304" i="176"/>
  <c r="M304" i="176"/>
  <c r="L304" i="176"/>
  <c r="K304" i="176"/>
  <c r="J304" i="176"/>
  <c r="J314" i="176" s="1"/>
  <c r="H304" i="176"/>
  <c r="G304" i="176"/>
  <c r="F304" i="176"/>
  <c r="O301" i="176"/>
  <c r="J301" i="176"/>
  <c r="E301" i="176"/>
  <c r="O300" i="176"/>
  <c r="N300" i="176"/>
  <c r="N299" i="176" s="1"/>
  <c r="M300" i="176"/>
  <c r="L300" i="176"/>
  <c r="K300" i="176"/>
  <c r="J300" i="176"/>
  <c r="J299" i="176" s="1"/>
  <c r="I300" i="176"/>
  <c r="H300" i="176"/>
  <c r="G300" i="176"/>
  <c r="F300" i="176"/>
  <c r="F299" i="176" s="1"/>
  <c r="E300" i="176"/>
  <c r="O299" i="176"/>
  <c r="M299" i="176"/>
  <c r="L299" i="176"/>
  <c r="K299" i="176"/>
  <c r="I299" i="176"/>
  <c r="H299" i="176"/>
  <c r="G299" i="176"/>
  <c r="E299" i="176"/>
  <c r="O298" i="176"/>
  <c r="J298" i="176"/>
  <c r="E298" i="176"/>
  <c r="O297" i="176"/>
  <c r="N297" i="176"/>
  <c r="M297" i="176"/>
  <c r="L297" i="176"/>
  <c r="K297" i="176"/>
  <c r="J297" i="176"/>
  <c r="I297" i="176"/>
  <c r="H297" i="176"/>
  <c r="G297" i="176"/>
  <c r="F297" i="176"/>
  <c r="E297" i="176"/>
  <c r="O296" i="176"/>
  <c r="J296" i="176"/>
  <c r="J295" i="176" s="1"/>
  <c r="E296" i="176"/>
  <c r="O295" i="176"/>
  <c r="N295" i="176"/>
  <c r="M295" i="176"/>
  <c r="L295" i="176"/>
  <c r="K295" i="176"/>
  <c r="I295" i="176"/>
  <c r="H295" i="176"/>
  <c r="G295" i="176"/>
  <c r="F295" i="176"/>
  <c r="E295" i="176"/>
  <c r="O294" i="176"/>
  <c r="J294" i="176"/>
  <c r="P294" i="176" s="1"/>
  <c r="E294" i="176"/>
  <c r="O293" i="176"/>
  <c r="J293" i="176"/>
  <c r="J292" i="176" s="1"/>
  <c r="H293" i="176"/>
  <c r="F293" i="176"/>
  <c r="E293" i="176" s="1"/>
  <c r="O292" i="176"/>
  <c r="O291" i="176" s="1"/>
  <c r="O290" i="176" s="1"/>
  <c r="N292" i="176"/>
  <c r="M292" i="176"/>
  <c r="L292" i="176"/>
  <c r="L291" i="176" s="1"/>
  <c r="K292" i="176"/>
  <c r="K291" i="176" s="1"/>
  <c r="K290" i="176" s="1"/>
  <c r="I292" i="176"/>
  <c r="H292" i="176"/>
  <c r="H291" i="176" s="1"/>
  <c r="H290" i="176" s="1"/>
  <c r="G292" i="176"/>
  <c r="G291" i="176" s="1"/>
  <c r="G290" i="176" s="1"/>
  <c r="F292" i="176"/>
  <c r="M291" i="176"/>
  <c r="M290" i="176" s="1"/>
  <c r="I291" i="176"/>
  <c r="I290" i="176" s="1"/>
  <c r="O289" i="176"/>
  <c r="J289" i="176"/>
  <c r="E289" i="176"/>
  <c r="P289" i="176" s="1"/>
  <c r="P288" i="176" s="1"/>
  <c r="P285" i="176" s="1"/>
  <c r="O288" i="176"/>
  <c r="N288" i="176"/>
  <c r="M288" i="176"/>
  <c r="M285" i="176" s="1"/>
  <c r="L288" i="176"/>
  <c r="K288" i="176"/>
  <c r="J288" i="176"/>
  <c r="I288" i="176"/>
  <c r="I285" i="176" s="1"/>
  <c r="H288" i="176"/>
  <c r="G288" i="176"/>
  <c r="F288" i="176"/>
  <c r="P287" i="176"/>
  <c r="J287" i="176"/>
  <c r="E287" i="176"/>
  <c r="P286" i="176"/>
  <c r="O286" i="176"/>
  <c r="N286" i="176"/>
  <c r="M286" i="176"/>
  <c r="L286" i="176"/>
  <c r="K286" i="176"/>
  <c r="J286" i="176"/>
  <c r="I286" i="176"/>
  <c r="H286" i="176"/>
  <c r="G286" i="176"/>
  <c r="F286" i="176"/>
  <c r="E286" i="176"/>
  <c r="O285" i="176"/>
  <c r="N285" i="176"/>
  <c r="L285" i="176"/>
  <c r="K285" i="176"/>
  <c r="J285" i="176"/>
  <c r="H285" i="176"/>
  <c r="H282" i="176" s="1"/>
  <c r="H281" i="176" s="1"/>
  <c r="G285" i="176"/>
  <c r="F285" i="176"/>
  <c r="Q284" i="176"/>
  <c r="O284" i="176"/>
  <c r="J284" i="176" s="1"/>
  <c r="H284" i="176"/>
  <c r="H283" i="176" s="1"/>
  <c r="E284" i="176"/>
  <c r="O283" i="176"/>
  <c r="N283" i="176"/>
  <c r="N282" i="176" s="1"/>
  <c r="N281" i="176" s="1"/>
  <c r="M283" i="176"/>
  <c r="M282" i="176" s="1"/>
  <c r="M281" i="176" s="1"/>
  <c r="L283" i="176"/>
  <c r="K283" i="176"/>
  <c r="J283" i="176"/>
  <c r="I283" i="176"/>
  <c r="I282" i="176" s="1"/>
  <c r="I281" i="176" s="1"/>
  <c r="G283" i="176"/>
  <c r="F283" i="176"/>
  <c r="F282" i="176" s="1"/>
  <c r="F281" i="176" s="1"/>
  <c r="E283" i="176"/>
  <c r="O282" i="176"/>
  <c r="L282" i="176"/>
  <c r="J282" i="176" s="1"/>
  <c r="J281" i="176" s="1"/>
  <c r="K282" i="176"/>
  <c r="R282" i="176" s="1"/>
  <c r="G282" i="176"/>
  <c r="O281" i="176"/>
  <c r="K281" i="176"/>
  <c r="G281" i="176"/>
  <c r="O280" i="176"/>
  <c r="L280" i="176"/>
  <c r="J280" i="176"/>
  <c r="O279" i="176"/>
  <c r="L279" i="176"/>
  <c r="J279" i="176" s="1"/>
  <c r="Q279" i="176" s="1"/>
  <c r="E279" i="176"/>
  <c r="P279" i="176" s="1"/>
  <c r="P278" i="176"/>
  <c r="O278" i="176"/>
  <c r="L278" i="176"/>
  <c r="J278" i="176" s="1"/>
  <c r="Q278" i="176" s="1"/>
  <c r="E278" i="176"/>
  <c r="E276" i="176" s="1"/>
  <c r="E275" i="176" s="1"/>
  <c r="E274" i="176" s="1"/>
  <c r="O277" i="176"/>
  <c r="L277" i="176"/>
  <c r="E277" i="176"/>
  <c r="O276" i="176"/>
  <c r="N276" i="176"/>
  <c r="M276" i="176"/>
  <c r="K276" i="176"/>
  <c r="I276" i="176"/>
  <c r="H276" i="176"/>
  <c r="G276" i="176"/>
  <c r="F276" i="176"/>
  <c r="O275" i="176"/>
  <c r="N275" i="176"/>
  <c r="M275" i="176"/>
  <c r="K275" i="176"/>
  <c r="I275" i="176"/>
  <c r="H275" i="176"/>
  <c r="G275" i="176"/>
  <c r="F275" i="176"/>
  <c r="O274" i="176"/>
  <c r="N274" i="176"/>
  <c r="M274" i="176"/>
  <c r="K274" i="176"/>
  <c r="I274" i="176"/>
  <c r="H274" i="176"/>
  <c r="G274" i="176"/>
  <c r="F274" i="176"/>
  <c r="O273" i="176"/>
  <c r="J273" i="176" s="1"/>
  <c r="P273" i="176" s="1"/>
  <c r="E273" i="176"/>
  <c r="O272" i="176"/>
  <c r="J272" i="176" s="1"/>
  <c r="J271" i="176" s="1"/>
  <c r="K272" i="176"/>
  <c r="R272" i="176" s="1"/>
  <c r="H272" i="176"/>
  <c r="H271" i="176" s="1"/>
  <c r="H270" i="176" s="1"/>
  <c r="H269" i="176" s="1"/>
  <c r="F272" i="176"/>
  <c r="E272" i="176" s="1"/>
  <c r="E271" i="176" s="1"/>
  <c r="O271" i="176"/>
  <c r="O270" i="176" s="1"/>
  <c r="O269" i="176" s="1"/>
  <c r="N271" i="176"/>
  <c r="N270" i="176" s="1"/>
  <c r="N269" i="176" s="1"/>
  <c r="M271" i="176"/>
  <c r="L271" i="176"/>
  <c r="K271" i="176"/>
  <c r="K270" i="176" s="1"/>
  <c r="I271" i="176"/>
  <c r="G271" i="176"/>
  <c r="G270" i="176" s="1"/>
  <c r="G269" i="176" s="1"/>
  <c r="F271" i="176"/>
  <c r="F270" i="176" s="1"/>
  <c r="F269" i="176" s="1"/>
  <c r="M270" i="176"/>
  <c r="I270" i="176"/>
  <c r="I269" i="176" s="1"/>
  <c r="E270" i="176"/>
  <c r="M269" i="176"/>
  <c r="E269" i="176"/>
  <c r="O268" i="176"/>
  <c r="J268" i="176" s="1"/>
  <c r="J267" i="176" s="1"/>
  <c r="J266" i="176" s="1"/>
  <c r="E268" i="176"/>
  <c r="P268" i="176" s="1"/>
  <c r="P267" i="176" s="1"/>
  <c r="P266" i="176" s="1"/>
  <c r="O267" i="176"/>
  <c r="N267" i="176"/>
  <c r="M267" i="176"/>
  <c r="L267" i="176"/>
  <c r="K267" i="176"/>
  <c r="I267" i="176"/>
  <c r="I266" i="176" s="1"/>
  <c r="I259" i="176" s="1"/>
  <c r="I258" i="176" s="1"/>
  <c r="H267" i="176"/>
  <c r="G267" i="176"/>
  <c r="F267" i="176"/>
  <c r="E267" i="176"/>
  <c r="E266" i="176" s="1"/>
  <c r="O266" i="176"/>
  <c r="N266" i="176"/>
  <c r="M266" i="176"/>
  <c r="M259" i="176" s="1"/>
  <c r="M258" i="176" s="1"/>
  <c r="L266" i="176"/>
  <c r="K266" i="176"/>
  <c r="H266" i="176"/>
  <c r="G266" i="176"/>
  <c r="F266" i="176"/>
  <c r="K265" i="176"/>
  <c r="F265" i="176"/>
  <c r="E265" i="176" s="1"/>
  <c r="N264" i="176"/>
  <c r="M264" i="176"/>
  <c r="L264" i="176"/>
  <c r="L261" i="176" s="1"/>
  <c r="L260" i="176" s="1"/>
  <c r="L259" i="176" s="1"/>
  <c r="I264" i="176"/>
  <c r="H264" i="176"/>
  <c r="G264" i="176"/>
  <c r="F264" i="176"/>
  <c r="O263" i="176"/>
  <c r="J263" i="176" s="1"/>
  <c r="P263" i="176" s="1"/>
  <c r="E263" i="176"/>
  <c r="P262" i="176"/>
  <c r="O262" i="176"/>
  <c r="J262" i="176" s="1"/>
  <c r="E262" i="176"/>
  <c r="N261" i="176"/>
  <c r="M261" i="176"/>
  <c r="I261" i="176"/>
  <c r="H261" i="176"/>
  <c r="H260" i="176" s="1"/>
  <c r="H259" i="176" s="1"/>
  <c r="H258" i="176" s="1"/>
  <c r="G261" i="176"/>
  <c r="F261" i="176"/>
  <c r="N260" i="176"/>
  <c r="M260" i="176"/>
  <c r="I260" i="176"/>
  <c r="G260" i="176"/>
  <c r="G259" i="176" s="1"/>
  <c r="G258" i="176" s="1"/>
  <c r="F260" i="176"/>
  <c r="N259" i="176"/>
  <c r="N258" i="176" s="1"/>
  <c r="F259" i="176"/>
  <c r="F258" i="176" s="1"/>
  <c r="O257" i="176"/>
  <c r="J257" i="176"/>
  <c r="E257" i="176"/>
  <c r="P257" i="176" s="1"/>
  <c r="P256" i="176" s="1"/>
  <c r="P255" i="176" s="1"/>
  <c r="P254" i="176" s="1"/>
  <c r="O256" i="176"/>
  <c r="N256" i="176"/>
  <c r="N255" i="176" s="1"/>
  <c r="N254" i="176" s="1"/>
  <c r="M256" i="176"/>
  <c r="L256" i="176"/>
  <c r="K256" i="176"/>
  <c r="J256" i="176"/>
  <c r="J255" i="176" s="1"/>
  <c r="J254" i="176" s="1"/>
  <c r="I256" i="176"/>
  <c r="H256" i="176"/>
  <c r="G256" i="176"/>
  <c r="F256" i="176"/>
  <c r="F255" i="176" s="1"/>
  <c r="F254" i="176" s="1"/>
  <c r="E256" i="176"/>
  <c r="O255" i="176"/>
  <c r="M255" i="176"/>
  <c r="L255" i="176"/>
  <c r="K255" i="176"/>
  <c r="I255" i="176"/>
  <c r="H255" i="176"/>
  <c r="G255" i="176"/>
  <c r="E255" i="176"/>
  <c r="O254" i="176"/>
  <c r="M254" i="176"/>
  <c r="L254" i="176"/>
  <c r="K254" i="176"/>
  <c r="I254" i="176"/>
  <c r="H254" i="176"/>
  <c r="G254" i="176"/>
  <c r="E254" i="176"/>
  <c r="O253" i="176"/>
  <c r="J253" i="176"/>
  <c r="F253" i="176"/>
  <c r="E253" i="176" s="1"/>
  <c r="P253" i="176" s="1"/>
  <c r="O252" i="176"/>
  <c r="J252" i="176" s="1"/>
  <c r="P252" i="176" s="1"/>
  <c r="E252" i="176"/>
  <c r="O251" i="176"/>
  <c r="J251" i="176" s="1"/>
  <c r="J250" i="176" s="1"/>
  <c r="K251" i="176"/>
  <c r="R251" i="176" s="1"/>
  <c r="H251" i="176"/>
  <c r="H250" i="176" s="1"/>
  <c r="H249" i="176" s="1"/>
  <c r="H248" i="176" s="1"/>
  <c r="F251" i="176"/>
  <c r="E251" i="176" s="1"/>
  <c r="E250" i="176" s="1"/>
  <c r="O250" i="176"/>
  <c r="O249" i="176" s="1"/>
  <c r="O248" i="176" s="1"/>
  <c r="N250" i="176"/>
  <c r="M250" i="176"/>
  <c r="L250" i="176"/>
  <c r="K250" i="176"/>
  <c r="K249" i="176" s="1"/>
  <c r="I250" i="176"/>
  <c r="G250" i="176"/>
  <c r="G249" i="176" s="1"/>
  <c r="G248" i="176" s="1"/>
  <c r="F250" i="176"/>
  <c r="M249" i="176"/>
  <c r="L249" i="176"/>
  <c r="I249" i="176"/>
  <c r="E249" i="176"/>
  <c r="M248" i="176"/>
  <c r="L248" i="176"/>
  <c r="I248" i="176"/>
  <c r="E248" i="176"/>
  <c r="R247" i="176"/>
  <c r="O247" i="176"/>
  <c r="J247" i="176"/>
  <c r="P247" i="176" s="1"/>
  <c r="P246" i="176" s="1"/>
  <c r="P245" i="176" s="1"/>
  <c r="E247" i="176"/>
  <c r="O246" i="176"/>
  <c r="N246" i="176"/>
  <c r="N245" i="176" s="1"/>
  <c r="N241" i="176" s="1"/>
  <c r="N240" i="176" s="1"/>
  <c r="M246" i="176"/>
  <c r="L246" i="176"/>
  <c r="K246" i="176"/>
  <c r="J246" i="176"/>
  <c r="J245" i="176" s="1"/>
  <c r="I246" i="176"/>
  <c r="H246" i="176"/>
  <c r="G246" i="176"/>
  <c r="F246" i="176"/>
  <c r="F245" i="176" s="1"/>
  <c r="F241" i="176" s="1"/>
  <c r="F240" i="176" s="1"/>
  <c r="E246" i="176"/>
  <c r="O245" i="176"/>
  <c r="M245" i="176"/>
  <c r="L245" i="176"/>
  <c r="K245" i="176"/>
  <c r="I245" i="176"/>
  <c r="I241" i="176" s="1"/>
  <c r="I240" i="176" s="1"/>
  <c r="H245" i="176"/>
  <c r="G245" i="176"/>
  <c r="E245" i="176"/>
  <c r="O244" i="176"/>
  <c r="J244" i="176"/>
  <c r="P244" i="176" s="1"/>
  <c r="E244" i="176"/>
  <c r="R243" i="176"/>
  <c r="O243" i="176"/>
  <c r="O242" i="176" s="1"/>
  <c r="J243" i="176"/>
  <c r="J242" i="176" s="1"/>
  <c r="H243" i="176"/>
  <c r="F243" i="176"/>
  <c r="E243" i="176"/>
  <c r="N242" i="176"/>
  <c r="M242" i="176"/>
  <c r="L242" i="176"/>
  <c r="L241" i="176" s="1"/>
  <c r="L240" i="176" s="1"/>
  <c r="K242" i="176"/>
  <c r="I242" i="176"/>
  <c r="H242" i="176"/>
  <c r="H241" i="176" s="1"/>
  <c r="H240" i="176" s="1"/>
  <c r="G242" i="176"/>
  <c r="F242" i="176"/>
  <c r="R241" i="176"/>
  <c r="O241" i="176"/>
  <c r="O240" i="176" s="1"/>
  <c r="M241" i="176"/>
  <c r="M240" i="176" s="1"/>
  <c r="K241" i="176"/>
  <c r="J241" i="176"/>
  <c r="J240" i="176" s="1"/>
  <c r="G241" i="176"/>
  <c r="G240" i="176" s="1"/>
  <c r="K240" i="176"/>
  <c r="K239" i="176"/>
  <c r="E239" i="176"/>
  <c r="K238" i="176"/>
  <c r="E238" i="176"/>
  <c r="O237" i="176"/>
  <c r="J237" i="176" s="1"/>
  <c r="E237" i="176"/>
  <c r="P237" i="176" s="1"/>
  <c r="R236" i="176"/>
  <c r="P236" i="176"/>
  <c r="O236" i="176"/>
  <c r="J236" i="176"/>
  <c r="E236" i="176"/>
  <c r="R235" i="176"/>
  <c r="O235" i="176"/>
  <c r="O234" i="176" s="1"/>
  <c r="K235" i="176"/>
  <c r="J235" i="176"/>
  <c r="J234" i="176" s="1"/>
  <c r="E235" i="176"/>
  <c r="P235" i="176" s="1"/>
  <c r="P234" i="176" s="1"/>
  <c r="N234" i="176"/>
  <c r="N232" i="176" s="1"/>
  <c r="N231" i="176" s="1"/>
  <c r="M234" i="176"/>
  <c r="L234" i="176"/>
  <c r="L232" i="176" s="1"/>
  <c r="L231" i="176" s="1"/>
  <c r="L223" i="176" s="1"/>
  <c r="K234" i="176"/>
  <c r="I234" i="176"/>
  <c r="H234" i="176"/>
  <c r="H232" i="176" s="1"/>
  <c r="H231" i="176" s="1"/>
  <c r="G234" i="176"/>
  <c r="F234" i="176"/>
  <c r="F232" i="176" s="1"/>
  <c r="F231" i="176" s="1"/>
  <c r="E234" i="176"/>
  <c r="R233" i="176"/>
  <c r="O233" i="176"/>
  <c r="E233" i="176"/>
  <c r="M232" i="176"/>
  <c r="K232" i="176"/>
  <c r="K231" i="176" s="1"/>
  <c r="I232" i="176"/>
  <c r="G232" i="176"/>
  <c r="E232" i="176"/>
  <c r="M231" i="176"/>
  <c r="I231" i="176"/>
  <c r="G231" i="176"/>
  <c r="E231" i="176"/>
  <c r="K230" i="176"/>
  <c r="O230" i="176" s="1"/>
  <c r="E230" i="176"/>
  <c r="N229" i="176"/>
  <c r="M229" i="176"/>
  <c r="M228" i="176" s="1"/>
  <c r="L229" i="176"/>
  <c r="K229" i="176"/>
  <c r="I229" i="176"/>
  <c r="H229" i="176"/>
  <c r="G229" i="176"/>
  <c r="F229" i="176"/>
  <c r="N228" i="176"/>
  <c r="L228" i="176"/>
  <c r="K228" i="176"/>
  <c r="I228" i="176"/>
  <c r="I223" i="176" s="1"/>
  <c r="I222" i="176" s="1"/>
  <c r="H228" i="176"/>
  <c r="G228" i="176"/>
  <c r="F228" i="176"/>
  <c r="O227" i="176"/>
  <c r="J227" i="176" s="1"/>
  <c r="E227" i="176"/>
  <c r="O226" i="176"/>
  <c r="J226" i="176" s="1"/>
  <c r="E226" i="176"/>
  <c r="O225" i="176"/>
  <c r="J225" i="176" s="1"/>
  <c r="J224" i="176" s="1"/>
  <c r="H225" i="176"/>
  <c r="H224" i="176" s="1"/>
  <c r="H223" i="176" s="1"/>
  <c r="H222" i="176" s="1"/>
  <c r="F225" i="176"/>
  <c r="E225" i="176"/>
  <c r="P225" i="176" s="1"/>
  <c r="O224" i="176"/>
  <c r="N224" i="176"/>
  <c r="N223" i="176" s="1"/>
  <c r="N222" i="176" s="1"/>
  <c r="M224" i="176"/>
  <c r="L224" i="176"/>
  <c r="K224" i="176"/>
  <c r="I224" i="176"/>
  <c r="G224" i="176"/>
  <c r="F224" i="176"/>
  <c r="F223" i="176" s="1"/>
  <c r="F222" i="176" s="1"/>
  <c r="M223" i="176"/>
  <c r="M222" i="176" s="1"/>
  <c r="O221" i="176"/>
  <c r="J221" i="176" s="1"/>
  <c r="H221" i="176"/>
  <c r="H218" i="176" s="1"/>
  <c r="H217" i="176" s="1"/>
  <c r="G221" i="176"/>
  <c r="F221" i="176"/>
  <c r="E221" i="176" s="1"/>
  <c r="O220" i="176"/>
  <c r="J220" i="176" s="1"/>
  <c r="H220" i="176"/>
  <c r="G220" i="176"/>
  <c r="F220" i="176"/>
  <c r="E220" i="176" s="1"/>
  <c r="E218" i="176" s="1"/>
  <c r="E217" i="176" s="1"/>
  <c r="O219" i="176"/>
  <c r="J219" i="176" s="1"/>
  <c r="J218" i="176" s="1"/>
  <c r="J217" i="176" s="1"/>
  <c r="E219" i="176"/>
  <c r="P219" i="176" s="1"/>
  <c r="N218" i="176"/>
  <c r="M218" i="176"/>
  <c r="L218" i="176"/>
  <c r="K218" i="176"/>
  <c r="I218" i="176"/>
  <c r="G218" i="176"/>
  <c r="F218" i="176"/>
  <c r="N217" i="176"/>
  <c r="M217" i="176"/>
  <c r="L217" i="176"/>
  <c r="K217" i="176"/>
  <c r="I217" i="176"/>
  <c r="G217" i="176"/>
  <c r="F217" i="176"/>
  <c r="O215" i="176"/>
  <c r="L215" i="176"/>
  <c r="J215" i="176" s="1"/>
  <c r="O214" i="176"/>
  <c r="O211" i="176" s="1"/>
  <c r="N214" i="176"/>
  <c r="M214" i="176"/>
  <c r="K214" i="176"/>
  <c r="K211" i="176" s="1"/>
  <c r="I214" i="176"/>
  <c r="H214" i="176"/>
  <c r="G214" i="176"/>
  <c r="G211" i="176" s="1"/>
  <c r="F214" i="176"/>
  <c r="E214" i="176"/>
  <c r="P213" i="176"/>
  <c r="O213" i="176"/>
  <c r="J213" i="176" s="1"/>
  <c r="K213" i="176"/>
  <c r="R213" i="176" s="1"/>
  <c r="E213" i="176"/>
  <c r="E211" i="176" s="1"/>
  <c r="R212" i="176"/>
  <c r="O212" i="176"/>
  <c r="J212" i="176"/>
  <c r="E212" i="176"/>
  <c r="N211" i="176"/>
  <c r="N206" i="176" s="1"/>
  <c r="M211" i="176"/>
  <c r="I211" i="176"/>
  <c r="H211" i="176"/>
  <c r="F211" i="176"/>
  <c r="F206" i="176" s="1"/>
  <c r="O210" i="176"/>
  <c r="K210" i="176"/>
  <c r="R210" i="176" s="1"/>
  <c r="F210" i="176"/>
  <c r="E210" i="176"/>
  <c r="N209" i="176"/>
  <c r="M209" i="176"/>
  <c r="M206" i="176" s="1"/>
  <c r="L209" i="176"/>
  <c r="I209" i="176"/>
  <c r="I206" i="176" s="1"/>
  <c r="H209" i="176"/>
  <c r="H206" i="176" s="1"/>
  <c r="G209" i="176"/>
  <c r="F209" i="176"/>
  <c r="E209" i="176"/>
  <c r="E206" i="176" s="1"/>
  <c r="K208" i="176"/>
  <c r="E208" i="176"/>
  <c r="N207" i="176"/>
  <c r="M207" i="176"/>
  <c r="L207" i="176"/>
  <c r="K207" i="176"/>
  <c r="I207" i="176"/>
  <c r="H207" i="176"/>
  <c r="G207" i="176"/>
  <c r="F207" i="176"/>
  <c r="E207" i="176"/>
  <c r="G206" i="176"/>
  <c r="O205" i="176"/>
  <c r="J205" i="176" s="1"/>
  <c r="K205" i="176"/>
  <c r="R205" i="176" s="1"/>
  <c r="F205" i="176"/>
  <c r="O204" i="176"/>
  <c r="J204" i="176"/>
  <c r="F204" i="176"/>
  <c r="E204" i="176" s="1"/>
  <c r="O203" i="176"/>
  <c r="J203" i="176" s="1"/>
  <c r="P203" i="176" s="1"/>
  <c r="E203" i="176"/>
  <c r="O202" i="176"/>
  <c r="J202" i="176" s="1"/>
  <c r="E202" i="176"/>
  <c r="O201" i="176"/>
  <c r="O200" i="176" s="1"/>
  <c r="N201" i="176"/>
  <c r="M201" i="176"/>
  <c r="L201" i="176"/>
  <c r="K201" i="176"/>
  <c r="K200" i="176" s="1"/>
  <c r="I201" i="176"/>
  <c r="H201" i="176"/>
  <c r="G201" i="176"/>
  <c r="G200" i="176" s="1"/>
  <c r="G195" i="176" s="1"/>
  <c r="G194" i="176" s="1"/>
  <c r="F201" i="176"/>
  <c r="E201" i="176"/>
  <c r="N200" i="176"/>
  <c r="M200" i="176"/>
  <c r="L200" i="176"/>
  <c r="I200" i="176"/>
  <c r="H200" i="176"/>
  <c r="O199" i="176"/>
  <c r="J199" i="176" s="1"/>
  <c r="P199" i="176" s="1"/>
  <c r="E199" i="176"/>
  <c r="O198" i="176"/>
  <c r="J198" i="176" s="1"/>
  <c r="P198" i="176" s="1"/>
  <c r="E198" i="176"/>
  <c r="R197" i="176"/>
  <c r="O197" i="176"/>
  <c r="J197" i="176" s="1"/>
  <c r="H197" i="176"/>
  <c r="F197" i="176"/>
  <c r="E197" i="176" s="1"/>
  <c r="E196" i="176" s="1"/>
  <c r="N196" i="176"/>
  <c r="M196" i="176"/>
  <c r="M195" i="176" s="1"/>
  <c r="M194" i="176" s="1"/>
  <c r="L196" i="176"/>
  <c r="K196" i="176"/>
  <c r="I196" i="176"/>
  <c r="I195" i="176" s="1"/>
  <c r="I194" i="176" s="1"/>
  <c r="H196" i="176"/>
  <c r="G196" i="176"/>
  <c r="H195" i="176"/>
  <c r="H194" i="176" s="1"/>
  <c r="P192" i="176"/>
  <c r="P191" i="176" s="1"/>
  <c r="O192" i="176"/>
  <c r="J192" i="176" s="1"/>
  <c r="J191" i="176" s="1"/>
  <c r="J188" i="176" s="1"/>
  <c r="J187" i="176" s="1"/>
  <c r="E192" i="176"/>
  <c r="O191" i="176"/>
  <c r="O188" i="176" s="1"/>
  <c r="O187" i="176" s="1"/>
  <c r="N191" i="176"/>
  <c r="M191" i="176"/>
  <c r="L191" i="176"/>
  <c r="L188" i="176" s="1"/>
  <c r="L187" i="176" s="1"/>
  <c r="K191" i="176"/>
  <c r="K188" i="176" s="1"/>
  <c r="K187" i="176" s="1"/>
  <c r="I191" i="176"/>
  <c r="H191" i="176"/>
  <c r="H188" i="176" s="1"/>
  <c r="H187" i="176" s="1"/>
  <c r="G191" i="176"/>
  <c r="G188" i="176" s="1"/>
  <c r="G187" i="176" s="1"/>
  <c r="F191" i="176"/>
  <c r="E191" i="176"/>
  <c r="R190" i="176"/>
  <c r="O190" i="176"/>
  <c r="J190" i="176" s="1"/>
  <c r="E190" i="176"/>
  <c r="R189" i="176"/>
  <c r="O189" i="176"/>
  <c r="J189" i="176"/>
  <c r="E189" i="176"/>
  <c r="P189" i="176" s="1"/>
  <c r="N188" i="176"/>
  <c r="M188" i="176"/>
  <c r="I188" i="176"/>
  <c r="F188" i="176"/>
  <c r="N187" i="176"/>
  <c r="M187" i="176"/>
  <c r="I187" i="176"/>
  <c r="F187" i="176"/>
  <c r="O186" i="176"/>
  <c r="J186" i="176"/>
  <c r="E186" i="176"/>
  <c r="O185" i="176"/>
  <c r="J185" i="176"/>
  <c r="P185" i="176" s="1"/>
  <c r="E185" i="176"/>
  <c r="O184" i="176"/>
  <c r="J184" i="176" s="1"/>
  <c r="P184" i="176" s="1"/>
  <c r="K184" i="176"/>
  <c r="R184" i="176" s="1"/>
  <c r="E184" i="176"/>
  <c r="R183" i="176"/>
  <c r="O183" i="176"/>
  <c r="J183" i="176" s="1"/>
  <c r="E183" i="176"/>
  <c r="R182" i="176"/>
  <c r="O182" i="176"/>
  <c r="J182" i="176"/>
  <c r="F182" i="176"/>
  <c r="N181" i="176"/>
  <c r="M181" i="176"/>
  <c r="L181" i="176"/>
  <c r="K181" i="176"/>
  <c r="J181" i="176"/>
  <c r="I181" i="176"/>
  <c r="H181" i="176"/>
  <c r="G181" i="176"/>
  <c r="N180" i="176"/>
  <c r="M180" i="176"/>
  <c r="L180" i="176"/>
  <c r="K180" i="176"/>
  <c r="J180" i="176"/>
  <c r="I180" i="176"/>
  <c r="H180" i="176"/>
  <c r="G180" i="176"/>
  <c r="O179" i="176"/>
  <c r="J179" i="176"/>
  <c r="P179" i="176" s="1"/>
  <c r="E179" i="176"/>
  <c r="O178" i="176"/>
  <c r="J178" i="176" s="1"/>
  <c r="K178" i="176"/>
  <c r="R178" i="176" s="1"/>
  <c r="H178" i="176"/>
  <c r="H177" i="176" s="1"/>
  <c r="F178" i="176"/>
  <c r="O177" i="176"/>
  <c r="N177" i="176"/>
  <c r="M177" i="176"/>
  <c r="L177" i="176"/>
  <c r="K177" i="176"/>
  <c r="J177" i="176"/>
  <c r="I177" i="176"/>
  <c r="G177" i="176"/>
  <c r="G176" i="176" s="1"/>
  <c r="M176" i="176"/>
  <c r="M175" i="176" s="1"/>
  <c r="L176" i="176"/>
  <c r="K176" i="176"/>
  <c r="R176" i="176" s="1"/>
  <c r="I176" i="176"/>
  <c r="H176" i="176"/>
  <c r="H175" i="176" s="1"/>
  <c r="L175" i="176"/>
  <c r="K175" i="176"/>
  <c r="I175" i="176"/>
  <c r="G175" i="176"/>
  <c r="K174" i="176"/>
  <c r="O174" i="176" s="1"/>
  <c r="E174" i="176"/>
  <c r="E173" i="176" s="1"/>
  <c r="E172" i="176" s="1"/>
  <c r="N173" i="176"/>
  <c r="M173" i="176"/>
  <c r="M172" i="176" s="1"/>
  <c r="L173" i="176"/>
  <c r="K173" i="176"/>
  <c r="I173" i="176"/>
  <c r="I172" i="176" s="1"/>
  <c r="H173" i="176"/>
  <c r="G173" i="176"/>
  <c r="F173" i="176"/>
  <c r="N172" i="176"/>
  <c r="L172" i="176"/>
  <c r="K172" i="176"/>
  <c r="H172" i="176"/>
  <c r="G172" i="176"/>
  <c r="F172" i="176"/>
  <c r="O171" i="176"/>
  <c r="J171" i="176" s="1"/>
  <c r="F171" i="176"/>
  <c r="E171" i="176" s="1"/>
  <c r="N170" i="176"/>
  <c r="N169" i="176" s="1"/>
  <c r="M170" i="176"/>
  <c r="L170" i="176"/>
  <c r="K170" i="176"/>
  <c r="J170" i="176"/>
  <c r="J169" i="176" s="1"/>
  <c r="I170" i="176"/>
  <c r="H170" i="176"/>
  <c r="G170" i="176"/>
  <c r="M169" i="176"/>
  <c r="L169" i="176"/>
  <c r="K169" i="176"/>
  <c r="I169" i="176"/>
  <c r="H169" i="176"/>
  <c r="G169" i="176"/>
  <c r="R168" i="176"/>
  <c r="O168" i="176"/>
  <c r="J168" i="176" s="1"/>
  <c r="K168" i="176"/>
  <c r="F168" i="176"/>
  <c r="E168" i="176"/>
  <c r="O167" i="176"/>
  <c r="J167" i="176" s="1"/>
  <c r="F167" i="176"/>
  <c r="O166" i="176"/>
  <c r="J166" i="176"/>
  <c r="F166" i="176"/>
  <c r="E166" i="176"/>
  <c r="P166" i="176" s="1"/>
  <c r="N165" i="176"/>
  <c r="M165" i="176"/>
  <c r="L165" i="176"/>
  <c r="K165" i="176"/>
  <c r="I165" i="176"/>
  <c r="H165" i="176"/>
  <c r="G165" i="176"/>
  <c r="K164" i="176"/>
  <c r="O164" i="176" s="1"/>
  <c r="J164" i="176" s="1"/>
  <c r="E164" i="176"/>
  <c r="E162" i="176" s="1"/>
  <c r="N163" i="176"/>
  <c r="N162" i="176" s="1"/>
  <c r="L163" i="176"/>
  <c r="K163" i="176"/>
  <c r="R163" i="176" s="1"/>
  <c r="H163" i="176"/>
  <c r="H162" i="176" s="1"/>
  <c r="F163" i="176"/>
  <c r="E163" i="176"/>
  <c r="M162" i="176"/>
  <c r="L162" i="176"/>
  <c r="K162" i="176"/>
  <c r="K156" i="176" s="1"/>
  <c r="K149" i="176" s="1"/>
  <c r="K148" i="176" s="1"/>
  <c r="I162" i="176"/>
  <c r="I156" i="176" s="1"/>
  <c r="G162" i="176"/>
  <c r="G156" i="176" s="1"/>
  <c r="G149" i="176" s="1"/>
  <c r="G148" i="176" s="1"/>
  <c r="F162" i="176"/>
  <c r="O161" i="176"/>
  <c r="F161" i="176"/>
  <c r="E161" i="176" s="1"/>
  <c r="N160" i="176"/>
  <c r="M160" i="176"/>
  <c r="M156" i="176" s="1"/>
  <c r="L160" i="176"/>
  <c r="L156" i="176" s="1"/>
  <c r="K160" i="176"/>
  <c r="I160" i="176"/>
  <c r="H160" i="176"/>
  <c r="G160" i="176"/>
  <c r="F160" i="176"/>
  <c r="O159" i="176"/>
  <c r="J159" i="176"/>
  <c r="F159" i="176"/>
  <c r="E159" i="176"/>
  <c r="P159" i="176" s="1"/>
  <c r="O158" i="176"/>
  <c r="J158" i="176" s="1"/>
  <c r="F158" i="176"/>
  <c r="E158" i="176" s="1"/>
  <c r="N157" i="176"/>
  <c r="N156" i="176" s="1"/>
  <c r="N149" i="176" s="1"/>
  <c r="N148" i="176" s="1"/>
  <c r="M157" i="176"/>
  <c r="L157" i="176"/>
  <c r="K157" i="176"/>
  <c r="J157" i="176"/>
  <c r="I157" i="176"/>
  <c r="H157" i="176"/>
  <c r="G157" i="176"/>
  <c r="F157" i="176"/>
  <c r="O155" i="176"/>
  <c r="J155" i="176"/>
  <c r="H155" i="176"/>
  <c r="F155" i="176"/>
  <c r="E155" i="176" s="1"/>
  <c r="R154" i="176"/>
  <c r="O154" i="176"/>
  <c r="O153" i="176" s="1"/>
  <c r="N154" i="176"/>
  <c r="L154" i="176"/>
  <c r="K154" i="176"/>
  <c r="H154" i="176"/>
  <c r="F154" i="176"/>
  <c r="E154" i="176" s="1"/>
  <c r="N153" i="176"/>
  <c r="N150" i="176" s="1"/>
  <c r="M153" i="176"/>
  <c r="K153" i="176"/>
  <c r="I153" i="176"/>
  <c r="H153" i="176"/>
  <c r="G153" i="176"/>
  <c r="F153" i="176"/>
  <c r="F150" i="176" s="1"/>
  <c r="O152" i="176"/>
  <c r="O151" i="176" s="1"/>
  <c r="O150" i="176" s="1"/>
  <c r="J152" i="176"/>
  <c r="H152" i="176"/>
  <c r="F152" i="176"/>
  <c r="E152" i="176" s="1"/>
  <c r="E151" i="176" s="1"/>
  <c r="N151" i="176"/>
  <c r="M151" i="176"/>
  <c r="L151" i="176"/>
  <c r="K151" i="176"/>
  <c r="I151" i="176"/>
  <c r="H151" i="176"/>
  <c r="G151" i="176"/>
  <c r="F151" i="176"/>
  <c r="M150" i="176"/>
  <c r="K150" i="176"/>
  <c r="I150" i="176"/>
  <c r="H150" i="176"/>
  <c r="G150" i="176"/>
  <c r="R149" i="176"/>
  <c r="O147" i="176"/>
  <c r="J147" i="176"/>
  <c r="P147" i="176" s="1"/>
  <c r="P146" i="176" s="1"/>
  <c r="P145" i="176" s="1"/>
  <c r="E147" i="176"/>
  <c r="O146" i="176"/>
  <c r="N146" i="176"/>
  <c r="N145" i="176" s="1"/>
  <c r="M146" i="176"/>
  <c r="L146" i="176"/>
  <c r="K146" i="176"/>
  <c r="J146" i="176"/>
  <c r="J145" i="176" s="1"/>
  <c r="I146" i="176"/>
  <c r="H146" i="176"/>
  <c r="G146" i="176"/>
  <c r="F146" i="176"/>
  <c r="F145" i="176" s="1"/>
  <c r="E146" i="176"/>
  <c r="O145" i="176"/>
  <c r="M145" i="176"/>
  <c r="L145" i="176"/>
  <c r="K145" i="176"/>
  <c r="I145" i="176"/>
  <c r="H145" i="176"/>
  <c r="G145" i="176"/>
  <c r="E145" i="176"/>
  <c r="R144" i="176"/>
  <c r="O144" i="176"/>
  <c r="J144" i="176" s="1"/>
  <c r="J143" i="176" s="1"/>
  <c r="J142" i="176" s="1"/>
  <c r="E144" i="176"/>
  <c r="N143" i="176"/>
  <c r="M143" i="176"/>
  <c r="L143" i="176"/>
  <c r="K143" i="176"/>
  <c r="I143" i="176"/>
  <c r="H143" i="176"/>
  <c r="G143" i="176"/>
  <c r="F143" i="176"/>
  <c r="E143" i="176"/>
  <c r="N142" i="176"/>
  <c r="M142" i="176"/>
  <c r="L142" i="176"/>
  <c r="K142" i="176"/>
  <c r="I142" i="176"/>
  <c r="H142" i="176"/>
  <c r="G142" i="176"/>
  <c r="F142" i="176"/>
  <c r="E142" i="176"/>
  <c r="O141" i="176"/>
  <c r="J141" i="176" s="1"/>
  <c r="F141" i="176"/>
  <c r="F139" i="176" s="1"/>
  <c r="P140" i="176"/>
  <c r="O140" i="176"/>
  <c r="L140" i="176"/>
  <c r="J140" i="176" s="1"/>
  <c r="J139" i="176" s="1"/>
  <c r="H140" i="176"/>
  <c r="H139" i="176" s="1"/>
  <c r="H134" i="176" s="1"/>
  <c r="H131" i="176" s="1"/>
  <c r="H130" i="176" s="1"/>
  <c r="F140" i="176"/>
  <c r="E140" i="176"/>
  <c r="O139" i="176"/>
  <c r="N139" i="176"/>
  <c r="M139" i="176"/>
  <c r="K139" i="176"/>
  <c r="I139" i="176"/>
  <c r="G139" i="176"/>
  <c r="N138" i="176"/>
  <c r="N134" i="176" s="1"/>
  <c r="L138" i="176"/>
  <c r="K138" i="176"/>
  <c r="H138" i="176"/>
  <c r="G138" i="176"/>
  <c r="F138" i="176"/>
  <c r="E138" i="176" s="1"/>
  <c r="R137" i="176"/>
  <c r="O137" i="176"/>
  <c r="N137" i="176"/>
  <c r="L137" i="176"/>
  <c r="K137" i="176"/>
  <c r="J137" i="176"/>
  <c r="H137" i="176"/>
  <c r="F137" i="176"/>
  <c r="E137" i="176" s="1"/>
  <c r="R136" i="176"/>
  <c r="O136" i="176"/>
  <c r="N136" i="176"/>
  <c r="L136" i="176"/>
  <c r="J136" i="176" s="1"/>
  <c r="K136" i="176"/>
  <c r="H136" i="176"/>
  <c r="F136" i="176"/>
  <c r="E136" i="176" s="1"/>
  <c r="O135" i="176"/>
  <c r="J135" i="176"/>
  <c r="F135" i="176"/>
  <c r="E135" i="176"/>
  <c r="M134" i="176"/>
  <c r="K134" i="176"/>
  <c r="K131" i="176" s="1"/>
  <c r="I134" i="176"/>
  <c r="G134" i="176"/>
  <c r="R133" i="176"/>
  <c r="O133" i="176"/>
  <c r="N133" i="176"/>
  <c r="N132" i="176" s="1"/>
  <c r="L133" i="176"/>
  <c r="J133" i="176"/>
  <c r="J132" i="176" s="1"/>
  <c r="H133" i="176"/>
  <c r="G133" i="176"/>
  <c r="F133" i="176"/>
  <c r="E133" i="176"/>
  <c r="E132" i="176" s="1"/>
  <c r="O132" i="176"/>
  <c r="M132" i="176"/>
  <c r="M131" i="176" s="1"/>
  <c r="M130" i="176" s="1"/>
  <c r="L132" i="176"/>
  <c r="K132" i="176"/>
  <c r="I132" i="176"/>
  <c r="I131" i="176" s="1"/>
  <c r="I130" i="176" s="1"/>
  <c r="H132" i="176"/>
  <c r="G132" i="176"/>
  <c r="F132" i="176"/>
  <c r="G131" i="176"/>
  <c r="G130" i="176" s="1"/>
  <c r="O128" i="176"/>
  <c r="J128" i="176" s="1"/>
  <c r="J127" i="176" s="1"/>
  <c r="J126" i="176" s="1"/>
  <c r="E128" i="176"/>
  <c r="N127" i="176"/>
  <c r="M127" i="176"/>
  <c r="L127" i="176"/>
  <c r="K127" i="176"/>
  <c r="I127" i="176"/>
  <c r="H127" i="176"/>
  <c r="G127" i="176"/>
  <c r="F127" i="176"/>
  <c r="E127" i="176"/>
  <c r="N126" i="176"/>
  <c r="M126" i="176"/>
  <c r="L126" i="176"/>
  <c r="K126" i="176"/>
  <c r="K122" i="176" s="1"/>
  <c r="I126" i="176"/>
  <c r="H126" i="176"/>
  <c r="G126" i="176"/>
  <c r="G122" i="176" s="1"/>
  <c r="F126" i="176"/>
  <c r="E126" i="176"/>
  <c r="K125" i="176"/>
  <c r="O125" i="176" s="1"/>
  <c r="E125" i="176"/>
  <c r="E124" i="176" s="1"/>
  <c r="E123" i="176" s="1"/>
  <c r="E122" i="176" s="1"/>
  <c r="N124" i="176"/>
  <c r="M124" i="176"/>
  <c r="M123" i="176" s="1"/>
  <c r="M122" i="176" s="1"/>
  <c r="L124" i="176"/>
  <c r="K124" i="176"/>
  <c r="I124" i="176"/>
  <c r="H124" i="176"/>
  <c r="G124" i="176"/>
  <c r="F124" i="176"/>
  <c r="N123" i="176"/>
  <c r="L123" i="176"/>
  <c r="K123" i="176"/>
  <c r="I123" i="176"/>
  <c r="H123" i="176"/>
  <c r="G123" i="176"/>
  <c r="F123" i="176"/>
  <c r="N122" i="176"/>
  <c r="L122" i="176"/>
  <c r="I122" i="176"/>
  <c r="H122" i="176"/>
  <c r="F122" i="176"/>
  <c r="R121" i="176"/>
  <c r="O121" i="176"/>
  <c r="J121" i="176"/>
  <c r="P121" i="176" s="1"/>
  <c r="P120" i="176" s="1"/>
  <c r="P119" i="176" s="1"/>
  <c r="E121" i="176"/>
  <c r="O120" i="176"/>
  <c r="N120" i="176"/>
  <c r="M120" i="176"/>
  <c r="L120" i="176"/>
  <c r="K120" i="176"/>
  <c r="I120" i="176"/>
  <c r="H120" i="176"/>
  <c r="G120" i="176"/>
  <c r="F120" i="176"/>
  <c r="E120" i="176"/>
  <c r="O119" i="176"/>
  <c r="N119" i="176"/>
  <c r="M119" i="176"/>
  <c r="L119" i="176"/>
  <c r="K119" i="176"/>
  <c r="I119" i="176"/>
  <c r="H119" i="176"/>
  <c r="G119" i="176"/>
  <c r="F119" i="176"/>
  <c r="E119" i="176"/>
  <c r="R118" i="176"/>
  <c r="O118" i="176"/>
  <c r="J118" i="176" s="1"/>
  <c r="F118" i="176"/>
  <c r="E118" i="176" s="1"/>
  <c r="R117" i="176"/>
  <c r="O117" i="176"/>
  <c r="N117" i="176"/>
  <c r="L117" i="176"/>
  <c r="K117" i="176"/>
  <c r="H117" i="176"/>
  <c r="G117" i="176"/>
  <c r="F117" i="176"/>
  <c r="E117" i="176"/>
  <c r="O116" i="176"/>
  <c r="N116" i="176"/>
  <c r="M116" i="176"/>
  <c r="K116" i="176"/>
  <c r="I116" i="176"/>
  <c r="H116" i="176"/>
  <c r="G116" i="176"/>
  <c r="F116" i="176"/>
  <c r="O115" i="176"/>
  <c r="J115" i="176" s="1"/>
  <c r="J114" i="176" s="1"/>
  <c r="E115" i="176"/>
  <c r="N114" i="176"/>
  <c r="M114" i="176"/>
  <c r="L114" i="176"/>
  <c r="K114" i="176"/>
  <c r="I114" i="176"/>
  <c r="H114" i="176"/>
  <c r="G114" i="176"/>
  <c r="F114" i="176"/>
  <c r="E114" i="176"/>
  <c r="O113" i="176"/>
  <c r="F113" i="176"/>
  <c r="E113" i="176" s="1"/>
  <c r="N112" i="176"/>
  <c r="M112" i="176"/>
  <c r="L112" i="176"/>
  <c r="K112" i="176"/>
  <c r="I112" i="176"/>
  <c r="H112" i="176"/>
  <c r="G112" i="176"/>
  <c r="F112" i="176"/>
  <c r="P111" i="176"/>
  <c r="O111" i="176"/>
  <c r="J111" i="176"/>
  <c r="E111" i="176"/>
  <c r="P110" i="176"/>
  <c r="O110" i="176"/>
  <c r="J110" i="176"/>
  <c r="E110" i="176"/>
  <c r="N109" i="176"/>
  <c r="M109" i="176"/>
  <c r="L109" i="176"/>
  <c r="J109" i="176" s="1"/>
  <c r="P109" i="176" s="1"/>
  <c r="K109" i="176"/>
  <c r="O109" i="176" s="1"/>
  <c r="I109" i="176"/>
  <c r="H109" i="176"/>
  <c r="G109" i="176"/>
  <c r="F109" i="176"/>
  <c r="E109" i="176" s="1"/>
  <c r="O108" i="176"/>
  <c r="J108" i="176"/>
  <c r="F108" i="176"/>
  <c r="E108" i="176"/>
  <c r="P108" i="176" s="1"/>
  <c r="R107" i="176"/>
  <c r="O107" i="176"/>
  <c r="J107" i="176"/>
  <c r="H107" i="176"/>
  <c r="G107" i="176"/>
  <c r="F107" i="176"/>
  <c r="E107" i="176"/>
  <c r="N106" i="176"/>
  <c r="N105" i="176" s="1"/>
  <c r="N95" i="176" s="1"/>
  <c r="N90" i="176" s="1"/>
  <c r="N89" i="176" s="1"/>
  <c r="L106" i="176"/>
  <c r="K106" i="176"/>
  <c r="R106" i="176" s="1"/>
  <c r="H106" i="176"/>
  <c r="H105" i="176" s="1"/>
  <c r="F106" i="176"/>
  <c r="E106" i="176"/>
  <c r="M105" i="176"/>
  <c r="K105" i="176"/>
  <c r="K95" i="176" s="1"/>
  <c r="I105" i="176"/>
  <c r="G105" i="176"/>
  <c r="G95" i="176" s="1"/>
  <c r="F105" i="176"/>
  <c r="O104" i="176"/>
  <c r="J104" i="176" s="1"/>
  <c r="E104" i="176"/>
  <c r="O103" i="176"/>
  <c r="J103" i="176" s="1"/>
  <c r="E103" i="176"/>
  <c r="O102" i="176"/>
  <c r="J102" i="176"/>
  <c r="E102" i="176"/>
  <c r="O101" i="176"/>
  <c r="J101" i="176" s="1"/>
  <c r="F101" i="176"/>
  <c r="E101" i="176" s="1"/>
  <c r="O100" i="176"/>
  <c r="J100" i="176" s="1"/>
  <c r="P100" i="176" s="1"/>
  <c r="E100" i="176"/>
  <c r="O99" i="176"/>
  <c r="J99" i="176" s="1"/>
  <c r="P99" i="176" s="1"/>
  <c r="E99" i="176"/>
  <c r="O98" i="176"/>
  <c r="J98" i="176" s="1"/>
  <c r="E98" i="176"/>
  <c r="R97" i="176"/>
  <c r="O97" i="176"/>
  <c r="J97" i="176" s="1"/>
  <c r="F97" i="176"/>
  <c r="E97" i="176" s="1"/>
  <c r="N96" i="176"/>
  <c r="M96" i="176"/>
  <c r="L96" i="176"/>
  <c r="K96" i="176"/>
  <c r="I96" i="176"/>
  <c r="H96" i="176"/>
  <c r="G96" i="176"/>
  <c r="F96" i="176"/>
  <c r="M95" i="176"/>
  <c r="I95" i="176"/>
  <c r="H95" i="176"/>
  <c r="F95" i="176"/>
  <c r="P94" i="176"/>
  <c r="J94" i="176"/>
  <c r="E94" i="176"/>
  <c r="O93" i="176"/>
  <c r="J93" i="176" s="1"/>
  <c r="E93" i="176"/>
  <c r="P93" i="176" s="1"/>
  <c r="K92" i="176"/>
  <c r="O92" i="176" s="1"/>
  <c r="H92" i="176"/>
  <c r="H91" i="176" s="1"/>
  <c r="H90" i="176" s="1"/>
  <c r="H89" i="176" s="1"/>
  <c r="F92" i="176"/>
  <c r="E92" i="176"/>
  <c r="N91" i="176"/>
  <c r="M91" i="176"/>
  <c r="L91" i="176"/>
  <c r="K91" i="176"/>
  <c r="K90" i="176" s="1"/>
  <c r="I91" i="176"/>
  <c r="I90" i="176" s="1"/>
  <c r="I89" i="176" s="1"/>
  <c r="G91" i="176"/>
  <c r="F91" i="176"/>
  <c r="E91" i="176"/>
  <c r="F90" i="176"/>
  <c r="F89" i="176" s="1"/>
  <c r="O88" i="176"/>
  <c r="J88" i="176"/>
  <c r="P88" i="176" s="1"/>
  <c r="E88" i="176"/>
  <c r="R87" i="176"/>
  <c r="O87" i="176"/>
  <c r="O86" i="176" s="1"/>
  <c r="O85" i="176" s="1"/>
  <c r="K87" i="176"/>
  <c r="E87" i="176"/>
  <c r="N86" i="176"/>
  <c r="M86" i="176"/>
  <c r="L86" i="176"/>
  <c r="K86" i="176"/>
  <c r="I86" i="176"/>
  <c r="H86" i="176"/>
  <c r="G86" i="176"/>
  <c r="F86" i="176"/>
  <c r="E86" i="176"/>
  <c r="N85" i="176"/>
  <c r="M85" i="176"/>
  <c r="L85" i="176"/>
  <c r="K85" i="176"/>
  <c r="I85" i="176"/>
  <c r="H85" i="176"/>
  <c r="G85" i="176"/>
  <c r="F85" i="176"/>
  <c r="E85" i="176"/>
  <c r="O84" i="176"/>
  <c r="J84" i="176"/>
  <c r="F84" i="176"/>
  <c r="E84" i="176"/>
  <c r="P84" i="176" s="1"/>
  <c r="O83" i="176"/>
  <c r="O82" i="176" s="1"/>
  <c r="H83" i="176"/>
  <c r="G83" i="176"/>
  <c r="F83" i="176"/>
  <c r="E83" i="176" s="1"/>
  <c r="N82" i="176"/>
  <c r="M82" i="176"/>
  <c r="L82" i="176"/>
  <c r="K82" i="176"/>
  <c r="I82" i="176"/>
  <c r="H82" i="176"/>
  <c r="G82" i="176"/>
  <c r="F82" i="176"/>
  <c r="P81" i="176"/>
  <c r="P80" i="176" s="1"/>
  <c r="O81" i="176"/>
  <c r="J81" i="176"/>
  <c r="E81" i="176"/>
  <c r="O80" i="176"/>
  <c r="N80" i="176"/>
  <c r="M80" i="176"/>
  <c r="L80" i="176"/>
  <c r="K80" i="176"/>
  <c r="J80" i="176"/>
  <c r="I80" i="176"/>
  <c r="H80" i="176"/>
  <c r="G80" i="176"/>
  <c r="F80" i="176"/>
  <c r="E80" i="176"/>
  <c r="O79" i="176"/>
  <c r="J79" i="176"/>
  <c r="J78" i="176" s="1"/>
  <c r="F79" i="176"/>
  <c r="E79" i="176"/>
  <c r="P79" i="176" s="1"/>
  <c r="P78" i="176" s="1"/>
  <c r="O78" i="176"/>
  <c r="O72" i="176" s="1"/>
  <c r="N78" i="176"/>
  <c r="M78" i="176"/>
  <c r="M72" i="176" s="1"/>
  <c r="M69" i="176" s="1"/>
  <c r="M68" i="176" s="1"/>
  <c r="L78" i="176"/>
  <c r="K78" i="176"/>
  <c r="K72" i="176" s="1"/>
  <c r="I78" i="176"/>
  <c r="I72" i="176" s="1"/>
  <c r="I69" i="176" s="1"/>
  <c r="I68" i="176" s="1"/>
  <c r="H78" i="176"/>
  <c r="G78" i="176"/>
  <c r="G72" i="176" s="1"/>
  <c r="F78" i="176"/>
  <c r="E78" i="176"/>
  <c r="O77" i="176"/>
  <c r="J77" i="176" s="1"/>
  <c r="E77" i="176"/>
  <c r="O76" i="176"/>
  <c r="J76" i="176" s="1"/>
  <c r="F76" i="176"/>
  <c r="E76" i="176" s="1"/>
  <c r="P76" i="176" s="1"/>
  <c r="O75" i="176"/>
  <c r="J75" i="176"/>
  <c r="F75" i="176"/>
  <c r="E75" i="176"/>
  <c r="P75" i="176" s="1"/>
  <c r="J74" i="176"/>
  <c r="F74" i="176"/>
  <c r="E74" i="176"/>
  <c r="P74" i="176" s="1"/>
  <c r="O73" i="176"/>
  <c r="J73" i="176" s="1"/>
  <c r="F73" i="176"/>
  <c r="E73" i="176" s="1"/>
  <c r="P73" i="176" s="1"/>
  <c r="N72" i="176"/>
  <c r="N69" i="176" s="1"/>
  <c r="N68" i="176" s="1"/>
  <c r="L72" i="176"/>
  <c r="L69" i="176" s="1"/>
  <c r="H72" i="176"/>
  <c r="H69" i="176" s="1"/>
  <c r="H68" i="176" s="1"/>
  <c r="P71" i="176"/>
  <c r="P70" i="176" s="1"/>
  <c r="O71" i="176"/>
  <c r="J71" i="176"/>
  <c r="J70" i="176" s="1"/>
  <c r="H71" i="176"/>
  <c r="G71" i="176"/>
  <c r="F71" i="176"/>
  <c r="E71" i="176"/>
  <c r="O70" i="176"/>
  <c r="O69" i="176" s="1"/>
  <c r="O68" i="176" s="1"/>
  <c r="N70" i="176"/>
  <c r="M70" i="176"/>
  <c r="L70" i="176"/>
  <c r="K70" i="176"/>
  <c r="K69" i="176" s="1"/>
  <c r="I70" i="176"/>
  <c r="H70" i="176"/>
  <c r="G70" i="176"/>
  <c r="G69" i="176" s="1"/>
  <c r="G68" i="176" s="1"/>
  <c r="F70" i="176"/>
  <c r="E70" i="176"/>
  <c r="O67" i="176"/>
  <c r="J67" i="176" s="1"/>
  <c r="J66" i="176" s="1"/>
  <c r="F67" i="176"/>
  <c r="E67" i="176" s="1"/>
  <c r="N66" i="176"/>
  <c r="M66" i="176"/>
  <c r="L66" i="176"/>
  <c r="K66" i="176"/>
  <c r="I66" i="176"/>
  <c r="H66" i="176"/>
  <c r="G66" i="176"/>
  <c r="F66" i="176"/>
  <c r="R65" i="176"/>
  <c r="O65" i="176"/>
  <c r="J65" i="176" s="1"/>
  <c r="G65" i="176"/>
  <c r="F65" i="176"/>
  <c r="E65" i="176"/>
  <c r="R64" i="176"/>
  <c r="O64" i="176"/>
  <c r="J64" i="176"/>
  <c r="F64" i="176"/>
  <c r="E64" i="176"/>
  <c r="P64" i="176" s="1"/>
  <c r="O63" i="176"/>
  <c r="J63" i="176" s="1"/>
  <c r="N63" i="176"/>
  <c r="M63" i="176"/>
  <c r="L63" i="176"/>
  <c r="K63" i="176"/>
  <c r="I63" i="176"/>
  <c r="H63" i="176"/>
  <c r="G63" i="176"/>
  <c r="F63" i="176"/>
  <c r="E63" i="176"/>
  <c r="P63" i="176" s="1"/>
  <c r="R62" i="176"/>
  <c r="P62" i="176"/>
  <c r="O62" i="176"/>
  <c r="J62" i="176"/>
  <c r="H62" i="176"/>
  <c r="G62" i="176"/>
  <c r="F62" i="176"/>
  <c r="E62" i="176"/>
  <c r="O61" i="176"/>
  <c r="J61" i="176" s="1"/>
  <c r="G61" i="176"/>
  <c r="F61" i="176"/>
  <c r="E61" i="176"/>
  <c r="R60" i="176"/>
  <c r="O60" i="176"/>
  <c r="J60" i="176"/>
  <c r="H60" i="176"/>
  <c r="G60" i="176"/>
  <c r="F60" i="176"/>
  <c r="E60" i="176"/>
  <c r="P60" i="176" s="1"/>
  <c r="N59" i="176"/>
  <c r="M59" i="176"/>
  <c r="L59" i="176"/>
  <c r="K59" i="176"/>
  <c r="I59" i="176"/>
  <c r="H59" i="176"/>
  <c r="G59" i="176"/>
  <c r="F59" i="176"/>
  <c r="E59" i="176"/>
  <c r="O58" i="176"/>
  <c r="J58" i="176" s="1"/>
  <c r="E58" i="176"/>
  <c r="P58" i="176" s="1"/>
  <c r="O57" i="176"/>
  <c r="O56" i="176" s="1"/>
  <c r="N57" i="176"/>
  <c r="L57" i="176"/>
  <c r="J57" i="176" s="1"/>
  <c r="J56" i="176" s="1"/>
  <c r="H57" i="176"/>
  <c r="G57" i="176"/>
  <c r="F57" i="176"/>
  <c r="E57" i="176" s="1"/>
  <c r="N56" i="176"/>
  <c r="M56" i="176"/>
  <c r="K56" i="176"/>
  <c r="I56" i="176"/>
  <c r="H56" i="176"/>
  <c r="G56" i="176"/>
  <c r="J55" i="176"/>
  <c r="E55" i="176"/>
  <c r="P55" i="176" s="1"/>
  <c r="N54" i="176"/>
  <c r="N53" i="176" s="1"/>
  <c r="L54" i="176"/>
  <c r="K54" i="176"/>
  <c r="R54" i="176" s="1"/>
  <c r="H54" i="176"/>
  <c r="G54" i="176"/>
  <c r="F54" i="176"/>
  <c r="E54" i="176" s="1"/>
  <c r="M53" i="176"/>
  <c r="L53" i="176"/>
  <c r="I53" i="176"/>
  <c r="H53" i="176"/>
  <c r="G53" i="176"/>
  <c r="F53" i="176"/>
  <c r="R52" i="176"/>
  <c r="O52" i="176"/>
  <c r="N52" i="176"/>
  <c r="L52" i="176"/>
  <c r="J52" i="176" s="1"/>
  <c r="K52" i="176"/>
  <c r="H52" i="176"/>
  <c r="G52" i="176"/>
  <c r="G42" i="176" s="1"/>
  <c r="G41" i="176" s="1"/>
  <c r="G40" i="176" s="1"/>
  <c r="F52" i="176"/>
  <c r="E52" i="176"/>
  <c r="P52" i="176" s="1"/>
  <c r="K51" i="176"/>
  <c r="O51" i="176" s="1"/>
  <c r="E51" i="176"/>
  <c r="N49" i="176"/>
  <c r="M49" i="176"/>
  <c r="L49" i="176"/>
  <c r="K49" i="176"/>
  <c r="I49" i="176"/>
  <c r="H49" i="176"/>
  <c r="G49" i="176"/>
  <c r="F49" i="176"/>
  <c r="E49" i="176"/>
  <c r="O48" i="176"/>
  <c r="J48" i="176" s="1"/>
  <c r="J47" i="176" s="1"/>
  <c r="E48" i="176"/>
  <c r="P48" i="176" s="1"/>
  <c r="P47" i="176" s="1"/>
  <c r="O47" i="176"/>
  <c r="N47" i="176"/>
  <c r="M47" i="176"/>
  <c r="L47" i="176"/>
  <c r="K47" i="176"/>
  <c r="I47" i="176"/>
  <c r="I42" i="176" s="1"/>
  <c r="I41" i="176" s="1"/>
  <c r="I40" i="176" s="1"/>
  <c r="H47" i="176"/>
  <c r="G47" i="176"/>
  <c r="F47" i="176"/>
  <c r="E47" i="176"/>
  <c r="N46" i="176"/>
  <c r="N44" i="176" s="1"/>
  <c r="N42" i="176" s="1"/>
  <c r="N41" i="176" s="1"/>
  <c r="N40" i="176" s="1"/>
  <c r="L46" i="176"/>
  <c r="K46" i="176"/>
  <c r="R46" i="176" s="1"/>
  <c r="H46" i="176"/>
  <c r="G46" i="176"/>
  <c r="F46" i="176"/>
  <c r="E46" i="176" s="1"/>
  <c r="R45" i="176"/>
  <c r="N45" i="176"/>
  <c r="M45" i="176"/>
  <c r="M44" i="176" s="1"/>
  <c r="L45" i="176"/>
  <c r="K45" i="176"/>
  <c r="K44" i="176" s="1"/>
  <c r="H45" i="176"/>
  <c r="H44" i="176" s="1"/>
  <c r="H42" i="176" s="1"/>
  <c r="H41" i="176" s="1"/>
  <c r="H40" i="176" s="1"/>
  <c r="G45" i="176"/>
  <c r="F45" i="176"/>
  <c r="E45" i="176" s="1"/>
  <c r="L44" i="176"/>
  <c r="I44" i="176"/>
  <c r="G44" i="176"/>
  <c r="F44" i="176"/>
  <c r="R43" i="176"/>
  <c r="N43" i="176"/>
  <c r="M43" i="176"/>
  <c r="M42" i="176" s="1"/>
  <c r="M41" i="176" s="1"/>
  <c r="M40" i="176" s="1"/>
  <c r="L43" i="176"/>
  <c r="K43" i="176"/>
  <c r="H43" i="176"/>
  <c r="G43" i="176"/>
  <c r="F43" i="176"/>
  <c r="E43" i="176" s="1"/>
  <c r="R39" i="176"/>
  <c r="O39" i="176"/>
  <c r="J39" i="176" s="1"/>
  <c r="K39" i="176"/>
  <c r="F39" i="176"/>
  <c r="E39" i="176"/>
  <c r="P39" i="176" s="1"/>
  <c r="O38" i="176"/>
  <c r="J38" i="176" s="1"/>
  <c r="E38" i="176"/>
  <c r="P38" i="176" s="1"/>
  <c r="O37" i="176"/>
  <c r="J37" i="176" s="1"/>
  <c r="J36" i="176" s="1"/>
  <c r="J35" i="176" s="1"/>
  <c r="E37" i="176"/>
  <c r="O36" i="176"/>
  <c r="N36" i="176"/>
  <c r="M36" i="176"/>
  <c r="L36" i="176"/>
  <c r="K36" i="176"/>
  <c r="I36" i="176"/>
  <c r="H36" i="176"/>
  <c r="G36" i="176"/>
  <c r="F36" i="176"/>
  <c r="E36" i="176"/>
  <c r="N35" i="176"/>
  <c r="M35" i="176"/>
  <c r="L35" i="176"/>
  <c r="K35" i="176"/>
  <c r="I35" i="176"/>
  <c r="H35" i="176"/>
  <c r="G35" i="176"/>
  <c r="F35" i="176"/>
  <c r="E35" i="176"/>
  <c r="O34" i="176"/>
  <c r="J34" i="176" s="1"/>
  <c r="J33" i="176" s="1"/>
  <c r="J32" i="176" s="1"/>
  <c r="E34" i="176"/>
  <c r="O33" i="176"/>
  <c r="N33" i="176"/>
  <c r="M33" i="176"/>
  <c r="L33" i="176"/>
  <c r="K33" i="176"/>
  <c r="I33" i="176"/>
  <c r="H33" i="176"/>
  <c r="G33" i="176"/>
  <c r="F33" i="176"/>
  <c r="E33" i="176"/>
  <c r="O32" i="176"/>
  <c r="N32" i="176"/>
  <c r="M32" i="176"/>
  <c r="L32" i="176"/>
  <c r="K32" i="176"/>
  <c r="I32" i="176"/>
  <c r="H32" i="176"/>
  <c r="G32" i="176"/>
  <c r="F32" i="176"/>
  <c r="E32" i="176"/>
  <c r="J31" i="176"/>
  <c r="P31" i="176" s="1"/>
  <c r="E31" i="176"/>
  <c r="P29" i="176"/>
  <c r="L29" i="176"/>
  <c r="J29" i="176"/>
  <c r="E29" i="176"/>
  <c r="P28" i="176"/>
  <c r="O28" i="176"/>
  <c r="N28" i="176"/>
  <c r="M28" i="176"/>
  <c r="L28" i="176"/>
  <c r="K28" i="176"/>
  <c r="J28" i="176"/>
  <c r="I28" i="176"/>
  <c r="H28" i="176"/>
  <c r="G28" i="176"/>
  <c r="F28" i="176"/>
  <c r="E28" i="176"/>
  <c r="P27" i="176"/>
  <c r="O27" i="176"/>
  <c r="J27" i="176"/>
  <c r="E27" i="176"/>
  <c r="P26" i="176"/>
  <c r="O26" i="176"/>
  <c r="N26" i="176"/>
  <c r="N23" i="176" s="1"/>
  <c r="N17" i="176" s="1"/>
  <c r="M26" i="176"/>
  <c r="L26" i="176"/>
  <c r="L23" i="176" s="1"/>
  <c r="K26" i="176"/>
  <c r="J26" i="176"/>
  <c r="I26" i="176"/>
  <c r="H26" i="176"/>
  <c r="H23" i="176" s="1"/>
  <c r="G26" i="176"/>
  <c r="F26" i="176"/>
  <c r="F23" i="176" s="1"/>
  <c r="E26" i="176"/>
  <c r="R25" i="176"/>
  <c r="O25" i="176"/>
  <c r="J25" i="176" s="1"/>
  <c r="E25" i="176"/>
  <c r="O24" i="176"/>
  <c r="N24" i="176"/>
  <c r="M24" i="176"/>
  <c r="L24" i="176"/>
  <c r="K24" i="176"/>
  <c r="I24" i="176"/>
  <c r="H24" i="176"/>
  <c r="G24" i="176"/>
  <c r="F24" i="176"/>
  <c r="E24" i="176"/>
  <c r="O23" i="176"/>
  <c r="M23" i="176"/>
  <c r="K23" i="176"/>
  <c r="I23" i="176"/>
  <c r="G23" i="176"/>
  <c r="E23" i="176"/>
  <c r="O22" i="176"/>
  <c r="J22" i="176" s="1"/>
  <c r="F22" i="176"/>
  <c r="E22" i="176" s="1"/>
  <c r="O21" i="176"/>
  <c r="J21" i="176"/>
  <c r="P21" i="176" s="1"/>
  <c r="E21" i="176"/>
  <c r="O20" i="176"/>
  <c r="J20" i="176"/>
  <c r="G20" i="176"/>
  <c r="F20" i="176"/>
  <c r="E20" i="176" s="1"/>
  <c r="E18" i="176" s="1"/>
  <c r="E17" i="176" s="1"/>
  <c r="R19" i="176"/>
  <c r="O19" i="176"/>
  <c r="K19" i="176"/>
  <c r="J19" i="176"/>
  <c r="P19" i="176" s="1"/>
  <c r="H19" i="176"/>
  <c r="G19" i="176"/>
  <c r="F19" i="176"/>
  <c r="E19" i="176"/>
  <c r="O18" i="176"/>
  <c r="N18" i="176"/>
  <c r="M18" i="176"/>
  <c r="M17" i="176" s="1"/>
  <c r="L18" i="176"/>
  <c r="L17" i="176" s="1"/>
  <c r="K18" i="176"/>
  <c r="I18" i="176"/>
  <c r="I17" i="176" s="1"/>
  <c r="H18" i="176"/>
  <c r="G18" i="176"/>
  <c r="K17" i="176"/>
  <c r="G17" i="176"/>
  <c r="K16" i="176"/>
  <c r="G16" i="176"/>
  <c r="F66" i="177" l="1"/>
  <c r="P88" i="177"/>
  <c r="P67" i="177"/>
  <c r="P66" i="177" s="1"/>
  <c r="E66" i="177"/>
  <c r="R210" i="177"/>
  <c r="J314" i="177"/>
  <c r="L16" i="176"/>
  <c r="H17" i="176"/>
  <c r="N16" i="176"/>
  <c r="P65" i="176"/>
  <c r="K68" i="176"/>
  <c r="R69" i="176"/>
  <c r="E96" i="176"/>
  <c r="P97" i="176"/>
  <c r="P96" i="176" s="1"/>
  <c r="J96" i="176"/>
  <c r="P98" i="176"/>
  <c r="E16" i="176"/>
  <c r="O49" i="176"/>
  <c r="J51" i="176"/>
  <c r="J49" i="176" s="1"/>
  <c r="E53" i="176"/>
  <c r="F156" i="176"/>
  <c r="F149" i="176" s="1"/>
  <c r="F148" i="176" s="1"/>
  <c r="M16" i="176"/>
  <c r="I16" i="176"/>
  <c r="P20" i="176"/>
  <c r="P25" i="176"/>
  <c r="P24" i="176" s="1"/>
  <c r="P23" i="176" s="1"/>
  <c r="J24" i="176"/>
  <c r="J23" i="176" s="1"/>
  <c r="P34" i="176"/>
  <c r="P33" i="176" s="1"/>
  <c r="P32" i="176" s="1"/>
  <c r="P49" i="176"/>
  <c r="P57" i="176"/>
  <c r="E56" i="176"/>
  <c r="P56" i="176" s="1"/>
  <c r="P59" i="176"/>
  <c r="P61" i="176"/>
  <c r="P67" i="176"/>
  <c r="P66" i="176" s="1"/>
  <c r="E66" i="176"/>
  <c r="L68" i="176"/>
  <c r="J69" i="176"/>
  <c r="J68" i="176" s="1"/>
  <c r="E82" i="176"/>
  <c r="E72" i="176" s="1"/>
  <c r="E69" i="176" s="1"/>
  <c r="G90" i="176"/>
  <c r="G89" i="176" s="1"/>
  <c r="M90" i="176"/>
  <c r="M89" i="176" s="1"/>
  <c r="E44" i="176"/>
  <c r="K89" i="176"/>
  <c r="R90" i="176"/>
  <c r="R131" i="176"/>
  <c r="K130" i="176"/>
  <c r="P22" i="176"/>
  <c r="P18" i="176" s="1"/>
  <c r="P37" i="176"/>
  <c r="P36" i="176" s="1"/>
  <c r="P35" i="176" s="1"/>
  <c r="P51" i="176"/>
  <c r="J59" i="176"/>
  <c r="P77" i="176"/>
  <c r="O91" i="176"/>
  <c r="J92" i="176"/>
  <c r="O134" i="176"/>
  <c r="O131" i="176" s="1"/>
  <c r="O130" i="176" s="1"/>
  <c r="J113" i="176"/>
  <c r="J112" i="176" s="1"/>
  <c r="O112" i="176"/>
  <c r="P133" i="176"/>
  <c r="P132" i="176" s="1"/>
  <c r="I149" i="176"/>
  <c r="I148" i="176" s="1"/>
  <c r="P152" i="176"/>
  <c r="P151" i="176" s="1"/>
  <c r="J151" i="176"/>
  <c r="P218" i="176"/>
  <c r="P217" i="176" s="1"/>
  <c r="F18" i="176"/>
  <c r="F17" i="176" s="1"/>
  <c r="J18" i="176"/>
  <c r="O46" i="176"/>
  <c r="J46" i="176" s="1"/>
  <c r="P46" i="176" s="1"/>
  <c r="R51" i="176"/>
  <c r="O54" i="176"/>
  <c r="O53" i="176" s="1"/>
  <c r="O66" i="176"/>
  <c r="J83" i="176"/>
  <c r="J82" i="176" s="1"/>
  <c r="J72" i="176" s="1"/>
  <c r="R92" i="176"/>
  <c r="P102" i="176"/>
  <c r="P107" i="176"/>
  <c r="E105" i="176"/>
  <c r="J120" i="176"/>
  <c r="J119" i="176" s="1"/>
  <c r="O124" i="176"/>
  <c r="O123" i="176" s="1"/>
  <c r="J125" i="176"/>
  <c r="J124" i="176" s="1"/>
  <c r="J123" i="176" s="1"/>
  <c r="J122" i="176" s="1"/>
  <c r="O138" i="176"/>
  <c r="J138" i="176" s="1"/>
  <c r="P138" i="176" s="1"/>
  <c r="R138" i="176"/>
  <c r="F134" i="176"/>
  <c r="F131" i="176" s="1"/>
  <c r="F130" i="176" s="1"/>
  <c r="J154" i="176"/>
  <c r="J153" i="176" s="1"/>
  <c r="L153" i="176"/>
  <c r="L150" i="176" s="1"/>
  <c r="L149" i="176" s="1"/>
  <c r="P155" i="176"/>
  <c r="P158" i="176"/>
  <c r="P157" i="176" s="1"/>
  <c r="E157" i="176"/>
  <c r="E160" i="176"/>
  <c r="J165" i="176"/>
  <c r="P168" i="176"/>
  <c r="O173" i="176"/>
  <c r="O172" i="176" s="1"/>
  <c r="J174" i="176"/>
  <c r="J173" i="176" s="1"/>
  <c r="J172" i="176" s="1"/>
  <c r="E178" i="176"/>
  <c r="F177" i="176"/>
  <c r="P103" i="176"/>
  <c r="J233" i="176"/>
  <c r="J232" i="176" s="1"/>
  <c r="J231" i="176" s="1"/>
  <c r="O35" i="176"/>
  <c r="O17" i="176" s="1"/>
  <c r="O43" i="176"/>
  <c r="O45" i="176"/>
  <c r="L56" i="176"/>
  <c r="L42" i="176" s="1"/>
  <c r="L41" i="176" s="1"/>
  <c r="O59" i="176"/>
  <c r="F72" i="176"/>
  <c r="F69" i="176" s="1"/>
  <c r="F68" i="176" s="1"/>
  <c r="J87" i="176"/>
  <c r="J86" i="176" s="1"/>
  <c r="J85" i="176" s="1"/>
  <c r="P101" i="176"/>
  <c r="O114" i="176"/>
  <c r="J117" i="176"/>
  <c r="J116" i="176" s="1"/>
  <c r="L116" i="176"/>
  <c r="E116" i="176"/>
  <c r="P118" i="176"/>
  <c r="P125" i="176"/>
  <c r="P124" i="176" s="1"/>
  <c r="P123" i="176" s="1"/>
  <c r="O127" i="176"/>
  <c r="O126" i="176" s="1"/>
  <c r="O122" i="176" s="1"/>
  <c r="N131" i="176"/>
  <c r="N130" i="176" s="1"/>
  <c r="P137" i="176"/>
  <c r="J134" i="176"/>
  <c r="O143" i="176"/>
  <c r="O142" i="176" s="1"/>
  <c r="P154" i="176"/>
  <c r="P153" i="176" s="1"/>
  <c r="E153" i="176"/>
  <c r="E150" i="176" s="1"/>
  <c r="H156" i="176"/>
  <c r="M149" i="176"/>
  <c r="M148" i="176" s="1"/>
  <c r="J161" i="176"/>
  <c r="J160" i="176" s="1"/>
  <c r="O160" i="176"/>
  <c r="P164" i="176"/>
  <c r="O165" i="176"/>
  <c r="P174" i="176"/>
  <c r="P173" i="176" s="1"/>
  <c r="P172" i="176" s="1"/>
  <c r="E182" i="176"/>
  <c r="E181" i="176" s="1"/>
  <c r="E180" i="176" s="1"/>
  <c r="F181" i="176"/>
  <c r="F180" i="176" s="1"/>
  <c r="P197" i="176"/>
  <c r="P196" i="176" s="1"/>
  <c r="J196" i="176"/>
  <c r="E205" i="176"/>
  <c r="P205" i="176" s="1"/>
  <c r="F200" i="176"/>
  <c r="G302" i="176"/>
  <c r="F56" i="176"/>
  <c r="F42" i="176" s="1"/>
  <c r="F41" i="176" s="1"/>
  <c r="F40" i="176" s="1"/>
  <c r="P171" i="176"/>
  <c r="P170" i="176" s="1"/>
  <c r="P169" i="176" s="1"/>
  <c r="E170" i="176"/>
  <c r="E169" i="176" s="1"/>
  <c r="R17" i="176"/>
  <c r="K53" i="176"/>
  <c r="K42" i="176" s="1"/>
  <c r="K41" i="176" s="1"/>
  <c r="O96" i="176"/>
  <c r="P104" i="176"/>
  <c r="P113" i="176"/>
  <c r="P112" i="176" s="1"/>
  <c r="E112" i="176"/>
  <c r="P115" i="176"/>
  <c r="P114" i="176" s="1"/>
  <c r="P128" i="176"/>
  <c r="P127" i="176" s="1"/>
  <c r="P126" i="176" s="1"/>
  <c r="P135" i="176"/>
  <c r="P136" i="176"/>
  <c r="P144" i="176"/>
  <c r="P143" i="176" s="1"/>
  <c r="P142" i="176" s="1"/>
  <c r="H149" i="176"/>
  <c r="H148" i="176" s="1"/>
  <c r="E167" i="176"/>
  <c r="F165" i="176"/>
  <c r="F170" i="176"/>
  <c r="F169" i="176" s="1"/>
  <c r="E229" i="176"/>
  <c r="E228" i="176" s="1"/>
  <c r="P238" i="176"/>
  <c r="E264" i="176"/>
  <c r="E261" i="176" s="1"/>
  <c r="E260" i="176" s="1"/>
  <c r="E259" i="176" s="1"/>
  <c r="L105" i="176"/>
  <c r="L95" i="176" s="1"/>
  <c r="L90" i="176" s="1"/>
  <c r="O106" i="176"/>
  <c r="O105" i="176" s="1"/>
  <c r="R125" i="176"/>
  <c r="L139" i="176"/>
  <c r="L134" i="176" s="1"/>
  <c r="L131" i="176" s="1"/>
  <c r="E141" i="176"/>
  <c r="O157" i="176"/>
  <c r="O163" i="176"/>
  <c r="R164" i="176"/>
  <c r="O170" i="176"/>
  <c r="O169" i="176" s="1"/>
  <c r="R174" i="176"/>
  <c r="P182" i="176"/>
  <c r="P181" i="176" s="1"/>
  <c r="P180" i="176" s="1"/>
  <c r="P183" i="176"/>
  <c r="P186" i="176"/>
  <c r="F196" i="176"/>
  <c r="F195" i="176" s="1"/>
  <c r="F194" i="176" s="1"/>
  <c r="N195" i="176"/>
  <c r="N194" i="176" s="1"/>
  <c r="P204" i="176"/>
  <c r="E200" i="176"/>
  <c r="P212" i="176"/>
  <c r="K223" i="176"/>
  <c r="P227" i="176"/>
  <c r="O229" i="176"/>
  <c r="O228" i="176" s="1"/>
  <c r="J230" i="176"/>
  <c r="J229" i="176" s="1"/>
  <c r="J228" i="176" s="1"/>
  <c r="L222" i="176"/>
  <c r="O238" i="176"/>
  <c r="J238" i="176" s="1"/>
  <c r="R238" i="176"/>
  <c r="L258" i="176"/>
  <c r="N176" i="176"/>
  <c r="N175" i="176" s="1"/>
  <c r="P190" i="176"/>
  <c r="P188" i="176" s="1"/>
  <c r="P187" i="176" s="1"/>
  <c r="E188" i="176"/>
  <c r="E187" i="176" s="1"/>
  <c r="E195" i="176"/>
  <c r="J201" i="176"/>
  <c r="J200" i="176" s="1"/>
  <c r="P202" i="176"/>
  <c r="P201" i="176" s="1"/>
  <c r="P200" i="176" s="1"/>
  <c r="R208" i="176"/>
  <c r="O208" i="176"/>
  <c r="J210" i="176"/>
  <c r="O209" i="176"/>
  <c r="J214" i="176"/>
  <c r="J211" i="176" s="1"/>
  <c r="P215" i="176"/>
  <c r="P214" i="176" s="1"/>
  <c r="P220" i="176"/>
  <c r="P224" i="176"/>
  <c r="E224" i="176"/>
  <c r="E223" i="176" s="1"/>
  <c r="K248" i="176"/>
  <c r="R249" i="176"/>
  <c r="J176" i="176"/>
  <c r="J175" i="176" s="1"/>
  <c r="O176" i="176"/>
  <c r="O175" i="176" s="1"/>
  <c r="O181" i="176"/>
  <c r="O180" i="176" s="1"/>
  <c r="O218" i="176"/>
  <c r="O217" i="176" s="1"/>
  <c r="P221" i="176"/>
  <c r="G223" i="176"/>
  <c r="G222" i="176" s="1"/>
  <c r="P226" i="176"/>
  <c r="P233" i="176"/>
  <c r="P232" i="176" s="1"/>
  <c r="P231" i="176" s="1"/>
  <c r="R239" i="176"/>
  <c r="O239" i="176"/>
  <c r="J239" i="176" s="1"/>
  <c r="P239" i="176" s="1"/>
  <c r="P280" i="176"/>
  <c r="Q280" i="176"/>
  <c r="L290" i="176"/>
  <c r="J291" i="176"/>
  <c r="J290" i="176" s="1"/>
  <c r="O196" i="176"/>
  <c r="L214" i="176"/>
  <c r="L211" i="176" s="1"/>
  <c r="L206" i="176" s="1"/>
  <c r="L195" i="176" s="1"/>
  <c r="R230" i="176"/>
  <c r="P243" i="176"/>
  <c r="P242" i="176" s="1"/>
  <c r="F249" i="176"/>
  <c r="F248" i="176" s="1"/>
  <c r="P251" i="176"/>
  <c r="P250" i="176" s="1"/>
  <c r="R265" i="176"/>
  <c r="K264" i="176"/>
  <c r="K261" i="176" s="1"/>
  <c r="K260" i="176" s="1"/>
  <c r="K259" i="176" s="1"/>
  <c r="O265" i="176"/>
  <c r="P293" i="176"/>
  <c r="P292" i="176" s="1"/>
  <c r="E292" i="176"/>
  <c r="E291" i="176" s="1"/>
  <c r="F291" i="176"/>
  <c r="F290" i="176" s="1"/>
  <c r="N291" i="176"/>
  <c r="N290" i="176" s="1"/>
  <c r="K209" i="176"/>
  <c r="K206" i="176" s="1"/>
  <c r="K195" i="176" s="1"/>
  <c r="J249" i="176"/>
  <c r="J248" i="176" s="1"/>
  <c r="K269" i="176"/>
  <c r="R270" i="176"/>
  <c r="P277" i="176"/>
  <c r="P276" i="176" s="1"/>
  <c r="P275" i="176" s="1"/>
  <c r="P274" i="176" s="1"/>
  <c r="P284" i="176"/>
  <c r="P283" i="176" s="1"/>
  <c r="E288" i="176"/>
  <c r="E285" i="176" s="1"/>
  <c r="E282" i="176" s="1"/>
  <c r="P301" i="176"/>
  <c r="P300" i="176" s="1"/>
  <c r="P299" i="176" s="1"/>
  <c r="G313" i="176"/>
  <c r="E242" i="176"/>
  <c r="E241" i="176" s="1"/>
  <c r="N249" i="176"/>
  <c r="N248" i="176" s="1"/>
  <c r="P272" i="176"/>
  <c r="P271" i="176" s="1"/>
  <c r="J277" i="176"/>
  <c r="L276" i="176"/>
  <c r="L275" i="176" s="1"/>
  <c r="L274" i="176" s="1"/>
  <c r="L270" i="176" s="1"/>
  <c r="L281" i="176"/>
  <c r="P296" i="176"/>
  <c r="P295" i="176" s="1"/>
  <c r="E304" i="176"/>
  <c r="P298" i="176"/>
  <c r="P297" i="176" s="1"/>
  <c r="K194" i="176" l="1"/>
  <c r="R195" i="176"/>
  <c r="P69" i="176"/>
  <c r="E68" i="176"/>
  <c r="L194" i="176"/>
  <c r="R41" i="176"/>
  <c r="K40" i="176"/>
  <c r="K302" i="176"/>
  <c r="E281" i="176"/>
  <c r="P282" i="176"/>
  <c r="E42" i="176"/>
  <c r="E41" i="176" s="1"/>
  <c r="N302" i="176"/>
  <c r="N313" i="176" s="1"/>
  <c r="J43" i="176"/>
  <c r="J265" i="176"/>
  <c r="O264" i="176"/>
  <c r="O261" i="176" s="1"/>
  <c r="O260" i="176" s="1"/>
  <c r="O259" i="176" s="1"/>
  <c r="O195" i="176"/>
  <c r="O194" i="176" s="1"/>
  <c r="P210" i="176"/>
  <c r="P209" i="176" s="1"/>
  <c r="J209" i="176"/>
  <c r="E139" i="176"/>
  <c r="E134" i="176" s="1"/>
  <c r="E131" i="176" s="1"/>
  <c r="P141" i="176"/>
  <c r="P139" i="176" s="1"/>
  <c r="P134" i="176" s="1"/>
  <c r="L89" i="176"/>
  <c r="O95" i="176"/>
  <c r="O90" i="176" s="1"/>
  <c r="O16" i="176"/>
  <c r="J150" i="176"/>
  <c r="J91" i="176"/>
  <c r="P92" i="176"/>
  <c r="P91" i="176" s="1"/>
  <c r="I302" i="176"/>
  <c r="I313" i="176" s="1"/>
  <c r="E95" i="176"/>
  <c r="E90" i="176" s="1"/>
  <c r="H302" i="176"/>
  <c r="H313" i="176" s="1"/>
  <c r="H16" i="176"/>
  <c r="E177" i="176"/>
  <c r="E176" i="176" s="1"/>
  <c r="P178" i="176"/>
  <c r="P177" i="176" s="1"/>
  <c r="Q304" i="176"/>
  <c r="L269" i="176"/>
  <c r="J270" i="176"/>
  <c r="K258" i="176"/>
  <c r="R259" i="176"/>
  <c r="P249" i="176"/>
  <c r="P211" i="176"/>
  <c r="J208" i="176"/>
  <c r="O207" i="176"/>
  <c r="O206" i="176" s="1"/>
  <c r="E194" i="176"/>
  <c r="K222" i="176"/>
  <c r="R223" i="176"/>
  <c r="J131" i="176"/>
  <c r="J130" i="176" s="1"/>
  <c r="L130" i="176"/>
  <c r="E258" i="176"/>
  <c r="P230" i="176"/>
  <c r="P229" i="176" s="1"/>
  <c r="P228" i="176" s="1"/>
  <c r="P122" i="176"/>
  <c r="J106" i="176"/>
  <c r="L40" i="176"/>
  <c r="O232" i="176"/>
  <c r="O231" i="176" s="1"/>
  <c r="O223" i="176" s="1"/>
  <c r="P161" i="176"/>
  <c r="P160" i="176" s="1"/>
  <c r="L148" i="176"/>
  <c r="F16" i="176"/>
  <c r="P150" i="176"/>
  <c r="P83" i="176"/>
  <c r="P82" i="176" s="1"/>
  <c r="P72" i="176" s="1"/>
  <c r="P87" i="176"/>
  <c r="P86" i="176" s="1"/>
  <c r="P85" i="176" s="1"/>
  <c r="J54" i="176"/>
  <c r="J17" i="176"/>
  <c r="P167" i="176"/>
  <c r="P165" i="176" s="1"/>
  <c r="E165" i="176"/>
  <c r="E156" i="176" s="1"/>
  <c r="E149" i="176" s="1"/>
  <c r="Q277" i="176"/>
  <c r="J276" i="176"/>
  <c r="J275" i="176" s="1"/>
  <c r="J274" i="176" s="1"/>
  <c r="P241" i="176"/>
  <c r="E240" i="176"/>
  <c r="P291" i="176"/>
  <c r="E290" i="176"/>
  <c r="E222" i="176"/>
  <c r="J163" i="176"/>
  <c r="O162" i="176"/>
  <c r="O156" i="176" s="1"/>
  <c r="O149" i="176" s="1"/>
  <c r="O44" i="176"/>
  <c r="O42" i="176" s="1"/>
  <c r="O41" i="176" s="1"/>
  <c r="F176" i="176"/>
  <c r="F175" i="176" s="1"/>
  <c r="P117" i="176"/>
  <c r="P116" i="176" s="1"/>
  <c r="M302" i="176"/>
  <c r="M313" i="176" s="1"/>
  <c r="J45" i="176"/>
  <c r="L302" i="176"/>
  <c r="L313" i="176" s="1"/>
  <c r="O40" i="176" l="1"/>
  <c r="J41" i="176"/>
  <c r="J40" i="176" s="1"/>
  <c r="O302" i="176"/>
  <c r="O313" i="176" s="1"/>
  <c r="O148" i="176"/>
  <c r="J149" i="176"/>
  <c r="J148" i="176" s="1"/>
  <c r="O222" i="176"/>
  <c r="J223" i="176"/>
  <c r="O89" i="176"/>
  <c r="J90" i="176"/>
  <c r="J89" i="176" s="1"/>
  <c r="E148" i="176"/>
  <c r="P149" i="176"/>
  <c r="J105" i="176"/>
  <c r="J95" i="176" s="1"/>
  <c r="P106" i="176"/>
  <c r="P105" i="176" s="1"/>
  <c r="P95" i="176" s="1"/>
  <c r="J207" i="176"/>
  <c r="J206" i="176" s="1"/>
  <c r="P208" i="176"/>
  <c r="P207" i="176" s="1"/>
  <c r="P206" i="176" s="1"/>
  <c r="J269" i="176"/>
  <c r="P270" i="176"/>
  <c r="O258" i="176"/>
  <c r="J259" i="176"/>
  <c r="J16" i="176"/>
  <c r="P17" i="176"/>
  <c r="P248" i="176"/>
  <c r="Q249" i="176"/>
  <c r="E175" i="176"/>
  <c r="P176" i="176"/>
  <c r="E89" i="176"/>
  <c r="P90" i="176"/>
  <c r="J264" i="176"/>
  <c r="J261" i="176" s="1"/>
  <c r="J260" i="176" s="1"/>
  <c r="P265" i="176"/>
  <c r="P264" i="176" s="1"/>
  <c r="P261" i="176" s="1"/>
  <c r="P260" i="176" s="1"/>
  <c r="E40" i="176"/>
  <c r="P41" i="176"/>
  <c r="E302" i="176"/>
  <c r="Q302" i="176"/>
  <c r="K313" i="176"/>
  <c r="J195" i="176"/>
  <c r="Q282" i="176"/>
  <c r="P281" i="176"/>
  <c r="P68" i="176"/>
  <c r="Q69" i="176"/>
  <c r="P240" i="176"/>
  <c r="Q241" i="176"/>
  <c r="F302" i="176"/>
  <c r="E130" i="176"/>
  <c r="P131" i="176"/>
  <c r="J44" i="176"/>
  <c r="P44" i="176" s="1"/>
  <c r="P45" i="176"/>
  <c r="J162" i="176"/>
  <c r="J156" i="176" s="1"/>
  <c r="P163" i="176"/>
  <c r="P162" i="176" s="1"/>
  <c r="P156" i="176" s="1"/>
  <c r="P290" i="176"/>
  <c r="Q291" i="176"/>
  <c r="J53" i="176"/>
  <c r="P53" i="176" s="1"/>
  <c r="P54" i="176"/>
  <c r="J42" i="176"/>
  <c r="P43" i="176"/>
  <c r="P42" i="176" s="1"/>
  <c r="F318" i="176" l="1"/>
  <c r="F313" i="176"/>
  <c r="J258" i="176"/>
  <c r="P259" i="176"/>
  <c r="Q176" i="176"/>
  <c r="P175" i="176"/>
  <c r="Q17" i="176"/>
  <c r="P16" i="176"/>
  <c r="Q149" i="176"/>
  <c r="P148" i="176"/>
  <c r="J222" i="176"/>
  <c r="P223" i="176"/>
  <c r="Q131" i="176"/>
  <c r="P130" i="176"/>
  <c r="F314" i="176"/>
  <c r="E314" i="176"/>
  <c r="E322" i="176"/>
  <c r="E313" i="176"/>
  <c r="P269" i="176"/>
  <c r="Q270" i="176"/>
  <c r="J194" i="176"/>
  <c r="P195" i="176"/>
  <c r="Q41" i="176"/>
  <c r="P40" i="176"/>
  <c r="Q90" i="176"/>
  <c r="P89" i="176"/>
  <c r="S90" i="176"/>
  <c r="J302" i="176"/>
  <c r="J313" i="176" s="1"/>
  <c r="Q195" i="176" l="1"/>
  <c r="P194" i="176"/>
  <c r="Q259" i="176"/>
  <c r="P258" i="176"/>
  <c r="P302" i="176"/>
  <c r="P314" i="176" s="1"/>
  <c r="P222" i="176"/>
  <c r="Q223" i="176"/>
  <c r="F316" i="176" l="1"/>
  <c r="P313" i="176"/>
  <c r="R302" i="176"/>
  <c r="G200" i="167" l="1"/>
  <c r="J220" i="166"/>
  <c r="K238" i="165"/>
  <c r="K238" i="177" s="1"/>
  <c r="R238" i="177" s="1"/>
  <c r="H215" i="167"/>
  <c r="F262" i="165"/>
  <c r="F262" i="177" s="1"/>
  <c r="J31" i="166"/>
  <c r="K45" i="165"/>
  <c r="K45" i="177" s="1"/>
  <c r="R45" i="177" s="1"/>
  <c r="F45" i="165"/>
  <c r="F45" i="177" s="1"/>
  <c r="K209" i="166"/>
  <c r="J209" i="166"/>
  <c r="K235" i="165"/>
  <c r="K235" i="177" s="1"/>
  <c r="R235" i="177" s="1"/>
  <c r="R238" i="165" l="1"/>
  <c r="J199" i="167"/>
  <c r="K207" i="166"/>
  <c r="D48" i="170" l="1"/>
  <c r="F37" i="172" l="1"/>
  <c r="H45" i="165" l="1"/>
  <c r="H45" i="177" s="1"/>
  <c r="H304" i="165"/>
  <c r="F251" i="165"/>
  <c r="F251" i="177" s="1"/>
  <c r="F16" i="172"/>
  <c r="J23" i="166"/>
  <c r="G221" i="167"/>
  <c r="F265" i="165"/>
  <c r="F265" i="177" s="1"/>
  <c r="F39" i="165"/>
  <c r="F39" i="177" s="1"/>
  <c r="O304" i="165" l="1"/>
  <c r="L304" i="165"/>
  <c r="O215" i="165"/>
  <c r="O215" i="177" s="1"/>
  <c r="L215" i="165"/>
  <c r="L215" i="177" s="1"/>
  <c r="C16" i="172" l="1"/>
  <c r="C15" i="172"/>
  <c r="C37" i="172" s="1"/>
  <c r="F32" i="172"/>
  <c r="D32" i="172"/>
  <c r="E32" i="172"/>
  <c r="F36" i="172"/>
  <c r="E36" i="172"/>
  <c r="D36" i="172"/>
  <c r="G36" i="167" l="1"/>
  <c r="E37" i="172" l="1"/>
  <c r="D37" i="172"/>
  <c r="C32" i="172"/>
  <c r="E15" i="172"/>
  <c r="D15" i="172"/>
  <c r="C29" i="172"/>
  <c r="E19" i="172"/>
  <c r="F304" i="165" l="1"/>
  <c r="K304" i="165" l="1"/>
  <c r="J304" i="165"/>
  <c r="G304" i="165"/>
  <c r="D57" i="170"/>
  <c r="D56" i="170" s="1"/>
  <c r="D47" i="170"/>
  <c r="D60" i="170" s="1"/>
  <c r="D32" i="170" l="1"/>
  <c r="H21" i="167"/>
  <c r="J30" i="167"/>
  <c r="G35" i="167"/>
  <c r="G34" i="167"/>
  <c r="G33" i="167"/>
  <c r="G32" i="167"/>
  <c r="G31" i="167"/>
  <c r="H30" i="167"/>
  <c r="I30" i="167"/>
  <c r="J13" i="166"/>
  <c r="R39" i="165"/>
  <c r="J16" i="166"/>
  <c r="K39" i="165"/>
  <c r="K39" i="177" s="1"/>
  <c r="R39" i="177" s="1"/>
  <c r="J17" i="167"/>
  <c r="I17" i="167"/>
  <c r="J14" i="166"/>
  <c r="K19" i="165"/>
  <c r="K19" i="177" s="1"/>
  <c r="R19" i="177" s="1"/>
  <c r="E39" i="165"/>
  <c r="O39" i="165"/>
  <c r="E111" i="171"/>
  <c r="H41" i="166"/>
  <c r="K41" i="166" s="1"/>
  <c r="G220" i="167"/>
  <c r="J228" i="166"/>
  <c r="J227" i="166"/>
  <c r="J39" i="165" l="1"/>
  <c r="O39" i="177"/>
  <c r="K30" i="167"/>
  <c r="E39" i="177"/>
  <c r="M30" i="167"/>
  <c r="E47" i="170"/>
  <c r="P39" i="165"/>
  <c r="P39" i="177" s="1"/>
  <c r="I41" i="166"/>
  <c r="J39" i="177" l="1"/>
  <c r="E56" i="170"/>
  <c r="L30" i="167"/>
  <c r="K25" i="166"/>
  <c r="I25" i="166"/>
  <c r="F22" i="165"/>
  <c r="F19" i="165"/>
  <c r="F19" i="177" s="1"/>
  <c r="R62" i="165"/>
  <c r="F62" i="165"/>
  <c r="F62" i="177" s="1"/>
  <c r="H62" i="165"/>
  <c r="H62" i="177" s="1"/>
  <c r="G62" i="165"/>
  <c r="G62" i="177" s="1"/>
  <c r="F57" i="165"/>
  <c r="F57" i="177" s="1"/>
  <c r="H57" i="165"/>
  <c r="H57" i="177" s="1"/>
  <c r="R60" i="165"/>
  <c r="F60" i="165"/>
  <c r="F60" i="177" s="1"/>
  <c r="L54" i="165"/>
  <c r="L54" i="177" s="1"/>
  <c r="F54" i="165"/>
  <c r="F54" i="177" s="1"/>
  <c r="H54" i="165"/>
  <c r="H54" i="177" s="1"/>
  <c r="G54" i="165"/>
  <c r="G54" i="177" s="1"/>
  <c r="F67" i="165"/>
  <c r="J67" i="166"/>
  <c r="K52" i="165"/>
  <c r="K52" i="177" s="1"/>
  <c r="R52" i="177" s="1"/>
  <c r="F52" i="165"/>
  <c r="F52" i="177" s="1"/>
  <c r="G52" i="165"/>
  <c r="G52" i="177" s="1"/>
  <c r="H52" i="165"/>
  <c r="H52" i="177" s="1"/>
  <c r="R52" i="165" l="1"/>
  <c r="F22" i="177"/>
  <c r="K53" i="166"/>
  <c r="K65" i="166"/>
  <c r="I65" i="166"/>
  <c r="K51" i="165"/>
  <c r="K49" i="165" s="1"/>
  <c r="K49" i="177" s="1"/>
  <c r="N49" i="165"/>
  <c r="N49" i="177" s="1"/>
  <c r="M49" i="165"/>
  <c r="M49" i="177" s="1"/>
  <c r="L49" i="165"/>
  <c r="L49" i="177" s="1"/>
  <c r="I49" i="165"/>
  <c r="I49" i="177" s="1"/>
  <c r="H49" i="165"/>
  <c r="H49" i="177" s="1"/>
  <c r="G49" i="165"/>
  <c r="G49" i="177" s="1"/>
  <c r="F49" i="165"/>
  <c r="F49" i="177" s="1"/>
  <c r="E51" i="165"/>
  <c r="E51" i="177" s="1"/>
  <c r="J56" i="166"/>
  <c r="J55" i="166"/>
  <c r="K46" i="165"/>
  <c r="K46" i="177" s="1"/>
  <c r="R46" i="177" s="1"/>
  <c r="H46" i="165"/>
  <c r="H46" i="177" s="1"/>
  <c r="G46" i="165"/>
  <c r="G46" i="177" s="1"/>
  <c r="F46" i="165"/>
  <c r="F46" i="177" s="1"/>
  <c r="I54" i="166"/>
  <c r="R45" i="165"/>
  <c r="O45" i="165"/>
  <c r="O45" i="177" s="1"/>
  <c r="L45" i="165"/>
  <c r="L45" i="177" s="1"/>
  <c r="J21" i="166"/>
  <c r="J20" i="166"/>
  <c r="K43" i="165"/>
  <c r="K43" i="177" s="1"/>
  <c r="R43" i="177" s="1"/>
  <c r="H43" i="165"/>
  <c r="H43" i="177" s="1"/>
  <c r="G43" i="165"/>
  <c r="G43" i="177" s="1"/>
  <c r="F43" i="165"/>
  <c r="F43" i="177" s="1"/>
  <c r="J159" i="167"/>
  <c r="O185" i="165"/>
  <c r="E185" i="165"/>
  <c r="E185" i="177" s="1"/>
  <c r="F182" i="165"/>
  <c r="F182" i="177" s="1"/>
  <c r="H159" i="167" l="1"/>
  <c r="E49" i="165"/>
  <c r="E49" i="177" s="1"/>
  <c r="O51" i="165"/>
  <c r="K51" i="177"/>
  <c r="R51" i="177" s="1"/>
  <c r="H47" i="167"/>
  <c r="J185" i="165"/>
  <c r="O185" i="177"/>
  <c r="J47" i="167"/>
  <c r="R51" i="165"/>
  <c r="R46" i="165"/>
  <c r="R43" i="165"/>
  <c r="J51" i="165"/>
  <c r="K54" i="165"/>
  <c r="K54" i="177" s="1"/>
  <c r="R54" i="177" s="1"/>
  <c r="I70" i="166"/>
  <c r="R54" i="165" l="1"/>
  <c r="O49" i="165"/>
  <c r="O49" i="177" s="1"/>
  <c r="O51" i="177"/>
  <c r="P185" i="165"/>
  <c r="P185" i="177" s="1"/>
  <c r="J185" i="177"/>
  <c r="I159" i="167"/>
  <c r="G159" i="167" s="1"/>
  <c r="J49" i="165"/>
  <c r="J51" i="177"/>
  <c r="I47" i="167"/>
  <c r="G47" i="167" s="1"/>
  <c r="P51" i="165"/>
  <c r="P51" i="177" s="1"/>
  <c r="P49" i="165" l="1"/>
  <c r="P49" i="177" s="1"/>
  <c r="J49" i="177"/>
  <c r="K69" i="166"/>
  <c r="K29" i="166"/>
  <c r="R236" i="165" l="1"/>
  <c r="R233" i="165"/>
  <c r="J195" i="167"/>
  <c r="J193" i="167"/>
  <c r="N224" i="165" l="1"/>
  <c r="N224" i="177" s="1"/>
  <c r="M224" i="165"/>
  <c r="M224" i="177" s="1"/>
  <c r="L224" i="165"/>
  <c r="L224" i="177" s="1"/>
  <c r="K224" i="165"/>
  <c r="K224" i="177" s="1"/>
  <c r="I224" i="165"/>
  <c r="I224" i="177" s="1"/>
  <c r="G224" i="165"/>
  <c r="G224" i="177" s="1"/>
  <c r="O227" i="165"/>
  <c r="E227" i="165"/>
  <c r="O233" i="165"/>
  <c r="E233" i="165"/>
  <c r="I185" i="166"/>
  <c r="I183" i="166"/>
  <c r="I171" i="166"/>
  <c r="I159" i="166"/>
  <c r="I147" i="166"/>
  <c r="I146" i="166"/>
  <c r="I145" i="166"/>
  <c r="J233" i="165" l="1"/>
  <c r="O233" i="177"/>
  <c r="E227" i="177"/>
  <c r="H193" i="167"/>
  <c r="J227" i="165"/>
  <c r="O227" i="177"/>
  <c r="E233" i="177"/>
  <c r="H195" i="167"/>
  <c r="P233" i="165"/>
  <c r="P233" i="177" s="1"/>
  <c r="R107" i="165"/>
  <c r="J95" i="166"/>
  <c r="K106" i="165"/>
  <c r="K106" i="177" s="1"/>
  <c r="R106" i="177" s="1"/>
  <c r="H100" i="166"/>
  <c r="I100" i="166" s="1"/>
  <c r="K125" i="165"/>
  <c r="N124" i="165"/>
  <c r="M124" i="165"/>
  <c r="L124" i="165"/>
  <c r="K124" i="165"/>
  <c r="I124" i="165"/>
  <c r="H124" i="165"/>
  <c r="G124" i="165"/>
  <c r="F124" i="165"/>
  <c r="G88" i="167"/>
  <c r="R106" i="165" l="1"/>
  <c r="H123" i="165"/>
  <c r="H123" i="177" s="1"/>
  <c r="H124" i="177"/>
  <c r="M123" i="165"/>
  <c r="M123" i="177" s="1"/>
  <c r="M124" i="177"/>
  <c r="I123" i="165"/>
  <c r="I123" i="177" s="1"/>
  <c r="I124" i="177"/>
  <c r="N123" i="165"/>
  <c r="N123" i="177" s="1"/>
  <c r="N124" i="177"/>
  <c r="P227" i="165"/>
  <c r="P227" i="177" s="1"/>
  <c r="J227" i="177"/>
  <c r="I193" i="167"/>
  <c r="G193" i="167" s="1"/>
  <c r="K123" i="165"/>
  <c r="K123" i="177" s="1"/>
  <c r="K124" i="177"/>
  <c r="F123" i="165"/>
  <c r="F123" i="177" s="1"/>
  <c r="F124" i="177"/>
  <c r="O125" i="165"/>
  <c r="O125" i="177" s="1"/>
  <c r="K125" i="177"/>
  <c r="R125" i="177" s="1"/>
  <c r="J113" i="167"/>
  <c r="G123" i="165"/>
  <c r="G123" i="177" s="1"/>
  <c r="G124" i="177"/>
  <c r="L123" i="165"/>
  <c r="L123" i="177" s="1"/>
  <c r="L124" i="177"/>
  <c r="R125" i="165"/>
  <c r="J233" i="177"/>
  <c r="I195" i="167"/>
  <c r="G195" i="167" s="1"/>
  <c r="J125" i="165"/>
  <c r="I209" i="166"/>
  <c r="I207" i="166"/>
  <c r="O124" i="165" l="1"/>
  <c r="J125" i="177"/>
  <c r="I113" i="167"/>
  <c r="J124" i="165"/>
  <c r="I93" i="166"/>
  <c r="J123" i="165" l="1"/>
  <c r="J123" i="177" s="1"/>
  <c r="J124" i="177"/>
  <c r="O123" i="165"/>
  <c r="O123" i="177" s="1"/>
  <c r="O124" i="177"/>
  <c r="K92" i="165"/>
  <c r="K92" i="177" s="1"/>
  <c r="R92" i="177" s="1"/>
  <c r="F108" i="165"/>
  <c r="F108" i="177" s="1"/>
  <c r="F118" i="165"/>
  <c r="F118" i="177" s="1"/>
  <c r="F117" i="165"/>
  <c r="F117" i="177" s="1"/>
  <c r="F107" i="165"/>
  <c r="F107" i="177" s="1"/>
  <c r="H106" i="165"/>
  <c r="H106" i="177" s="1"/>
  <c r="F106" i="165"/>
  <c r="F106" i="177" s="1"/>
  <c r="J97" i="167"/>
  <c r="O103" i="165"/>
  <c r="E103" i="165"/>
  <c r="J89" i="167"/>
  <c r="J90" i="167"/>
  <c r="N91" i="165"/>
  <c r="N91" i="177" s="1"/>
  <c r="M91" i="165"/>
  <c r="M91" i="177" s="1"/>
  <c r="L91" i="165"/>
  <c r="L91" i="177" s="1"/>
  <c r="I91" i="165"/>
  <c r="I91" i="177" s="1"/>
  <c r="G91" i="165"/>
  <c r="G91" i="177" s="1"/>
  <c r="J94" i="165"/>
  <c r="E94" i="165"/>
  <c r="E94" i="177" s="1"/>
  <c r="I90" i="167" l="1"/>
  <c r="J94" i="177"/>
  <c r="H97" i="167"/>
  <c r="E103" i="177"/>
  <c r="J103" i="165"/>
  <c r="O103" i="177"/>
  <c r="K91" i="165"/>
  <c r="K91" i="177" s="1"/>
  <c r="R92" i="165"/>
  <c r="P94" i="165"/>
  <c r="P94" i="177" s="1"/>
  <c r="H90" i="167"/>
  <c r="I97" i="167" l="1"/>
  <c r="G97" i="167" s="1"/>
  <c r="J103" i="177"/>
  <c r="G90" i="167"/>
  <c r="P103" i="165"/>
  <c r="P103" i="177" s="1"/>
  <c r="K205" i="165"/>
  <c r="K205" i="177" s="1"/>
  <c r="R205" i="177" s="1"/>
  <c r="R212" i="165"/>
  <c r="F221" i="165"/>
  <c r="G221" i="165"/>
  <c r="H221" i="165"/>
  <c r="H220" i="165"/>
  <c r="H220" i="177" s="1"/>
  <c r="G220" i="165"/>
  <c r="G220" i="177" s="1"/>
  <c r="F220" i="165"/>
  <c r="F220" i="177" s="1"/>
  <c r="K213" i="165"/>
  <c r="K213" i="177" s="1"/>
  <c r="R213" i="177" s="1"/>
  <c r="O210" i="165"/>
  <c r="O210" i="177" s="1"/>
  <c r="K208" i="165"/>
  <c r="K208" i="177" s="1"/>
  <c r="R208" i="177" s="1"/>
  <c r="F210" i="165"/>
  <c r="F210" i="177" s="1"/>
  <c r="F205" i="165"/>
  <c r="F205" i="177" s="1"/>
  <c r="J163" i="167"/>
  <c r="R190" i="165"/>
  <c r="O190" i="165"/>
  <c r="E190" i="165"/>
  <c r="K195" i="166"/>
  <c r="K194" i="166"/>
  <c r="K193" i="166"/>
  <c r="I193" i="166"/>
  <c r="J189" i="166"/>
  <c r="I189" i="166"/>
  <c r="J188" i="166"/>
  <c r="J187" i="166"/>
  <c r="J186" i="166"/>
  <c r="K186" i="166" s="1"/>
  <c r="K185" i="166"/>
  <c r="J184" i="166"/>
  <c r="J167" i="166" s="1"/>
  <c r="K183" i="166"/>
  <c r="K182" i="166"/>
  <c r="K181" i="166"/>
  <c r="K175" i="166"/>
  <c r="K171" i="166"/>
  <c r="K166" i="166"/>
  <c r="J160" i="166"/>
  <c r="J159" i="166"/>
  <c r="K159" i="166" s="1"/>
  <c r="K158" i="166"/>
  <c r="K151" i="166"/>
  <c r="I151" i="166"/>
  <c r="J148" i="166"/>
  <c r="K147" i="166"/>
  <c r="J146" i="166"/>
  <c r="K146" i="166" s="1"/>
  <c r="J145" i="166"/>
  <c r="K145" i="166" s="1"/>
  <c r="J144" i="166"/>
  <c r="J142" i="166"/>
  <c r="R189" i="165"/>
  <c r="R183" i="165"/>
  <c r="R182" i="165"/>
  <c r="H163" i="167" l="1"/>
  <c r="E190" i="177"/>
  <c r="J190" i="165"/>
  <c r="P190" i="165" s="1"/>
  <c r="P190" i="177" s="1"/>
  <c r="O190" i="177"/>
  <c r="R208" i="165"/>
  <c r="R213" i="165"/>
  <c r="R205" i="165"/>
  <c r="J157" i="166"/>
  <c r="R210" i="165"/>
  <c r="J140" i="166"/>
  <c r="J138" i="166" s="1"/>
  <c r="K135" i="166"/>
  <c r="J134" i="166"/>
  <c r="K132" i="166"/>
  <c r="I132" i="166"/>
  <c r="J128" i="166"/>
  <c r="I163" i="167" l="1"/>
  <c r="G163" i="167" s="1"/>
  <c r="J190" i="177"/>
  <c r="J125" i="166"/>
  <c r="J124" i="166" s="1"/>
  <c r="F92" i="165"/>
  <c r="F91" i="165" l="1"/>
  <c r="F91" i="177" s="1"/>
  <c r="F92" i="177"/>
  <c r="J86" i="166"/>
  <c r="K89" i="166" l="1"/>
  <c r="J80" i="166"/>
  <c r="F74" i="165"/>
  <c r="F74" i="177" s="1"/>
  <c r="F76" i="165"/>
  <c r="F76" i="177" s="1"/>
  <c r="F75" i="165"/>
  <c r="F75" i="177" s="1"/>
  <c r="F73" i="165"/>
  <c r="F73" i="177" s="1"/>
  <c r="J131" i="167"/>
  <c r="R144" i="165" l="1"/>
  <c r="K110" i="166"/>
  <c r="O144" i="165"/>
  <c r="O144" i="177" s="1"/>
  <c r="E144" i="165"/>
  <c r="E143" i="165" s="1"/>
  <c r="N143" i="165"/>
  <c r="M143" i="165"/>
  <c r="M143" i="177" s="1"/>
  <c r="L143" i="165"/>
  <c r="L143" i="177" s="1"/>
  <c r="K143" i="165"/>
  <c r="K143" i="177" s="1"/>
  <c r="I143" i="165"/>
  <c r="H143" i="165"/>
  <c r="G143" i="165"/>
  <c r="F143" i="165"/>
  <c r="M142" i="165"/>
  <c r="M142" i="177" s="1"/>
  <c r="L142" i="165"/>
  <c r="L142" i="177" s="1"/>
  <c r="K142" i="165"/>
  <c r="K142" i="177" s="1"/>
  <c r="F135" i="165"/>
  <c r="F135" i="177" s="1"/>
  <c r="F140" i="165"/>
  <c r="F140" i="177" s="1"/>
  <c r="J107" i="166"/>
  <c r="K137" i="165"/>
  <c r="K137" i="177" s="1"/>
  <c r="R137" i="177" s="1"/>
  <c r="J108" i="166"/>
  <c r="J109" i="166"/>
  <c r="K138" i="165"/>
  <c r="K138" i="177" s="1"/>
  <c r="R138" i="177" s="1"/>
  <c r="G138" i="165"/>
  <c r="G138" i="177" s="1"/>
  <c r="F138" i="165"/>
  <c r="F138" i="177" s="1"/>
  <c r="R133" i="165"/>
  <c r="H103" i="166"/>
  <c r="K103" i="166" s="1"/>
  <c r="G122" i="167"/>
  <c r="E142" i="165" l="1"/>
  <c r="E142" i="177" s="1"/>
  <c r="E143" i="177"/>
  <c r="I142" i="165"/>
  <c r="I142" i="177" s="1"/>
  <c r="I143" i="177"/>
  <c r="N142" i="165"/>
  <c r="N142" i="177" s="1"/>
  <c r="N143" i="177"/>
  <c r="F142" i="165"/>
  <c r="F142" i="177" s="1"/>
  <c r="F143" i="177"/>
  <c r="H131" i="167"/>
  <c r="E144" i="177"/>
  <c r="G142" i="165"/>
  <c r="G142" i="177" s="1"/>
  <c r="G143" i="177"/>
  <c r="H142" i="165"/>
  <c r="H142" i="177" s="1"/>
  <c r="H143" i="177"/>
  <c r="R137" i="165"/>
  <c r="I103" i="166"/>
  <c r="O143" i="165"/>
  <c r="J144" i="165"/>
  <c r="J144" i="177" s="1"/>
  <c r="O142" i="165" l="1"/>
  <c r="O142" i="177" s="1"/>
  <c r="O143" i="177"/>
  <c r="J143" i="165"/>
  <c r="I131" i="167"/>
  <c r="G131" i="167" s="1"/>
  <c r="P144" i="165"/>
  <c r="J142" i="165" l="1"/>
  <c r="J142" i="177" s="1"/>
  <c r="J143" i="177"/>
  <c r="P143" i="165"/>
  <c r="P144" i="177"/>
  <c r="J104" i="166"/>
  <c r="J102" i="166" s="1"/>
  <c r="K136" i="165"/>
  <c r="K136" i="177" s="1"/>
  <c r="R136" i="177" s="1"/>
  <c r="F136" i="165"/>
  <c r="F136" i="177" s="1"/>
  <c r="P142" i="165" l="1"/>
  <c r="P142" i="177" s="1"/>
  <c r="P143" i="177"/>
  <c r="G233" i="167"/>
  <c r="J240" i="166"/>
  <c r="Q284" i="165"/>
  <c r="J225" i="167"/>
  <c r="I225" i="167"/>
  <c r="J238" i="166"/>
  <c r="K272" i="165"/>
  <c r="K272" i="177" s="1"/>
  <c r="R272" i="177" s="1"/>
  <c r="J209" i="167"/>
  <c r="I209" i="167"/>
  <c r="J231" i="166"/>
  <c r="K251" i="165"/>
  <c r="K251" i="177" s="1"/>
  <c r="R251" i="177" s="1"/>
  <c r="J152" i="167"/>
  <c r="I152" i="167"/>
  <c r="K178" i="165"/>
  <c r="K178" i="177" s="1"/>
  <c r="R178" i="177" s="1"/>
  <c r="F243" i="165"/>
  <c r="F243" i="177" s="1"/>
  <c r="F225" i="165"/>
  <c r="H178" i="165"/>
  <c r="H178" i="177" s="1"/>
  <c r="F178" i="165"/>
  <c r="F178" i="177" s="1"/>
  <c r="F197" i="165"/>
  <c r="F197" i="177" s="1"/>
  <c r="L29" i="165"/>
  <c r="L29" i="177" s="1"/>
  <c r="D27" i="108"/>
  <c r="D24" i="108"/>
  <c r="H218" i="167"/>
  <c r="F225" i="177" l="1"/>
  <c r="F224" i="165"/>
  <c r="F224" i="177" s="1"/>
  <c r="J26" i="167"/>
  <c r="J31" i="165" l="1"/>
  <c r="J29" i="165"/>
  <c r="J29" i="177" s="1"/>
  <c r="O28" i="165"/>
  <c r="O28" i="177" s="1"/>
  <c r="L28" i="165"/>
  <c r="L28" i="177" s="1"/>
  <c r="F28" i="165"/>
  <c r="F28" i="177" s="1"/>
  <c r="N28" i="165"/>
  <c r="N28" i="177" s="1"/>
  <c r="M28" i="165"/>
  <c r="M28" i="177" s="1"/>
  <c r="K28" i="165"/>
  <c r="K28" i="177" s="1"/>
  <c r="I28" i="165"/>
  <c r="I28" i="177" s="1"/>
  <c r="H28" i="165"/>
  <c r="H28" i="177" s="1"/>
  <c r="G28" i="165"/>
  <c r="G28" i="177" s="1"/>
  <c r="E31" i="165"/>
  <c r="I26" i="167" l="1"/>
  <c r="J31" i="177"/>
  <c r="H26" i="167"/>
  <c r="G26" i="167" s="1"/>
  <c r="E31" i="177"/>
  <c r="J28" i="165"/>
  <c r="J28" i="177" s="1"/>
  <c r="P31" i="165"/>
  <c r="P31" i="177" s="1"/>
  <c r="J206" i="167"/>
  <c r="R247" i="165" l="1"/>
  <c r="J225" i="166"/>
  <c r="O247" i="165"/>
  <c r="E247" i="165"/>
  <c r="E247" i="177" s="1"/>
  <c r="N246" i="165"/>
  <c r="N246" i="177" s="1"/>
  <c r="M246" i="165"/>
  <c r="M246" i="177" s="1"/>
  <c r="L246" i="165"/>
  <c r="L246" i="177" s="1"/>
  <c r="K246" i="165"/>
  <c r="I246" i="165"/>
  <c r="H246" i="165"/>
  <c r="H246" i="177" s="1"/>
  <c r="G246" i="165"/>
  <c r="F246" i="165"/>
  <c r="N245" i="165"/>
  <c r="N245" i="177" s="1"/>
  <c r="M245" i="165"/>
  <c r="M245" i="177" s="1"/>
  <c r="L245" i="165"/>
  <c r="L245" i="177" s="1"/>
  <c r="H245" i="165"/>
  <c r="H245" i="177" s="1"/>
  <c r="L280" i="165"/>
  <c r="L280" i="177" s="1"/>
  <c r="L279" i="165"/>
  <c r="L279" i="177" s="1"/>
  <c r="L278" i="165"/>
  <c r="L278" i="177" s="1"/>
  <c r="L277" i="165"/>
  <c r="L277" i="177" s="1"/>
  <c r="F25" i="153"/>
  <c r="F17" i="153"/>
  <c r="F14" i="153"/>
  <c r="F13" i="153"/>
  <c r="F29" i="153" s="1"/>
  <c r="F245" i="165" l="1"/>
  <c r="F245" i="177" s="1"/>
  <c r="F246" i="177"/>
  <c r="K245" i="165"/>
  <c r="K245" i="177" s="1"/>
  <c r="K246" i="177"/>
  <c r="J247" i="165"/>
  <c r="O247" i="177"/>
  <c r="G245" i="165"/>
  <c r="G245" i="177" s="1"/>
  <c r="G246" i="177"/>
  <c r="I245" i="165"/>
  <c r="I245" i="177" s="1"/>
  <c r="I246" i="177"/>
  <c r="E246" i="165"/>
  <c r="H206" i="167"/>
  <c r="O246" i="165"/>
  <c r="P247" i="165"/>
  <c r="J246" i="165"/>
  <c r="J214" i="166"/>
  <c r="E245" i="165" l="1"/>
  <c r="E245" i="177" s="1"/>
  <c r="E246" i="177"/>
  <c r="J245" i="165"/>
  <c r="J245" i="177" s="1"/>
  <c r="J246" i="177"/>
  <c r="P246" i="165"/>
  <c r="P247" i="177"/>
  <c r="O245" i="165"/>
  <c r="O245" i="177" s="1"/>
  <c r="O246" i="177"/>
  <c r="I206" i="167"/>
  <c r="G206" i="167" s="1"/>
  <c r="J247" i="177"/>
  <c r="J216" i="166"/>
  <c r="J207" i="166"/>
  <c r="P245" i="165" l="1"/>
  <c r="P245" i="177" s="1"/>
  <c r="P246" i="177"/>
  <c r="R235" i="165"/>
  <c r="D23" i="170"/>
  <c r="D31" i="170"/>
  <c r="D58" i="170"/>
  <c r="D51" i="170" l="1"/>
  <c r="J233" i="166"/>
  <c r="J222" i="167" l="1"/>
  <c r="J214" i="167" s="1"/>
  <c r="O268" i="165" l="1"/>
  <c r="E268" i="165"/>
  <c r="N267" i="165"/>
  <c r="N267" i="177" s="1"/>
  <c r="M267" i="165"/>
  <c r="M267" i="177" s="1"/>
  <c r="L267" i="165"/>
  <c r="K267" i="165"/>
  <c r="I267" i="165"/>
  <c r="H267" i="165"/>
  <c r="G267" i="165"/>
  <c r="F267" i="165"/>
  <c r="N266" i="165"/>
  <c r="N266" i="177" s="1"/>
  <c r="M266" i="165"/>
  <c r="M266" i="177" s="1"/>
  <c r="F167" i="165"/>
  <c r="F167" i="177" s="1"/>
  <c r="K174" i="165"/>
  <c r="K174" i="177" s="1"/>
  <c r="R174" i="177" s="1"/>
  <c r="F152" i="165"/>
  <c r="F152" i="177" s="1"/>
  <c r="F171" i="165"/>
  <c r="F171" i="177" s="1"/>
  <c r="G17" i="107"/>
  <c r="F166" i="165"/>
  <c r="F166" i="177" s="1"/>
  <c r="F158" i="165"/>
  <c r="F158" i="177" s="1"/>
  <c r="F155" i="165"/>
  <c r="F155" i="177" s="1"/>
  <c r="L154" i="165"/>
  <c r="L154" i="177" s="1"/>
  <c r="K163" i="165"/>
  <c r="K163" i="177" s="1"/>
  <c r="R163" i="177" s="1"/>
  <c r="J114" i="166"/>
  <c r="F163" i="165"/>
  <c r="F163" i="177" s="1"/>
  <c r="J117" i="166"/>
  <c r="K117" i="166" s="1"/>
  <c r="I117" i="166"/>
  <c r="J122" i="166"/>
  <c r="I122" i="166"/>
  <c r="J118" i="166"/>
  <c r="H266" i="165" l="1"/>
  <c r="H266" i="177" s="1"/>
  <c r="H267" i="177"/>
  <c r="I266" i="165"/>
  <c r="I266" i="177" s="1"/>
  <c r="I267" i="177"/>
  <c r="F266" i="165"/>
  <c r="F266" i="177" s="1"/>
  <c r="F267" i="177"/>
  <c r="K266" i="165"/>
  <c r="K266" i="177" s="1"/>
  <c r="K267" i="177"/>
  <c r="H222" i="167"/>
  <c r="E268" i="177"/>
  <c r="E51" i="170"/>
  <c r="G266" i="165"/>
  <c r="G266" i="177" s="1"/>
  <c r="G267" i="177"/>
  <c r="L266" i="165"/>
  <c r="L266" i="177" s="1"/>
  <c r="L267" i="177"/>
  <c r="J268" i="165"/>
  <c r="O268" i="177"/>
  <c r="R163" i="165"/>
  <c r="J112" i="166"/>
  <c r="O267" i="165"/>
  <c r="E267" i="165"/>
  <c r="J268" i="177" l="1"/>
  <c r="E58" i="170"/>
  <c r="E266" i="165"/>
  <c r="E266" i="177" s="1"/>
  <c r="E267" i="177"/>
  <c r="J267" i="165"/>
  <c r="I222" i="167"/>
  <c r="I214" i="167" s="1"/>
  <c r="P268" i="165"/>
  <c r="O266" i="165"/>
  <c r="O266" i="177" s="1"/>
  <c r="O267" i="177"/>
  <c r="G222" i="167"/>
  <c r="F15" i="172"/>
  <c r="P267" i="165" l="1"/>
  <c r="P268" i="177"/>
  <c r="J266" i="165"/>
  <c r="J266" i="177" s="1"/>
  <c r="J267" i="177"/>
  <c r="C109" i="171"/>
  <c r="C108" i="171"/>
  <c r="C107" i="171"/>
  <c r="C110" i="171"/>
  <c r="D107" i="171"/>
  <c r="D103" i="171" s="1"/>
  <c r="P266" i="165" l="1"/>
  <c r="P266" i="177" s="1"/>
  <c r="P267" i="177"/>
  <c r="I223" i="166"/>
  <c r="K222" i="166"/>
  <c r="I222" i="166"/>
  <c r="I216" i="166"/>
  <c r="K215" i="166"/>
  <c r="I215" i="166"/>
  <c r="K214" i="166"/>
  <c r="I214" i="166"/>
  <c r="I213" i="166"/>
  <c r="K211" i="166"/>
  <c r="I211" i="166"/>
  <c r="J102" i="167" l="1"/>
  <c r="N109" i="165"/>
  <c r="N109" i="177" s="1"/>
  <c r="M109" i="165"/>
  <c r="M109" i="177" s="1"/>
  <c r="L109" i="165"/>
  <c r="L109" i="177" s="1"/>
  <c r="K109" i="165"/>
  <c r="I109" i="165"/>
  <c r="I109" i="177" s="1"/>
  <c r="H109" i="165"/>
  <c r="H109" i="177" s="1"/>
  <c r="G109" i="165"/>
  <c r="G109" i="177" s="1"/>
  <c r="F109" i="165"/>
  <c r="J98" i="167"/>
  <c r="J96" i="167"/>
  <c r="E109" i="165" l="1"/>
  <c r="E109" i="177" s="1"/>
  <c r="F109" i="177"/>
  <c r="O109" i="165"/>
  <c r="O109" i="177" s="1"/>
  <c r="K109" i="177"/>
  <c r="G20" i="165"/>
  <c r="G20" i="177" s="1"/>
  <c r="G19" i="165"/>
  <c r="G19" i="177" s="1"/>
  <c r="J109" i="165" l="1"/>
  <c r="F20" i="165"/>
  <c r="F20" i="177" l="1"/>
  <c r="F18" i="165"/>
  <c r="F18" i="177" s="1"/>
  <c r="P109" i="165"/>
  <c r="P109" i="177" s="1"/>
  <c r="J109" i="177"/>
  <c r="J175" i="167"/>
  <c r="G177" i="167"/>
  <c r="D21" i="170" l="1"/>
  <c r="D20" i="170" s="1"/>
  <c r="K216" i="166" l="1"/>
  <c r="J223" i="166"/>
  <c r="K239" i="165"/>
  <c r="K239" i="177" s="1"/>
  <c r="R239" i="177" s="1"/>
  <c r="K223" i="166" l="1"/>
  <c r="R239" i="165"/>
  <c r="J204" i="166"/>
  <c r="K230" i="165"/>
  <c r="K230" i="177" s="1"/>
  <c r="R230" i="177" s="1"/>
  <c r="F79" i="165"/>
  <c r="F79" i="177" s="1"/>
  <c r="R230" i="165" l="1"/>
  <c r="H272" i="165" l="1"/>
  <c r="H272" i="177" s="1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300" i="165"/>
  <c r="M300" i="165"/>
  <c r="L300" i="165"/>
  <c r="L300" i="177" s="1"/>
  <c r="K300" i="165"/>
  <c r="I300" i="165"/>
  <c r="H300" i="165"/>
  <c r="G300" i="165"/>
  <c r="G300" i="177" s="1"/>
  <c r="F300" i="165"/>
  <c r="L299" i="165"/>
  <c r="L299" i="177" s="1"/>
  <c r="G299" i="165"/>
  <c r="G299" i="177" s="1"/>
  <c r="N297" i="165"/>
  <c r="M297" i="165"/>
  <c r="L297" i="165"/>
  <c r="K297" i="165"/>
  <c r="I297" i="165"/>
  <c r="H297" i="165"/>
  <c r="G297" i="165"/>
  <c r="F297" i="165"/>
  <c r="E296" i="165"/>
  <c r="E296" i="177" s="1"/>
  <c r="O296" i="165"/>
  <c r="N292" i="165"/>
  <c r="N292" i="177" s="1"/>
  <c r="M292" i="165"/>
  <c r="M292" i="177" s="1"/>
  <c r="L292" i="165"/>
  <c r="L292" i="177" s="1"/>
  <c r="K292" i="165"/>
  <c r="K292" i="177" s="1"/>
  <c r="I292" i="165"/>
  <c r="G292" i="165"/>
  <c r="G292" i="177" s="1"/>
  <c r="O286" i="165"/>
  <c r="O286" i="177" s="1"/>
  <c r="N286" i="165"/>
  <c r="N286" i="177" s="1"/>
  <c r="M286" i="165"/>
  <c r="M286" i="177" s="1"/>
  <c r="L286" i="165"/>
  <c r="L286" i="177" s="1"/>
  <c r="K286" i="165"/>
  <c r="K286" i="177" s="1"/>
  <c r="I286" i="165"/>
  <c r="I286" i="177" s="1"/>
  <c r="H286" i="165"/>
  <c r="H286" i="177" s="1"/>
  <c r="G286" i="165"/>
  <c r="G286" i="177" s="1"/>
  <c r="F286" i="165"/>
  <c r="F286" i="177" s="1"/>
  <c r="N288" i="165"/>
  <c r="N288" i="177" s="1"/>
  <c r="M288" i="165"/>
  <c r="M288" i="177" s="1"/>
  <c r="L288" i="165"/>
  <c r="L288" i="177" s="1"/>
  <c r="K288" i="165"/>
  <c r="K288" i="177" s="1"/>
  <c r="I288" i="165"/>
  <c r="I288" i="177" s="1"/>
  <c r="H288" i="165"/>
  <c r="H288" i="177" s="1"/>
  <c r="G288" i="165"/>
  <c r="G288" i="177" s="1"/>
  <c r="F288" i="165"/>
  <c r="F288" i="177" s="1"/>
  <c r="N283" i="165"/>
  <c r="N283" i="177" s="1"/>
  <c r="M283" i="165"/>
  <c r="M283" i="177" s="1"/>
  <c r="L283" i="165"/>
  <c r="L283" i="177" s="1"/>
  <c r="K283" i="165"/>
  <c r="K283" i="177" s="1"/>
  <c r="I283" i="165"/>
  <c r="I283" i="177" s="1"/>
  <c r="G283" i="165"/>
  <c r="G283" i="177" s="1"/>
  <c r="F283" i="165"/>
  <c r="F283" i="177" s="1"/>
  <c r="N276" i="165"/>
  <c r="M276" i="165"/>
  <c r="L276" i="165"/>
  <c r="K276" i="165"/>
  <c r="I276" i="165"/>
  <c r="H276" i="165"/>
  <c r="G276" i="165"/>
  <c r="F276" i="165"/>
  <c r="N271" i="165"/>
  <c r="M271" i="165"/>
  <c r="L271" i="165"/>
  <c r="L271" i="177" s="1"/>
  <c r="K271" i="165"/>
  <c r="K271" i="177" s="1"/>
  <c r="I271" i="165"/>
  <c r="G271" i="165"/>
  <c r="G271" i="177" s="1"/>
  <c r="N63" i="165"/>
  <c r="N63" i="177" s="1"/>
  <c r="M63" i="165"/>
  <c r="M63" i="177" s="1"/>
  <c r="L63" i="165"/>
  <c r="L63" i="177" s="1"/>
  <c r="I63" i="165"/>
  <c r="I63" i="177" s="1"/>
  <c r="H63" i="165"/>
  <c r="H63" i="177" s="1"/>
  <c r="G63" i="165"/>
  <c r="G63" i="177" s="1"/>
  <c r="N59" i="165"/>
  <c r="N59" i="177" s="1"/>
  <c r="M59" i="165"/>
  <c r="M59" i="177" s="1"/>
  <c r="L59" i="165"/>
  <c r="L59" i="177" s="1"/>
  <c r="K59" i="165"/>
  <c r="K59" i="177" s="1"/>
  <c r="I59" i="165"/>
  <c r="I59" i="177" s="1"/>
  <c r="M56" i="165"/>
  <c r="M56" i="177" s="1"/>
  <c r="K56" i="165"/>
  <c r="K56" i="177" s="1"/>
  <c r="I56" i="165"/>
  <c r="I56" i="177" s="1"/>
  <c r="M53" i="165"/>
  <c r="M53" i="177" s="1"/>
  <c r="K53" i="165"/>
  <c r="K53" i="177" s="1"/>
  <c r="I53" i="165"/>
  <c r="I53" i="177" s="1"/>
  <c r="N47" i="165"/>
  <c r="N47" i="177" s="1"/>
  <c r="M47" i="165"/>
  <c r="M47" i="177" s="1"/>
  <c r="L47" i="165"/>
  <c r="L47" i="177" s="1"/>
  <c r="K47" i="165"/>
  <c r="K47" i="177" s="1"/>
  <c r="I47" i="165"/>
  <c r="I47" i="177" s="1"/>
  <c r="H47" i="165"/>
  <c r="H47" i="177" s="1"/>
  <c r="I44" i="165"/>
  <c r="N264" i="165"/>
  <c r="M264" i="165"/>
  <c r="L264" i="165"/>
  <c r="I264" i="165"/>
  <c r="H264" i="165"/>
  <c r="G264" i="165"/>
  <c r="N256" i="165"/>
  <c r="M256" i="165"/>
  <c r="L256" i="165"/>
  <c r="K256" i="165"/>
  <c r="I256" i="165"/>
  <c r="H256" i="165"/>
  <c r="G256" i="165"/>
  <c r="F256" i="165"/>
  <c r="N250" i="165"/>
  <c r="M250" i="165"/>
  <c r="M250" i="177" s="1"/>
  <c r="L250" i="165"/>
  <c r="L250" i="177" s="1"/>
  <c r="K250" i="165"/>
  <c r="K250" i="177" s="1"/>
  <c r="I250" i="165"/>
  <c r="G250" i="165"/>
  <c r="G250" i="177" s="1"/>
  <c r="N242" i="165"/>
  <c r="M242" i="165"/>
  <c r="L242" i="165"/>
  <c r="K242" i="165"/>
  <c r="I242" i="165"/>
  <c r="G242" i="165"/>
  <c r="N234" i="165"/>
  <c r="M234" i="165"/>
  <c r="L234" i="165"/>
  <c r="K234" i="165"/>
  <c r="K234" i="177" s="1"/>
  <c r="I234" i="165"/>
  <c r="H234" i="165"/>
  <c r="G234" i="165"/>
  <c r="F234" i="165"/>
  <c r="N229" i="165"/>
  <c r="M229" i="165"/>
  <c r="L229" i="165"/>
  <c r="I229" i="165"/>
  <c r="H229" i="165"/>
  <c r="G229" i="165"/>
  <c r="F229" i="165"/>
  <c r="M241" i="165" l="1"/>
  <c r="M242" i="177"/>
  <c r="M241" i="177" s="1"/>
  <c r="M240" i="177" s="1"/>
  <c r="F255" i="165"/>
  <c r="F256" i="177"/>
  <c r="K255" i="165"/>
  <c r="K256" i="177"/>
  <c r="G261" i="165"/>
  <c r="G264" i="177"/>
  <c r="M261" i="165"/>
  <c r="M264" i="177"/>
  <c r="F275" i="165"/>
  <c r="F276" i="177"/>
  <c r="K275" i="165"/>
  <c r="K276" i="177"/>
  <c r="F295" i="165"/>
  <c r="F295" i="177" s="1"/>
  <c r="F297" i="177"/>
  <c r="K295" i="165"/>
  <c r="K295" i="177" s="1"/>
  <c r="K297" i="177"/>
  <c r="H299" i="165"/>
  <c r="H299" i="177" s="1"/>
  <c r="H300" i="177"/>
  <c r="M299" i="165"/>
  <c r="M299" i="177" s="1"/>
  <c r="M300" i="177"/>
  <c r="G228" i="165"/>
  <c r="G228" i="177" s="1"/>
  <c r="G229" i="177"/>
  <c r="I228" i="165"/>
  <c r="I228" i="177" s="1"/>
  <c r="I229" i="177"/>
  <c r="F234" i="177"/>
  <c r="F232" i="165"/>
  <c r="F232" i="177" s="1"/>
  <c r="G241" i="165"/>
  <c r="G242" i="177"/>
  <c r="G241" i="177" s="1"/>
  <c r="G240" i="177" s="1"/>
  <c r="F228" i="165"/>
  <c r="F228" i="177" s="1"/>
  <c r="F229" i="177"/>
  <c r="L228" i="165"/>
  <c r="L228" i="177" s="1"/>
  <c r="L229" i="177"/>
  <c r="G234" i="177"/>
  <c r="G232" i="165"/>
  <c r="G232" i="177" s="1"/>
  <c r="L234" i="177"/>
  <c r="L232" i="165"/>
  <c r="L232" i="177" s="1"/>
  <c r="I241" i="165"/>
  <c r="I242" i="177"/>
  <c r="I241" i="177" s="1"/>
  <c r="I240" i="177" s="1"/>
  <c r="N241" i="165"/>
  <c r="N242" i="177"/>
  <c r="N241" i="177" s="1"/>
  <c r="N240" i="177" s="1"/>
  <c r="G255" i="165"/>
  <c r="G256" i="177"/>
  <c r="L255" i="165"/>
  <c r="L256" i="177"/>
  <c r="H261" i="165"/>
  <c r="H264" i="177"/>
  <c r="N261" i="165"/>
  <c r="N264" i="177"/>
  <c r="G275" i="165"/>
  <c r="G276" i="177"/>
  <c r="L275" i="165"/>
  <c r="L276" i="177"/>
  <c r="I292" i="177"/>
  <c r="G295" i="165"/>
  <c r="G295" i="177" s="1"/>
  <c r="G291" i="177" s="1"/>
  <c r="G290" i="177" s="1"/>
  <c r="G297" i="177"/>
  <c r="L295" i="165"/>
  <c r="L295" i="177" s="1"/>
  <c r="L297" i="177"/>
  <c r="I299" i="165"/>
  <c r="I299" i="177" s="1"/>
  <c r="I300" i="177"/>
  <c r="N299" i="165"/>
  <c r="N299" i="177" s="1"/>
  <c r="N300" i="177"/>
  <c r="M228" i="165"/>
  <c r="M228" i="177" s="1"/>
  <c r="M229" i="177"/>
  <c r="M234" i="177"/>
  <c r="M232" i="165"/>
  <c r="M232" i="177" s="1"/>
  <c r="K241" i="165"/>
  <c r="K242" i="177"/>
  <c r="K241" i="177" s="1"/>
  <c r="H255" i="165"/>
  <c r="H256" i="177"/>
  <c r="M255" i="165"/>
  <c r="M256" i="177"/>
  <c r="I261" i="165"/>
  <c r="I264" i="177"/>
  <c r="I44" i="177"/>
  <c r="I42" i="165"/>
  <c r="I42" i="177" s="1"/>
  <c r="I41" i="177" s="1"/>
  <c r="I40" i="177" s="1"/>
  <c r="M271" i="177"/>
  <c r="H275" i="165"/>
  <c r="H276" i="177"/>
  <c r="M275" i="165"/>
  <c r="M276" i="177"/>
  <c r="J296" i="165"/>
  <c r="J296" i="177" s="1"/>
  <c r="O296" i="177"/>
  <c r="H295" i="165"/>
  <c r="H295" i="177" s="1"/>
  <c r="H297" i="177"/>
  <c r="M295" i="165"/>
  <c r="M295" i="177" s="1"/>
  <c r="M291" i="177" s="1"/>
  <c r="M290" i="177" s="1"/>
  <c r="M297" i="177"/>
  <c r="F299" i="165"/>
  <c r="F299" i="177" s="1"/>
  <c r="F300" i="177"/>
  <c r="K299" i="165"/>
  <c r="K299" i="177" s="1"/>
  <c r="K291" i="177" s="1"/>
  <c r="K290" i="177" s="1"/>
  <c r="K300" i="177"/>
  <c r="H234" i="177"/>
  <c r="H232" i="165"/>
  <c r="H232" i="177" s="1"/>
  <c r="H228" i="165"/>
  <c r="H228" i="177" s="1"/>
  <c r="H229" i="177"/>
  <c r="N228" i="165"/>
  <c r="N228" i="177" s="1"/>
  <c r="N229" i="177"/>
  <c r="I234" i="177"/>
  <c r="I232" i="165"/>
  <c r="I232" i="177" s="1"/>
  <c r="N234" i="177"/>
  <c r="N232" i="165"/>
  <c r="N232" i="177" s="1"/>
  <c r="L241" i="165"/>
  <c r="L242" i="177"/>
  <c r="L241" i="177" s="1"/>
  <c r="I250" i="177"/>
  <c r="N250" i="177"/>
  <c r="I255" i="165"/>
  <c r="I256" i="177"/>
  <c r="N255" i="165"/>
  <c r="N256" i="177"/>
  <c r="L261" i="165"/>
  <c r="L264" i="177"/>
  <c r="I271" i="177"/>
  <c r="N271" i="177"/>
  <c r="I275" i="165"/>
  <c r="I276" i="177"/>
  <c r="N275" i="165"/>
  <c r="N276" i="177"/>
  <c r="L291" i="177"/>
  <c r="I295" i="165"/>
  <c r="I295" i="177" s="1"/>
  <c r="I297" i="177"/>
  <c r="N295" i="165"/>
  <c r="N295" i="177" s="1"/>
  <c r="N291" i="177" s="1"/>
  <c r="N290" i="177" s="1"/>
  <c r="N297" i="177"/>
  <c r="K232" i="165"/>
  <c r="M291" i="165"/>
  <c r="K291" i="165"/>
  <c r="L291" i="165"/>
  <c r="H285" i="165"/>
  <c r="H285" i="177" s="1"/>
  <c r="P296" i="165"/>
  <c r="P296" i="177" s="1"/>
  <c r="K285" i="165"/>
  <c r="G285" i="165"/>
  <c r="L285" i="165"/>
  <c r="I285" i="165"/>
  <c r="M285" i="165"/>
  <c r="F285" i="165"/>
  <c r="N285" i="165"/>
  <c r="N218" i="165"/>
  <c r="M218" i="165"/>
  <c r="L218" i="165"/>
  <c r="K218" i="165"/>
  <c r="I218" i="165"/>
  <c r="F218" i="165"/>
  <c r="N214" i="165"/>
  <c r="M214" i="165"/>
  <c r="L214" i="165"/>
  <c r="L214" i="177" s="1"/>
  <c r="K214" i="165"/>
  <c r="I214" i="165"/>
  <c r="H214" i="165"/>
  <c r="G214" i="165"/>
  <c r="F214" i="165"/>
  <c r="E214" i="165"/>
  <c r="E214" i="177" s="1"/>
  <c r="N209" i="165"/>
  <c r="N209" i="177" s="1"/>
  <c r="M209" i="165"/>
  <c r="M209" i="177" s="1"/>
  <c r="L209" i="165"/>
  <c r="L209" i="177" s="1"/>
  <c r="K209" i="165"/>
  <c r="K209" i="177" s="1"/>
  <c r="I209" i="165"/>
  <c r="I209" i="177" s="1"/>
  <c r="H209" i="165"/>
  <c r="H209" i="177" s="1"/>
  <c r="G209" i="165"/>
  <c r="G209" i="177" s="1"/>
  <c r="F209" i="165"/>
  <c r="F209" i="177" s="1"/>
  <c r="N207" i="165"/>
  <c r="N207" i="177" s="1"/>
  <c r="M207" i="165"/>
  <c r="M207" i="177" s="1"/>
  <c r="L207" i="165"/>
  <c r="L207" i="177" s="1"/>
  <c r="K207" i="165"/>
  <c r="K207" i="177" s="1"/>
  <c r="I207" i="165"/>
  <c r="I207" i="177" s="1"/>
  <c r="H207" i="165"/>
  <c r="H207" i="177" s="1"/>
  <c r="G207" i="165"/>
  <c r="G207" i="177" s="1"/>
  <c r="F207" i="165"/>
  <c r="F207" i="177" s="1"/>
  <c r="N201" i="165"/>
  <c r="M201" i="165"/>
  <c r="L201" i="165"/>
  <c r="K201" i="165"/>
  <c r="I201" i="165"/>
  <c r="H201" i="165"/>
  <c r="G201" i="165"/>
  <c r="F201" i="165"/>
  <c r="F201" i="177" s="1"/>
  <c r="N196" i="165"/>
  <c r="N196" i="177" s="1"/>
  <c r="M196" i="165"/>
  <c r="M196" i="177" s="1"/>
  <c r="L196" i="165"/>
  <c r="L196" i="177" s="1"/>
  <c r="K196" i="165"/>
  <c r="K196" i="177" s="1"/>
  <c r="I196" i="165"/>
  <c r="I196" i="177" s="1"/>
  <c r="G196" i="165"/>
  <c r="G196" i="177" s="1"/>
  <c r="N191" i="165"/>
  <c r="N191" i="177" s="1"/>
  <c r="M191" i="165"/>
  <c r="M191" i="177" s="1"/>
  <c r="L191" i="165"/>
  <c r="L191" i="177" s="1"/>
  <c r="K191" i="165"/>
  <c r="K191" i="177" s="1"/>
  <c r="I191" i="165"/>
  <c r="I191" i="177" s="1"/>
  <c r="H191" i="165"/>
  <c r="H191" i="177" s="1"/>
  <c r="G191" i="165"/>
  <c r="G191" i="177" s="1"/>
  <c r="F191" i="165"/>
  <c r="F191" i="177" s="1"/>
  <c r="N181" i="165"/>
  <c r="M181" i="165"/>
  <c r="L181" i="165"/>
  <c r="I181" i="165"/>
  <c r="H181" i="165"/>
  <c r="G181" i="165"/>
  <c r="F181" i="165"/>
  <c r="N177" i="165"/>
  <c r="N177" i="177" s="1"/>
  <c r="M177" i="165"/>
  <c r="M177" i="177" s="1"/>
  <c r="L177" i="165"/>
  <c r="L177" i="177" s="1"/>
  <c r="K177" i="165"/>
  <c r="K177" i="177" s="1"/>
  <c r="I177" i="165"/>
  <c r="I177" i="177" s="1"/>
  <c r="G177" i="165"/>
  <c r="G177" i="177" s="1"/>
  <c r="N173" i="165"/>
  <c r="M173" i="165"/>
  <c r="L173" i="165"/>
  <c r="K173" i="165"/>
  <c r="I173" i="165"/>
  <c r="H173" i="165"/>
  <c r="G173" i="165"/>
  <c r="F173" i="165"/>
  <c r="N170" i="165"/>
  <c r="N170" i="177" s="1"/>
  <c r="M170" i="165"/>
  <c r="L170" i="165"/>
  <c r="K170" i="165"/>
  <c r="I170" i="165"/>
  <c r="H170" i="165"/>
  <c r="G170" i="165"/>
  <c r="F170" i="165"/>
  <c r="N169" i="165"/>
  <c r="N169" i="177" s="1"/>
  <c r="N165" i="165"/>
  <c r="N165" i="177" s="1"/>
  <c r="M165" i="165"/>
  <c r="M165" i="177" s="1"/>
  <c r="L165" i="165"/>
  <c r="L165" i="177" s="1"/>
  <c r="I165" i="165"/>
  <c r="I165" i="177" s="1"/>
  <c r="H165" i="165"/>
  <c r="H165" i="177" s="1"/>
  <c r="G165" i="165"/>
  <c r="G165" i="177" s="1"/>
  <c r="M162" i="165"/>
  <c r="M162" i="177" s="1"/>
  <c r="I162" i="165"/>
  <c r="I162" i="177" s="1"/>
  <c r="G162" i="165"/>
  <c r="G162" i="177" s="1"/>
  <c r="N160" i="165"/>
  <c r="N160" i="177" s="1"/>
  <c r="M160" i="165"/>
  <c r="M160" i="177" s="1"/>
  <c r="L160" i="165"/>
  <c r="L160" i="177" s="1"/>
  <c r="K160" i="165"/>
  <c r="K160" i="177" s="1"/>
  <c r="I160" i="165"/>
  <c r="I160" i="177" s="1"/>
  <c r="H160" i="165"/>
  <c r="H160" i="177" s="1"/>
  <c r="G160" i="165"/>
  <c r="G160" i="177" s="1"/>
  <c r="N157" i="165"/>
  <c r="N157" i="177" s="1"/>
  <c r="M157" i="165"/>
  <c r="M157" i="177" s="1"/>
  <c r="L157" i="165"/>
  <c r="L157" i="177" s="1"/>
  <c r="K157" i="165"/>
  <c r="K157" i="177" s="1"/>
  <c r="I157" i="165"/>
  <c r="I157" i="177" s="1"/>
  <c r="H157" i="165"/>
  <c r="H157" i="177" s="1"/>
  <c r="G157" i="165"/>
  <c r="G157" i="177" s="1"/>
  <c r="M153" i="165"/>
  <c r="M153" i="177" s="1"/>
  <c r="I153" i="165"/>
  <c r="I153" i="177" s="1"/>
  <c r="G153" i="165"/>
  <c r="G153" i="177" s="1"/>
  <c r="N151" i="165"/>
  <c r="N151" i="177" s="1"/>
  <c r="M151" i="165"/>
  <c r="L151" i="165"/>
  <c r="L151" i="177" s="1"/>
  <c r="K151" i="165"/>
  <c r="K151" i="177" s="1"/>
  <c r="I151" i="165"/>
  <c r="I151" i="177" s="1"/>
  <c r="G151" i="165"/>
  <c r="G151" i="177" s="1"/>
  <c r="N146" i="165"/>
  <c r="M146" i="165"/>
  <c r="L146" i="165"/>
  <c r="K146" i="165"/>
  <c r="I146" i="165"/>
  <c r="H146" i="165"/>
  <c r="G146" i="165"/>
  <c r="F146" i="165"/>
  <c r="N139" i="165"/>
  <c r="N139" i="177" s="1"/>
  <c r="M139" i="165"/>
  <c r="K139" i="165"/>
  <c r="K139" i="177" s="1"/>
  <c r="I139" i="165"/>
  <c r="G139" i="165"/>
  <c r="M132" i="165"/>
  <c r="M132" i="177" s="1"/>
  <c r="K132" i="165"/>
  <c r="K132" i="177" s="1"/>
  <c r="I132" i="165"/>
  <c r="I132" i="177" s="1"/>
  <c r="N127" i="165"/>
  <c r="M127" i="165"/>
  <c r="L127" i="165"/>
  <c r="K127" i="165"/>
  <c r="I127" i="165"/>
  <c r="H127" i="165"/>
  <c r="G127" i="165"/>
  <c r="F127" i="165"/>
  <c r="N120" i="165"/>
  <c r="M120" i="165"/>
  <c r="L120" i="165"/>
  <c r="K120" i="165"/>
  <c r="I120" i="165"/>
  <c r="H120" i="165"/>
  <c r="G120" i="165"/>
  <c r="F120" i="165"/>
  <c r="M116" i="165"/>
  <c r="M116" i="177" s="1"/>
  <c r="I116" i="165"/>
  <c r="I116" i="177" s="1"/>
  <c r="N114" i="165"/>
  <c r="N114" i="177" s="1"/>
  <c r="M114" i="165"/>
  <c r="M114" i="177" s="1"/>
  <c r="L114" i="165"/>
  <c r="L114" i="177" s="1"/>
  <c r="K114" i="165"/>
  <c r="K114" i="177" s="1"/>
  <c r="I114" i="165"/>
  <c r="I114" i="177" s="1"/>
  <c r="H114" i="165"/>
  <c r="H114" i="177" s="1"/>
  <c r="G114" i="165"/>
  <c r="G114" i="177" s="1"/>
  <c r="F114" i="165"/>
  <c r="F114" i="177" s="1"/>
  <c r="N112" i="165"/>
  <c r="N112" i="177" s="1"/>
  <c r="M112" i="165"/>
  <c r="M112" i="177" s="1"/>
  <c r="L112" i="165"/>
  <c r="L112" i="177" s="1"/>
  <c r="K112" i="165"/>
  <c r="K112" i="177" s="1"/>
  <c r="I112" i="165"/>
  <c r="I112" i="177" s="1"/>
  <c r="H112" i="165"/>
  <c r="H112" i="177" s="1"/>
  <c r="G112" i="165"/>
  <c r="G112" i="177" s="1"/>
  <c r="M105" i="165"/>
  <c r="M105" i="177" s="1"/>
  <c r="K105" i="165"/>
  <c r="K105" i="177" s="1"/>
  <c r="I105" i="165"/>
  <c r="I105" i="177" s="1"/>
  <c r="F105" i="165"/>
  <c r="F105" i="177" s="1"/>
  <c r="N96" i="165"/>
  <c r="N96" i="177" s="1"/>
  <c r="M96" i="165"/>
  <c r="M96" i="177" s="1"/>
  <c r="L96" i="165"/>
  <c r="L96" i="177" s="1"/>
  <c r="K96" i="165"/>
  <c r="K96" i="177" s="1"/>
  <c r="I96" i="165"/>
  <c r="I96" i="177" s="1"/>
  <c r="H96" i="165"/>
  <c r="H96" i="177" s="1"/>
  <c r="G96" i="165"/>
  <c r="G96" i="177" s="1"/>
  <c r="G291" i="165" l="1"/>
  <c r="N231" i="165"/>
  <c r="F119" i="165"/>
  <c r="F119" i="177" s="1"/>
  <c r="F120" i="177"/>
  <c r="K119" i="165"/>
  <c r="K119" i="177" s="1"/>
  <c r="K120" i="177"/>
  <c r="F126" i="165"/>
  <c r="F127" i="177"/>
  <c r="K126" i="165"/>
  <c r="K127" i="177"/>
  <c r="I134" i="165"/>
  <c r="I134" i="177" s="1"/>
  <c r="I139" i="177"/>
  <c r="F145" i="165"/>
  <c r="F145" i="177" s="1"/>
  <c r="F146" i="177"/>
  <c r="K145" i="165"/>
  <c r="K145" i="177" s="1"/>
  <c r="K146" i="177"/>
  <c r="M150" i="165"/>
  <c r="M150" i="177" s="1"/>
  <c r="M151" i="177"/>
  <c r="I169" i="165"/>
  <c r="I169" i="177" s="1"/>
  <c r="I170" i="177"/>
  <c r="I172" i="165"/>
  <c r="I172" i="177" s="1"/>
  <c r="I173" i="177"/>
  <c r="N172" i="165"/>
  <c r="N172" i="177" s="1"/>
  <c r="N173" i="177"/>
  <c r="G180" i="165"/>
  <c r="G180" i="177" s="1"/>
  <c r="G181" i="177"/>
  <c r="M180" i="165"/>
  <c r="M180" i="177" s="1"/>
  <c r="M181" i="177"/>
  <c r="K200" i="165"/>
  <c r="K200" i="177" s="1"/>
  <c r="K201" i="177"/>
  <c r="I211" i="165"/>
  <c r="I211" i="177" s="1"/>
  <c r="I214" i="177"/>
  <c r="N211" i="165"/>
  <c r="N211" i="177" s="1"/>
  <c r="N214" i="177"/>
  <c r="L217" i="165"/>
  <c r="L217" i="177" s="1"/>
  <c r="L218" i="177"/>
  <c r="F282" i="165"/>
  <c r="F285" i="177"/>
  <c r="F282" i="177" s="1"/>
  <c r="F281" i="177" s="1"/>
  <c r="L282" i="165"/>
  <c r="L285" i="177"/>
  <c r="L282" i="177" s="1"/>
  <c r="N291" i="165"/>
  <c r="M274" i="165"/>
  <c r="M275" i="177"/>
  <c r="I291" i="165"/>
  <c r="L274" i="165"/>
  <c r="L275" i="177"/>
  <c r="G260" i="165"/>
  <c r="G261" i="177"/>
  <c r="F254" i="165"/>
  <c r="F254" i="177" s="1"/>
  <c r="F255" i="177"/>
  <c r="G119" i="165"/>
  <c r="G119" i="177" s="1"/>
  <c r="G120" i="177"/>
  <c r="L119" i="165"/>
  <c r="L119" i="177" s="1"/>
  <c r="L120" i="177"/>
  <c r="G126" i="165"/>
  <c r="G127" i="177"/>
  <c r="L126" i="165"/>
  <c r="L127" i="177"/>
  <c r="G145" i="165"/>
  <c r="G145" i="177" s="1"/>
  <c r="G146" i="177"/>
  <c r="L145" i="165"/>
  <c r="L145" i="177" s="1"/>
  <c r="L146" i="177"/>
  <c r="F169" i="165"/>
  <c r="F169" i="177" s="1"/>
  <c r="F170" i="177"/>
  <c r="K169" i="165"/>
  <c r="K169" i="177" s="1"/>
  <c r="K170" i="177"/>
  <c r="F172" i="165"/>
  <c r="F172" i="177" s="1"/>
  <c r="F173" i="177"/>
  <c r="K172" i="165"/>
  <c r="K172" i="177" s="1"/>
  <c r="K173" i="177"/>
  <c r="H180" i="165"/>
  <c r="H180" i="177" s="1"/>
  <c r="H181" i="177"/>
  <c r="N180" i="165"/>
  <c r="N180" i="177" s="1"/>
  <c r="N181" i="177"/>
  <c r="G200" i="165"/>
  <c r="G200" i="177" s="1"/>
  <c r="G201" i="177"/>
  <c r="L200" i="165"/>
  <c r="L200" i="177" s="1"/>
  <c r="L201" i="177"/>
  <c r="F211" i="165"/>
  <c r="F211" i="177" s="1"/>
  <c r="F214" i="177"/>
  <c r="K211" i="165"/>
  <c r="K211" i="177" s="1"/>
  <c r="K214" i="177"/>
  <c r="F217" i="165"/>
  <c r="F217" i="177" s="1"/>
  <c r="F218" i="177"/>
  <c r="M217" i="165"/>
  <c r="M217" i="177" s="1"/>
  <c r="M218" i="177"/>
  <c r="M282" i="165"/>
  <c r="M285" i="177"/>
  <c r="M282" i="177" s="1"/>
  <c r="M281" i="177" s="1"/>
  <c r="G282" i="165"/>
  <c r="G285" i="177"/>
  <c r="G282" i="177" s="1"/>
  <c r="G281" i="177" s="1"/>
  <c r="K231" i="165"/>
  <c r="K231" i="177" s="1"/>
  <c r="K232" i="177"/>
  <c r="N274" i="165"/>
  <c r="N275" i="177"/>
  <c r="L260" i="165"/>
  <c r="L261" i="177"/>
  <c r="I254" i="165"/>
  <c r="I255" i="177"/>
  <c r="I231" i="165"/>
  <c r="H231" i="165"/>
  <c r="H231" i="177" s="1"/>
  <c r="I260" i="165"/>
  <c r="I261" i="177"/>
  <c r="H254" i="165"/>
  <c r="H254" i="177" s="1"/>
  <c r="H255" i="177"/>
  <c r="N260" i="165"/>
  <c r="N261" i="177"/>
  <c r="L254" i="165"/>
  <c r="L255" i="177"/>
  <c r="K274" i="165"/>
  <c r="K275" i="177"/>
  <c r="H119" i="165"/>
  <c r="H119" i="177" s="1"/>
  <c r="H120" i="177"/>
  <c r="M119" i="165"/>
  <c r="M119" i="177" s="1"/>
  <c r="M120" i="177"/>
  <c r="H126" i="165"/>
  <c r="H127" i="177"/>
  <c r="M126" i="165"/>
  <c r="M127" i="177"/>
  <c r="M134" i="165"/>
  <c r="M134" i="177" s="1"/>
  <c r="M131" i="177" s="1"/>
  <c r="M130" i="177" s="1"/>
  <c r="M139" i="177"/>
  <c r="H145" i="165"/>
  <c r="H145" i="177" s="1"/>
  <c r="H146" i="177"/>
  <c r="M145" i="165"/>
  <c r="M145" i="177" s="1"/>
  <c r="M146" i="177"/>
  <c r="G169" i="165"/>
  <c r="G169" i="177" s="1"/>
  <c r="G170" i="177"/>
  <c r="L169" i="165"/>
  <c r="L169" i="177" s="1"/>
  <c r="L170" i="177"/>
  <c r="G172" i="165"/>
  <c r="G172" i="177" s="1"/>
  <c r="G173" i="177"/>
  <c r="L172" i="165"/>
  <c r="L172" i="177" s="1"/>
  <c r="L173" i="177"/>
  <c r="I180" i="165"/>
  <c r="I180" i="177" s="1"/>
  <c r="I181" i="177"/>
  <c r="H200" i="165"/>
  <c r="H200" i="177" s="1"/>
  <c r="H201" i="177"/>
  <c r="M200" i="165"/>
  <c r="M200" i="177" s="1"/>
  <c r="M201" i="177"/>
  <c r="G211" i="165"/>
  <c r="G211" i="177" s="1"/>
  <c r="G214" i="177"/>
  <c r="I217" i="165"/>
  <c r="I217" i="177" s="1"/>
  <c r="I218" i="177"/>
  <c r="N217" i="165"/>
  <c r="N217" i="177" s="1"/>
  <c r="N218" i="177"/>
  <c r="I282" i="165"/>
  <c r="I285" i="177"/>
  <c r="I282" i="177" s="1"/>
  <c r="I281" i="177" s="1"/>
  <c r="L290" i="177"/>
  <c r="L240" i="177"/>
  <c r="H274" i="165"/>
  <c r="H274" i="177" s="1"/>
  <c r="H275" i="177"/>
  <c r="G274" i="165"/>
  <c r="G275" i="177"/>
  <c r="G231" i="165"/>
  <c r="M260" i="165"/>
  <c r="M261" i="177"/>
  <c r="K254" i="165"/>
  <c r="K255" i="177"/>
  <c r="I119" i="165"/>
  <c r="I119" i="177" s="1"/>
  <c r="I120" i="177"/>
  <c r="N119" i="165"/>
  <c r="N119" i="177" s="1"/>
  <c r="N120" i="177"/>
  <c r="I126" i="165"/>
  <c r="I127" i="177"/>
  <c r="N126" i="165"/>
  <c r="N127" i="177"/>
  <c r="G134" i="165"/>
  <c r="G134" i="177" s="1"/>
  <c r="G139" i="177"/>
  <c r="I145" i="165"/>
  <c r="I145" i="177" s="1"/>
  <c r="I146" i="177"/>
  <c r="N145" i="165"/>
  <c r="N145" i="177" s="1"/>
  <c r="N146" i="177"/>
  <c r="H169" i="165"/>
  <c r="H169" i="177" s="1"/>
  <c r="H170" i="177"/>
  <c r="M169" i="165"/>
  <c r="M169" i="177" s="1"/>
  <c r="M170" i="177"/>
  <c r="H172" i="165"/>
  <c r="H172" i="177" s="1"/>
  <c r="H173" i="177"/>
  <c r="M172" i="165"/>
  <c r="M172" i="177" s="1"/>
  <c r="M173" i="177"/>
  <c r="F180" i="165"/>
  <c r="F180" i="177" s="1"/>
  <c r="F181" i="177"/>
  <c r="L180" i="165"/>
  <c r="L180" i="177" s="1"/>
  <c r="L181" i="177"/>
  <c r="I200" i="165"/>
  <c r="I200" i="177" s="1"/>
  <c r="I201" i="177"/>
  <c r="N200" i="165"/>
  <c r="N200" i="177" s="1"/>
  <c r="N201" i="177"/>
  <c r="H211" i="165"/>
  <c r="H211" i="177" s="1"/>
  <c r="H214" i="177"/>
  <c r="M211" i="165"/>
  <c r="M211" i="177" s="1"/>
  <c r="M214" i="177"/>
  <c r="K217" i="165"/>
  <c r="K217" i="177" s="1"/>
  <c r="K218" i="177"/>
  <c r="N282" i="165"/>
  <c r="N285" i="177"/>
  <c r="N282" i="177" s="1"/>
  <c r="N281" i="177" s="1"/>
  <c r="K282" i="165"/>
  <c r="R282" i="165" s="1"/>
  <c r="K285" i="177"/>
  <c r="K282" i="177" s="1"/>
  <c r="I274" i="165"/>
  <c r="I275" i="177"/>
  <c r="N254" i="165"/>
  <c r="N255" i="177"/>
  <c r="M254" i="165"/>
  <c r="M255" i="177"/>
  <c r="K240" i="177"/>
  <c r="R241" i="177"/>
  <c r="M231" i="165"/>
  <c r="I291" i="177"/>
  <c r="I290" i="177" s="1"/>
  <c r="H260" i="165"/>
  <c r="H261" i="177"/>
  <c r="G254" i="165"/>
  <c r="G255" i="177"/>
  <c r="L231" i="165"/>
  <c r="F231" i="165"/>
  <c r="F231" i="177" s="1"/>
  <c r="F223" i="177" s="1"/>
  <c r="F222" i="177" s="1"/>
  <c r="F274" i="165"/>
  <c r="F274" i="177" s="1"/>
  <c r="F275" i="177"/>
  <c r="L211" i="165"/>
  <c r="L211" i="177" s="1"/>
  <c r="I188" i="165"/>
  <c r="F188" i="165"/>
  <c r="K188" i="165"/>
  <c r="K188" i="177" s="1"/>
  <c r="G188" i="165"/>
  <c r="L188" i="165"/>
  <c r="N188" i="165"/>
  <c r="G150" i="165"/>
  <c r="G150" i="177" s="1"/>
  <c r="H188" i="165"/>
  <c r="M188" i="165"/>
  <c r="M188" i="177" s="1"/>
  <c r="M95" i="165"/>
  <c r="I95" i="165"/>
  <c r="I95" i="177" s="1"/>
  <c r="I156" i="165"/>
  <c r="I156" i="177" s="1"/>
  <c r="M206" i="165"/>
  <c r="M206" i="177" s="1"/>
  <c r="M195" i="177" s="1"/>
  <c r="M194" i="177" s="1"/>
  <c r="M156" i="165"/>
  <c r="G156" i="165"/>
  <c r="I150" i="165"/>
  <c r="I150" i="177" s="1"/>
  <c r="K206" i="165"/>
  <c r="L206" i="165"/>
  <c r="L206" i="177" s="1"/>
  <c r="N206" i="165"/>
  <c r="H206" i="165"/>
  <c r="H206" i="177" s="1"/>
  <c r="N86" i="165"/>
  <c r="M86" i="165"/>
  <c r="L86" i="165"/>
  <c r="I86" i="165"/>
  <c r="H86" i="165"/>
  <c r="G86" i="165"/>
  <c r="F86" i="165"/>
  <c r="N82" i="165"/>
  <c r="N82" i="177" s="1"/>
  <c r="M82" i="165"/>
  <c r="M82" i="177" s="1"/>
  <c r="L82" i="165"/>
  <c r="L82" i="177" s="1"/>
  <c r="K82" i="165"/>
  <c r="K82" i="177" s="1"/>
  <c r="I82" i="165"/>
  <c r="I82" i="177" s="1"/>
  <c r="N80" i="165"/>
  <c r="N80" i="177" s="1"/>
  <c r="M80" i="165"/>
  <c r="M80" i="177" s="1"/>
  <c r="L80" i="165"/>
  <c r="L80" i="177" s="1"/>
  <c r="K80" i="165"/>
  <c r="K80" i="177" s="1"/>
  <c r="I80" i="165"/>
  <c r="I80" i="177" s="1"/>
  <c r="H80" i="165"/>
  <c r="H80" i="177" s="1"/>
  <c r="G80" i="165"/>
  <c r="G80" i="177" s="1"/>
  <c r="F80" i="165"/>
  <c r="F80" i="177" s="1"/>
  <c r="N78" i="165"/>
  <c r="N78" i="177" s="1"/>
  <c r="M78" i="165"/>
  <c r="M78" i="177" s="1"/>
  <c r="L78" i="165"/>
  <c r="L78" i="177" s="1"/>
  <c r="K78" i="165"/>
  <c r="K78" i="177" s="1"/>
  <c r="I78" i="165"/>
  <c r="I78" i="177" s="1"/>
  <c r="H78" i="165"/>
  <c r="H78" i="177" s="1"/>
  <c r="G78" i="165"/>
  <c r="G78" i="177" s="1"/>
  <c r="F78" i="165"/>
  <c r="F78" i="177" s="1"/>
  <c r="O77" i="165"/>
  <c r="N70" i="165"/>
  <c r="N70" i="177" s="1"/>
  <c r="M70" i="165"/>
  <c r="M70" i="177" s="1"/>
  <c r="L70" i="165"/>
  <c r="L70" i="177" s="1"/>
  <c r="K70" i="165"/>
  <c r="K70" i="177" s="1"/>
  <c r="I70" i="165"/>
  <c r="I70" i="177" s="1"/>
  <c r="N66" i="165"/>
  <c r="M66" i="165"/>
  <c r="L66" i="165"/>
  <c r="K66" i="165"/>
  <c r="I66" i="165"/>
  <c r="H66" i="165"/>
  <c r="G66" i="165"/>
  <c r="F66" i="165"/>
  <c r="I41" i="165"/>
  <c r="N36" i="165"/>
  <c r="M36" i="165"/>
  <c r="L36" i="165"/>
  <c r="K36" i="165"/>
  <c r="I36" i="165"/>
  <c r="H36" i="165"/>
  <c r="G36" i="165"/>
  <c r="F36" i="165"/>
  <c r="E34" i="165"/>
  <c r="N33" i="165"/>
  <c r="M33" i="165"/>
  <c r="L33" i="165"/>
  <c r="K33" i="165"/>
  <c r="I33" i="165"/>
  <c r="H33" i="165"/>
  <c r="G33" i="165"/>
  <c r="F33" i="165"/>
  <c r="N26" i="165"/>
  <c r="N26" i="177" s="1"/>
  <c r="M26" i="165"/>
  <c r="M26" i="177" s="1"/>
  <c r="K26" i="165"/>
  <c r="K26" i="177" s="1"/>
  <c r="I26" i="165"/>
  <c r="I26" i="177" s="1"/>
  <c r="H26" i="165"/>
  <c r="H26" i="177" s="1"/>
  <c r="G26" i="165"/>
  <c r="G26" i="177" s="1"/>
  <c r="F26" i="165"/>
  <c r="F26" i="177" s="1"/>
  <c r="N24" i="165"/>
  <c r="M24" i="165"/>
  <c r="M24" i="177" s="1"/>
  <c r="L24" i="165"/>
  <c r="L24" i="177" s="1"/>
  <c r="K24" i="165"/>
  <c r="I24" i="165"/>
  <c r="H24" i="165"/>
  <c r="G24" i="165"/>
  <c r="F24" i="165"/>
  <c r="N18" i="165"/>
  <c r="N18" i="177" s="1"/>
  <c r="M18" i="165"/>
  <c r="M18" i="177" s="1"/>
  <c r="L18" i="165"/>
  <c r="L18" i="177" s="1"/>
  <c r="I18" i="165"/>
  <c r="I18" i="177" s="1"/>
  <c r="J55" i="167"/>
  <c r="J54" i="167"/>
  <c r="J52" i="167"/>
  <c r="M52" i="167" s="1"/>
  <c r="J51" i="167"/>
  <c r="I206" i="165" l="1"/>
  <c r="I131" i="165"/>
  <c r="M131" i="165"/>
  <c r="G206" i="165"/>
  <c r="G206" i="177" s="1"/>
  <c r="I149" i="177"/>
  <c r="I148" i="177" s="1"/>
  <c r="N231" i="177"/>
  <c r="N223" i="177" s="1"/>
  <c r="N222" i="177" s="1"/>
  <c r="N223" i="165"/>
  <c r="L195" i="177"/>
  <c r="L194" i="177" s="1"/>
  <c r="F206" i="165"/>
  <c r="F206" i="177" s="1"/>
  <c r="M195" i="165"/>
  <c r="M187" i="165"/>
  <c r="K187" i="165"/>
  <c r="K187" i="177" s="1"/>
  <c r="I131" i="177"/>
  <c r="I130" i="177" s="1"/>
  <c r="I23" i="165"/>
  <c r="I23" i="177" s="1"/>
  <c r="I24" i="177"/>
  <c r="N23" i="165"/>
  <c r="N23" i="177" s="1"/>
  <c r="N24" i="177"/>
  <c r="F32" i="165"/>
  <c r="F32" i="177" s="1"/>
  <c r="F33" i="177"/>
  <c r="E33" i="165"/>
  <c r="E34" i="177"/>
  <c r="N36" i="177"/>
  <c r="N35" i="165"/>
  <c r="N35" i="177" s="1"/>
  <c r="F23" i="165"/>
  <c r="F23" i="177" s="1"/>
  <c r="F24" i="177"/>
  <c r="K23" i="165"/>
  <c r="K23" i="177" s="1"/>
  <c r="K24" i="177"/>
  <c r="G32" i="165"/>
  <c r="G32" i="177" s="1"/>
  <c r="G33" i="177"/>
  <c r="L32" i="165"/>
  <c r="L32" i="177" s="1"/>
  <c r="L33" i="177"/>
  <c r="F36" i="177"/>
  <c r="F35" i="165"/>
  <c r="F35" i="177" s="1"/>
  <c r="K36" i="177"/>
  <c r="K35" i="165"/>
  <c r="K35" i="177" s="1"/>
  <c r="F85" i="165"/>
  <c r="F85" i="177" s="1"/>
  <c r="F86" i="177"/>
  <c r="L85" i="165"/>
  <c r="L85" i="177" s="1"/>
  <c r="L86" i="177"/>
  <c r="N187" i="165"/>
  <c r="N188" i="177"/>
  <c r="I187" i="165"/>
  <c r="I188" i="177"/>
  <c r="G254" i="177"/>
  <c r="G249" i="177" s="1"/>
  <c r="G248" i="177" s="1"/>
  <c r="G249" i="165"/>
  <c r="M231" i="177"/>
  <c r="M223" i="177" s="1"/>
  <c r="M222" i="177" s="1"/>
  <c r="M223" i="165"/>
  <c r="M254" i="177"/>
  <c r="M249" i="177" s="1"/>
  <c r="M248" i="177" s="1"/>
  <c r="M249" i="165"/>
  <c r="I122" i="165"/>
  <c r="I126" i="177"/>
  <c r="M259" i="165"/>
  <c r="M260" i="177"/>
  <c r="M259" i="177" s="1"/>
  <c r="M258" i="177" s="1"/>
  <c r="G274" i="177"/>
  <c r="G270" i="177" s="1"/>
  <c r="G269" i="177" s="1"/>
  <c r="G270" i="165"/>
  <c r="H122" i="165"/>
  <c r="H122" i="177" s="1"/>
  <c r="H126" i="177"/>
  <c r="I259" i="165"/>
  <c r="I260" i="177"/>
  <c r="I259" i="177" s="1"/>
  <c r="I258" i="177" s="1"/>
  <c r="I254" i="177"/>
  <c r="I249" i="177" s="1"/>
  <c r="I248" i="177" s="1"/>
  <c r="I249" i="165"/>
  <c r="N274" i="177"/>
  <c r="N270" i="177" s="1"/>
  <c r="N269" i="177" s="1"/>
  <c r="N270" i="165"/>
  <c r="L122" i="165"/>
  <c r="L122" i="177" s="1"/>
  <c r="L126" i="177"/>
  <c r="M274" i="177"/>
  <c r="M270" i="177" s="1"/>
  <c r="M269" i="177" s="1"/>
  <c r="M270" i="165"/>
  <c r="L281" i="177"/>
  <c r="G23" i="165"/>
  <c r="G23" i="177" s="1"/>
  <c r="G24" i="177"/>
  <c r="G36" i="177"/>
  <c r="G35" i="165"/>
  <c r="G35" i="177" s="1"/>
  <c r="G85" i="165"/>
  <c r="G85" i="177" s="1"/>
  <c r="G86" i="177"/>
  <c r="M85" i="165"/>
  <c r="M85" i="177" s="1"/>
  <c r="M86" i="177"/>
  <c r="N195" i="165"/>
  <c r="N206" i="177"/>
  <c r="N195" i="177" s="1"/>
  <c r="N194" i="177" s="1"/>
  <c r="L187" i="165"/>
  <c r="L188" i="177"/>
  <c r="I274" i="177"/>
  <c r="I270" i="177" s="1"/>
  <c r="I269" i="177" s="1"/>
  <c r="I270" i="165"/>
  <c r="L254" i="177"/>
  <c r="L249" i="177" s="1"/>
  <c r="L249" i="165"/>
  <c r="L274" i="177"/>
  <c r="L270" i="177" s="1"/>
  <c r="L270" i="165"/>
  <c r="K122" i="165"/>
  <c r="K122" i="177" s="1"/>
  <c r="K126" i="177"/>
  <c r="H32" i="165"/>
  <c r="H32" i="177" s="1"/>
  <c r="H33" i="177"/>
  <c r="M32" i="165"/>
  <c r="M32" i="177" s="1"/>
  <c r="M33" i="177"/>
  <c r="L36" i="177"/>
  <c r="L35" i="165"/>
  <c r="L35" i="177" s="1"/>
  <c r="H23" i="165"/>
  <c r="H23" i="177" s="1"/>
  <c r="H24" i="177"/>
  <c r="I32" i="165"/>
  <c r="I32" i="177" s="1"/>
  <c r="I33" i="177"/>
  <c r="N32" i="165"/>
  <c r="N32" i="177" s="1"/>
  <c r="N33" i="177"/>
  <c r="H36" i="177"/>
  <c r="H35" i="165"/>
  <c r="H35" i="177" s="1"/>
  <c r="M36" i="177"/>
  <c r="M35" i="165"/>
  <c r="M35" i="177" s="1"/>
  <c r="J77" i="165"/>
  <c r="J77" i="177" s="1"/>
  <c r="O77" i="177"/>
  <c r="H85" i="165"/>
  <c r="H85" i="177" s="1"/>
  <c r="H86" i="177"/>
  <c r="N85" i="165"/>
  <c r="N85" i="177" s="1"/>
  <c r="N86" i="177"/>
  <c r="I195" i="165"/>
  <c r="I206" i="177"/>
  <c r="I195" i="177" s="1"/>
  <c r="I194" i="177" s="1"/>
  <c r="G149" i="165"/>
  <c r="G156" i="177"/>
  <c r="G149" i="177" s="1"/>
  <c r="G148" i="177" s="1"/>
  <c r="H187" i="165"/>
  <c r="H187" i="177" s="1"/>
  <c r="H188" i="177"/>
  <c r="G187" i="165"/>
  <c r="G188" i="177"/>
  <c r="F187" i="165"/>
  <c r="F187" i="177" s="1"/>
  <c r="F188" i="177"/>
  <c r="L231" i="177"/>
  <c r="L223" i="177" s="1"/>
  <c r="L223" i="165"/>
  <c r="H259" i="165"/>
  <c r="H260" i="177"/>
  <c r="H259" i="177" s="1"/>
  <c r="H258" i="177" s="1"/>
  <c r="K281" i="177"/>
  <c r="R282" i="177"/>
  <c r="N122" i="165"/>
  <c r="N122" i="177" s="1"/>
  <c r="N126" i="177"/>
  <c r="K254" i="177"/>
  <c r="K249" i="177" s="1"/>
  <c r="K249" i="165"/>
  <c r="G231" i="177"/>
  <c r="G223" i="177" s="1"/>
  <c r="G222" i="177" s="1"/>
  <c r="G223" i="165"/>
  <c r="M122" i="165"/>
  <c r="M122" i="177" s="1"/>
  <c r="M126" i="177"/>
  <c r="K274" i="177"/>
  <c r="K270" i="177" s="1"/>
  <c r="K270" i="165"/>
  <c r="I231" i="177"/>
  <c r="I223" i="177" s="1"/>
  <c r="I222" i="177" s="1"/>
  <c r="I223" i="165"/>
  <c r="L259" i="165"/>
  <c r="L260" i="177"/>
  <c r="L259" i="177" s="1"/>
  <c r="G122" i="165"/>
  <c r="G122" i="177" s="1"/>
  <c r="G126" i="177"/>
  <c r="G259" i="165"/>
  <c r="G260" i="177"/>
  <c r="G259" i="177" s="1"/>
  <c r="G258" i="177" s="1"/>
  <c r="K32" i="165"/>
  <c r="K32" i="177" s="1"/>
  <c r="K33" i="177"/>
  <c r="I36" i="177"/>
  <c r="I35" i="165"/>
  <c r="I35" i="177" s="1"/>
  <c r="I85" i="165"/>
  <c r="I85" i="177" s="1"/>
  <c r="I86" i="177"/>
  <c r="M149" i="165"/>
  <c r="M156" i="177"/>
  <c r="M149" i="177" s="1"/>
  <c r="M148" i="177" s="1"/>
  <c r="M90" i="165"/>
  <c r="M95" i="177"/>
  <c r="M90" i="177" s="1"/>
  <c r="M89" i="177" s="1"/>
  <c r="N254" i="177"/>
  <c r="N249" i="177" s="1"/>
  <c r="N248" i="177" s="1"/>
  <c r="N249" i="165"/>
  <c r="N259" i="165"/>
  <c r="N260" i="177"/>
  <c r="N259" i="177" s="1"/>
  <c r="N258" i="177" s="1"/>
  <c r="F122" i="165"/>
  <c r="F122" i="177" s="1"/>
  <c r="F126" i="177"/>
  <c r="K195" i="165"/>
  <c r="K206" i="177"/>
  <c r="K195" i="177" s="1"/>
  <c r="L195" i="165"/>
  <c r="M23" i="165"/>
  <c r="M23" i="177" s="1"/>
  <c r="I149" i="165"/>
  <c r="I72" i="165"/>
  <c r="I72" i="177" s="1"/>
  <c r="N72" i="165"/>
  <c r="L26" i="165"/>
  <c r="L72" i="165"/>
  <c r="K72" i="165"/>
  <c r="K72" i="177" s="1"/>
  <c r="M72" i="165"/>
  <c r="G53" i="167"/>
  <c r="J50" i="167"/>
  <c r="J49" i="167"/>
  <c r="F17" i="177" l="1"/>
  <c r="M17" i="165"/>
  <c r="N17" i="177"/>
  <c r="M187" i="177"/>
  <c r="M176" i="177" s="1"/>
  <c r="M175" i="177" s="1"/>
  <c r="M176" i="165"/>
  <c r="N17" i="165"/>
  <c r="I17" i="165"/>
  <c r="M17" i="177"/>
  <c r="M16" i="177" s="1"/>
  <c r="I17" i="177"/>
  <c r="I16" i="177"/>
  <c r="K248" i="177"/>
  <c r="R249" i="177"/>
  <c r="L222" i="177"/>
  <c r="G176" i="165"/>
  <c r="G187" i="177"/>
  <c r="G176" i="177" s="1"/>
  <c r="G175" i="177" s="1"/>
  <c r="F16" i="177"/>
  <c r="M69" i="165"/>
  <c r="M72" i="177"/>
  <c r="M69" i="177" s="1"/>
  <c r="M68" i="177" s="1"/>
  <c r="L69" i="165"/>
  <c r="L72" i="177"/>
  <c r="L69" i="177" s="1"/>
  <c r="L68" i="177" s="1"/>
  <c r="L258" i="177"/>
  <c r="L269" i="177"/>
  <c r="I122" i="177"/>
  <c r="I90" i="177" s="1"/>
  <c r="I89" i="177" s="1"/>
  <c r="I90" i="165"/>
  <c r="I176" i="165"/>
  <c r="I187" i="177"/>
  <c r="I176" i="177" s="1"/>
  <c r="I175" i="177" s="1"/>
  <c r="E32" i="165"/>
  <c r="E32" i="177" s="1"/>
  <c r="E33" i="177"/>
  <c r="I69" i="165"/>
  <c r="L23" i="165"/>
  <c r="L26" i="177"/>
  <c r="K269" i="177"/>
  <c r="R270" i="177"/>
  <c r="N16" i="177"/>
  <c r="N69" i="165"/>
  <c r="N72" i="177"/>
  <c r="N69" i="177" s="1"/>
  <c r="N68" i="177" s="1"/>
  <c r="I69" i="177"/>
  <c r="I68" i="177" s="1"/>
  <c r="L248" i="177"/>
  <c r="L176" i="165"/>
  <c r="L187" i="177"/>
  <c r="L176" i="177" s="1"/>
  <c r="N176" i="165"/>
  <c r="N187" i="177"/>
  <c r="N176" i="177" s="1"/>
  <c r="N175" i="177" s="1"/>
  <c r="R195" i="177"/>
  <c r="K194" i="177"/>
  <c r="J46" i="167"/>
  <c r="L175" i="177" l="1"/>
  <c r="L17" i="165"/>
  <c r="L23" i="177"/>
  <c r="L17" i="177" s="1"/>
  <c r="I302" i="177"/>
  <c r="I313" i="177" s="1"/>
  <c r="K67" i="166"/>
  <c r="I67" i="166"/>
  <c r="F61" i="165"/>
  <c r="G61" i="165"/>
  <c r="G61" i="177" s="1"/>
  <c r="G60" i="165"/>
  <c r="G60" i="177" s="1"/>
  <c r="O61" i="165"/>
  <c r="G53" i="165"/>
  <c r="F53" i="165"/>
  <c r="F53" i="177" s="1"/>
  <c r="J55" i="165"/>
  <c r="E55" i="165"/>
  <c r="O48" i="165"/>
  <c r="G47" i="165"/>
  <c r="G47" i="177" s="1"/>
  <c r="F47" i="165"/>
  <c r="F47" i="177" s="1"/>
  <c r="E48" i="165"/>
  <c r="E48" i="177" s="1"/>
  <c r="J57" i="167"/>
  <c r="G53" i="177" l="1"/>
  <c r="E61" i="165"/>
  <c r="F61" i="177"/>
  <c r="L16" i="177"/>
  <c r="O47" i="165"/>
  <c r="O47" i="177" s="1"/>
  <c r="O48" i="177"/>
  <c r="H50" i="167"/>
  <c r="E55" i="177"/>
  <c r="J61" i="165"/>
  <c r="O61" i="177"/>
  <c r="I50" i="167"/>
  <c r="J55" i="177"/>
  <c r="F59" i="165"/>
  <c r="F59" i="177" s="1"/>
  <c r="G59" i="165"/>
  <c r="G59" i="177" s="1"/>
  <c r="E47" i="165"/>
  <c r="E47" i="177" s="1"/>
  <c r="H46" i="167"/>
  <c r="G50" i="167"/>
  <c r="P55" i="165"/>
  <c r="P55" i="177" s="1"/>
  <c r="K63" i="165"/>
  <c r="K63" i="177" s="1"/>
  <c r="J73" i="166"/>
  <c r="F64" i="165"/>
  <c r="O64" i="165"/>
  <c r="J44" i="167"/>
  <c r="M44" i="167" s="1"/>
  <c r="G45" i="165"/>
  <c r="G45" i="177" s="1"/>
  <c r="L43" i="165"/>
  <c r="L43" i="177" s="1"/>
  <c r="M43" i="165"/>
  <c r="N43" i="165"/>
  <c r="N45" i="165"/>
  <c r="N45" i="177" s="1"/>
  <c r="M45" i="165"/>
  <c r="J56" i="167"/>
  <c r="I55" i="167" l="1"/>
  <c r="J61" i="177"/>
  <c r="N43" i="177"/>
  <c r="M43" i="177"/>
  <c r="O63" i="165"/>
  <c r="O63" i="177" s="1"/>
  <c r="O64" i="177"/>
  <c r="H55" i="167"/>
  <c r="G55" i="167" s="1"/>
  <c r="E61" i="177"/>
  <c r="M44" i="165"/>
  <c r="M44" i="177" s="1"/>
  <c r="M45" i="177"/>
  <c r="E64" i="165"/>
  <c r="F64" i="177"/>
  <c r="P61" i="165"/>
  <c r="P61" i="177" s="1"/>
  <c r="K44" i="165"/>
  <c r="J41" i="167"/>
  <c r="M41" i="167" s="1"/>
  <c r="R64" i="165"/>
  <c r="J64" i="165"/>
  <c r="F63" i="165"/>
  <c r="F44" i="165"/>
  <c r="F44" i="177" s="1"/>
  <c r="J48" i="165"/>
  <c r="J48" i="177" s="1"/>
  <c r="O62" i="165"/>
  <c r="E62" i="165"/>
  <c r="H56" i="165"/>
  <c r="H56" i="177" s="1"/>
  <c r="G57" i="165"/>
  <c r="F56" i="165"/>
  <c r="F56" i="177" s="1"/>
  <c r="G44" i="165"/>
  <c r="H44" i="165"/>
  <c r="H44" i="177" s="1"/>
  <c r="J58" i="167"/>
  <c r="J74" i="166"/>
  <c r="G65" i="165"/>
  <c r="G65" i="177" s="1"/>
  <c r="F65" i="165"/>
  <c r="O65" i="165"/>
  <c r="H56" i="167" l="1"/>
  <c r="E62" i="177"/>
  <c r="E63" i="165"/>
  <c r="E63" i="177" s="1"/>
  <c r="F63" i="177"/>
  <c r="J62" i="165"/>
  <c r="O62" i="177"/>
  <c r="I57" i="167"/>
  <c r="J64" i="177"/>
  <c r="K42" i="165"/>
  <c r="K42" i="177" s="1"/>
  <c r="K41" i="177" s="1"/>
  <c r="K44" i="177"/>
  <c r="G56" i="165"/>
  <c r="G56" i="177" s="1"/>
  <c r="G57" i="177"/>
  <c r="E65" i="165"/>
  <c r="F65" i="177"/>
  <c r="M42" i="165"/>
  <c r="J65" i="165"/>
  <c r="O65" i="177"/>
  <c r="G44" i="177"/>
  <c r="G42" i="165"/>
  <c r="G42" i="177" s="1"/>
  <c r="G41" i="177" s="1"/>
  <c r="G40" i="177" s="1"/>
  <c r="H57" i="167"/>
  <c r="E64" i="177"/>
  <c r="F42" i="165"/>
  <c r="F42" i="177" s="1"/>
  <c r="F41" i="177" s="1"/>
  <c r="J19" i="166"/>
  <c r="R65" i="165"/>
  <c r="O43" i="165"/>
  <c r="O43" i="177" s="1"/>
  <c r="J47" i="165"/>
  <c r="J47" i="177" s="1"/>
  <c r="I46" i="167"/>
  <c r="G46" i="167" s="1"/>
  <c r="P64" i="165"/>
  <c r="P64" i="177" s="1"/>
  <c r="J63" i="165"/>
  <c r="J63" i="177" s="1"/>
  <c r="P48" i="165"/>
  <c r="P62" i="165"/>
  <c r="P62" i="177" s="1"/>
  <c r="P65" i="165"/>
  <c r="P65" i="177" s="1"/>
  <c r="F293" i="165"/>
  <c r="O294" i="165"/>
  <c r="E294" i="165"/>
  <c r="J237" i="167"/>
  <c r="I237" i="167"/>
  <c r="I236" i="167" s="1"/>
  <c r="H271" i="165"/>
  <c r="F272" i="165"/>
  <c r="O273" i="165"/>
  <c r="E273" i="165"/>
  <c r="F250" i="165"/>
  <c r="F250" i="177" s="1"/>
  <c r="F249" i="177" s="1"/>
  <c r="F248" i="177" s="1"/>
  <c r="O252" i="165"/>
  <c r="E252" i="165"/>
  <c r="F242" i="165"/>
  <c r="O244" i="165"/>
  <c r="E244" i="165"/>
  <c r="F223" i="165"/>
  <c r="O226" i="165"/>
  <c r="E226" i="165"/>
  <c r="F196" i="165"/>
  <c r="F196" i="177" s="1"/>
  <c r="O198" i="165"/>
  <c r="E198" i="165"/>
  <c r="O93" i="165"/>
  <c r="E93" i="165"/>
  <c r="E93" i="177" s="1"/>
  <c r="H210" i="167" l="1"/>
  <c r="G210" i="167" s="1"/>
  <c r="E252" i="177"/>
  <c r="H192" i="167"/>
  <c r="G192" i="167" s="1"/>
  <c r="E226" i="177"/>
  <c r="J244" i="165"/>
  <c r="J244" i="177" s="1"/>
  <c r="O244" i="177"/>
  <c r="H169" i="167"/>
  <c r="G169" i="167" s="1"/>
  <c r="E198" i="177"/>
  <c r="J226" i="165"/>
  <c r="J226" i="177" s="1"/>
  <c r="O226" i="177"/>
  <c r="F241" i="165"/>
  <c r="F242" i="177"/>
  <c r="F241" i="177" s="1"/>
  <c r="F240" i="177" s="1"/>
  <c r="H226" i="167"/>
  <c r="G226" i="167" s="1"/>
  <c r="E273" i="177"/>
  <c r="F292" i="165"/>
  <c r="F293" i="177"/>
  <c r="P47" i="165"/>
  <c r="P47" i="177" s="1"/>
  <c r="P48" i="177"/>
  <c r="I58" i="167"/>
  <c r="J65" i="177"/>
  <c r="M42" i="177"/>
  <c r="M41" i="177" s="1"/>
  <c r="M41" i="165"/>
  <c r="G57" i="167"/>
  <c r="J198" i="165"/>
  <c r="J198" i="177" s="1"/>
  <c r="O198" i="177"/>
  <c r="J273" i="165"/>
  <c r="J273" i="177" s="1"/>
  <c r="O273" i="177"/>
  <c r="H205" i="167"/>
  <c r="H203" i="167" s="1"/>
  <c r="E244" i="177"/>
  <c r="J252" i="165"/>
  <c r="J252" i="177" s="1"/>
  <c r="O252" i="177"/>
  <c r="F271" i="165"/>
  <c r="F272" i="177"/>
  <c r="H238" i="167"/>
  <c r="G238" i="167" s="1"/>
  <c r="G237" i="167" s="1"/>
  <c r="E294" i="177"/>
  <c r="G41" i="165"/>
  <c r="F40" i="177"/>
  <c r="J93" i="165"/>
  <c r="O93" i="177"/>
  <c r="H270" i="165"/>
  <c r="H271" i="177"/>
  <c r="H270" i="177" s="1"/>
  <c r="H269" i="177" s="1"/>
  <c r="J294" i="165"/>
  <c r="J294" i="177" s="1"/>
  <c r="O294" i="177"/>
  <c r="H58" i="167"/>
  <c r="G58" i="167" s="1"/>
  <c r="E65" i="177"/>
  <c r="K40" i="177"/>
  <c r="R41" i="177"/>
  <c r="I56" i="167"/>
  <c r="G56" i="167" s="1"/>
  <c r="J62" i="177"/>
  <c r="F249" i="165"/>
  <c r="H89" i="167"/>
  <c r="G205" i="167"/>
  <c r="P63" i="165"/>
  <c r="P63" i="177" s="1"/>
  <c r="H237" i="167"/>
  <c r="H236" i="167" s="1"/>
  <c r="P273" i="165"/>
  <c r="P273" i="177" s="1"/>
  <c r="P294" i="165"/>
  <c r="P294" i="177" s="1"/>
  <c r="J236" i="167"/>
  <c r="G236" i="167"/>
  <c r="P252" i="165"/>
  <c r="P252" i="177" s="1"/>
  <c r="P244" i="165"/>
  <c r="P244" i="177" s="1"/>
  <c r="P226" i="165"/>
  <c r="P226" i="177" s="1"/>
  <c r="P93" i="165"/>
  <c r="P93" i="177" s="1"/>
  <c r="P198" i="165" l="1"/>
  <c r="P198" i="177" s="1"/>
  <c r="I89" i="167"/>
  <c r="J93" i="177"/>
  <c r="F291" i="165"/>
  <c r="F292" i="177"/>
  <c r="F291" i="177" s="1"/>
  <c r="F290" i="177" s="1"/>
  <c r="G89" i="167"/>
  <c r="F270" i="165"/>
  <c r="F271" i="177"/>
  <c r="F270" i="177" s="1"/>
  <c r="F269" i="177" s="1"/>
  <c r="M40" i="177"/>
  <c r="M302" i="177"/>
  <c r="M313" i="177" s="1"/>
  <c r="F177" i="165"/>
  <c r="O179" i="165"/>
  <c r="E179" i="165"/>
  <c r="H153" i="167" l="1"/>
  <c r="G153" i="167" s="1"/>
  <c r="E179" i="177"/>
  <c r="J179" i="165"/>
  <c r="J179" i="177" s="1"/>
  <c r="O179" i="177"/>
  <c r="F176" i="165"/>
  <c r="F177" i="177"/>
  <c r="F176" i="177" s="1"/>
  <c r="F175" i="177" s="1"/>
  <c r="P179" i="165" l="1"/>
  <c r="P179" i="177" s="1"/>
  <c r="O21" i="165"/>
  <c r="E21" i="165"/>
  <c r="J21" i="165" l="1"/>
  <c r="J21" i="177" s="1"/>
  <c r="O21" i="177"/>
  <c r="H19" i="167"/>
  <c r="G19" i="167" s="1"/>
  <c r="E21" i="177"/>
  <c r="C27" i="171"/>
  <c r="C29" i="171"/>
  <c r="D28" i="171"/>
  <c r="C28" i="171" s="1"/>
  <c r="D26" i="171"/>
  <c r="C26" i="171" s="1"/>
  <c r="P21" i="165" l="1"/>
  <c r="P21" i="177" s="1"/>
  <c r="D25" i="171"/>
  <c r="F204" i="165" l="1"/>
  <c r="F200" i="165" l="1"/>
  <c r="F204" i="177"/>
  <c r="K86" i="165"/>
  <c r="F195" i="165" l="1"/>
  <c r="F200" i="177"/>
  <c r="F195" i="177" s="1"/>
  <c r="F194" i="177" s="1"/>
  <c r="K85" i="165"/>
  <c r="K86" i="177"/>
  <c r="J161" i="167"/>
  <c r="K69" i="165" l="1"/>
  <c r="K85" i="177"/>
  <c r="K69" i="177" s="1"/>
  <c r="F29" i="172"/>
  <c r="E29" i="172"/>
  <c r="F19" i="172"/>
  <c r="C106" i="171"/>
  <c r="C105" i="171"/>
  <c r="C104" i="171"/>
  <c r="C103" i="171"/>
  <c r="C102" i="171"/>
  <c r="D101" i="171"/>
  <c r="C99" i="171"/>
  <c r="D98" i="171"/>
  <c r="C98" i="171" s="1"/>
  <c r="C95" i="171"/>
  <c r="E94" i="171"/>
  <c r="C94" i="171" s="1"/>
  <c r="C93" i="171"/>
  <c r="C92" i="171"/>
  <c r="F91" i="171"/>
  <c r="F90" i="171" s="1"/>
  <c r="F85" i="171" s="1"/>
  <c r="E91" i="171"/>
  <c r="E90" i="171" s="1"/>
  <c r="C90" i="171" s="1"/>
  <c r="C91" i="171"/>
  <c r="C89" i="171"/>
  <c r="C88" i="171"/>
  <c r="C87" i="171"/>
  <c r="E86" i="171"/>
  <c r="D86" i="171"/>
  <c r="D85" i="171" s="1"/>
  <c r="C84" i="171"/>
  <c r="C83" i="171"/>
  <c r="C82" i="171"/>
  <c r="C81" i="171"/>
  <c r="E80" i="171"/>
  <c r="C80" i="171" s="1"/>
  <c r="D79" i="171"/>
  <c r="C78" i="171"/>
  <c r="C76" i="171"/>
  <c r="C75" i="171"/>
  <c r="F74" i="171"/>
  <c r="F55" i="171" s="1"/>
  <c r="E74" i="171"/>
  <c r="D74" i="171"/>
  <c r="C73" i="171"/>
  <c r="C72" i="171"/>
  <c r="D71" i="171"/>
  <c r="C71" i="171" s="1"/>
  <c r="C70" i="171"/>
  <c r="C69" i="171"/>
  <c r="C68" i="171"/>
  <c r="C67" i="171"/>
  <c r="C66" i="171"/>
  <c r="D65" i="171"/>
  <c r="C63" i="171"/>
  <c r="C62" i="171"/>
  <c r="C61" i="171"/>
  <c r="D60" i="171"/>
  <c r="C60" i="171" s="1"/>
  <c r="C59" i="171"/>
  <c r="C58" i="171"/>
  <c r="C57" i="171"/>
  <c r="C54" i="171"/>
  <c r="C53" i="171"/>
  <c r="C52" i="171"/>
  <c r="E51" i="171"/>
  <c r="D51" i="171"/>
  <c r="E50" i="171"/>
  <c r="C50" i="171" s="1"/>
  <c r="C49" i="171"/>
  <c r="C48" i="171"/>
  <c r="C47" i="171"/>
  <c r="D46" i="171"/>
  <c r="C46" i="171" s="1"/>
  <c r="C45" i="171"/>
  <c r="C44" i="171"/>
  <c r="D43" i="171"/>
  <c r="C43" i="171" s="1"/>
  <c r="C42" i="171"/>
  <c r="C41" i="171"/>
  <c r="C40" i="171"/>
  <c r="C39" i="171"/>
  <c r="C38" i="171"/>
  <c r="C37" i="171"/>
  <c r="C36" i="171"/>
  <c r="C35" i="171"/>
  <c r="C34" i="171"/>
  <c r="C33" i="171"/>
  <c r="D32" i="171"/>
  <c r="C32" i="171" s="1"/>
  <c r="C30" i="171"/>
  <c r="C25" i="171"/>
  <c r="C24" i="171"/>
  <c r="D23" i="171"/>
  <c r="C23" i="171" s="1"/>
  <c r="C22" i="171"/>
  <c r="D21" i="171"/>
  <c r="C21" i="171" s="1"/>
  <c r="C19" i="171"/>
  <c r="C18" i="171"/>
  <c r="C17" i="171"/>
  <c r="C16" i="171"/>
  <c r="C15" i="171"/>
  <c r="C14" i="171"/>
  <c r="D13" i="171"/>
  <c r="D12" i="171" s="1"/>
  <c r="K68" i="177" l="1"/>
  <c r="R69" i="177"/>
  <c r="C101" i="171"/>
  <c r="D100" i="171"/>
  <c r="C86" i="171"/>
  <c r="D64" i="171"/>
  <c r="C64" i="171" s="1"/>
  <c r="C74" i="171"/>
  <c r="D20" i="171"/>
  <c r="C20" i="171" s="1"/>
  <c r="C13" i="171"/>
  <c r="D31" i="171"/>
  <c r="C51" i="171"/>
  <c r="C65" i="171"/>
  <c r="E11" i="171"/>
  <c r="F96" i="171"/>
  <c r="F111" i="171" s="1"/>
  <c r="C12" i="171"/>
  <c r="E79" i="171"/>
  <c r="D56" i="171"/>
  <c r="E85" i="171"/>
  <c r="C85" i="171" s="1"/>
  <c r="C31" i="171" l="1"/>
  <c r="D11" i="171"/>
  <c r="C11" i="171" s="1"/>
  <c r="C79" i="171"/>
  <c r="E55" i="171"/>
  <c r="E96" i="171" s="1"/>
  <c r="C100" i="171"/>
  <c r="D97" i="171"/>
  <c r="C97" i="171" s="1"/>
  <c r="D55" i="171"/>
  <c r="C56" i="171"/>
  <c r="C55" i="171" l="1"/>
  <c r="D96" i="171"/>
  <c r="D111" i="171" l="1"/>
  <c r="C111" i="171" s="1"/>
  <c r="C96" i="171"/>
  <c r="K184" i="165" l="1"/>
  <c r="K184" i="177" s="1"/>
  <c r="R184" i="177" s="1"/>
  <c r="K181" i="165" l="1"/>
  <c r="R184" i="165"/>
  <c r="K180" i="165" l="1"/>
  <c r="K181" i="177"/>
  <c r="J148" i="167"/>
  <c r="K176" i="165" l="1"/>
  <c r="K180" i="177"/>
  <c r="K176" i="177" s="1"/>
  <c r="R25" i="165"/>
  <c r="K175" i="177" l="1"/>
  <c r="R176" i="177"/>
  <c r="K18" i="165"/>
  <c r="K17" i="165" l="1"/>
  <c r="K18" i="177"/>
  <c r="K17" i="177" s="1"/>
  <c r="F101" i="165"/>
  <c r="F101" i="177" s="1"/>
  <c r="K88" i="166"/>
  <c r="K87" i="166"/>
  <c r="K16" i="177" l="1"/>
  <c r="R17" i="177"/>
  <c r="K82" i="166"/>
  <c r="I82" i="166"/>
  <c r="F41" i="165"/>
  <c r="R174" i="165"/>
  <c r="O174" i="165"/>
  <c r="O174" i="177" s="1"/>
  <c r="E174" i="165"/>
  <c r="E174" i="177" s="1"/>
  <c r="F162" i="165"/>
  <c r="F162" i="177" s="1"/>
  <c r="H163" i="165"/>
  <c r="H162" i="165" l="1"/>
  <c r="H163" i="177"/>
  <c r="H148" i="167"/>
  <c r="E173" i="165"/>
  <c r="J174" i="165"/>
  <c r="O173" i="165"/>
  <c r="E172" i="165" l="1"/>
  <c r="E172" i="177" s="1"/>
  <c r="E173" i="177"/>
  <c r="O172" i="165"/>
  <c r="O172" i="177" s="1"/>
  <c r="O173" i="177"/>
  <c r="P174" i="165"/>
  <c r="J174" i="177"/>
  <c r="H156" i="165"/>
  <c r="H156" i="177" s="1"/>
  <c r="H162" i="177"/>
  <c r="I148" i="167"/>
  <c r="G148" i="167" s="1"/>
  <c r="J173" i="165"/>
  <c r="P173" i="165" l="1"/>
  <c r="P174" i="177"/>
  <c r="J172" i="165"/>
  <c r="J172" i="177" s="1"/>
  <c r="J173" i="177"/>
  <c r="P20" i="107"/>
  <c r="I17" i="107"/>
  <c r="P172" i="165" l="1"/>
  <c r="P172" i="177" s="1"/>
  <c r="P173" i="177"/>
  <c r="I13" i="107"/>
  <c r="I12" i="107" s="1"/>
  <c r="I20" i="107" s="1"/>
  <c r="I16" i="107"/>
  <c r="I15" i="107" s="1"/>
  <c r="I14" i="107" s="1"/>
  <c r="D53" i="170"/>
  <c r="D49" i="170"/>
  <c r="D45" i="170"/>
  <c r="D42" i="170"/>
  <c r="N304" i="165" l="1"/>
  <c r="M304" i="165"/>
  <c r="D28" i="108" l="1"/>
  <c r="J314" i="165"/>
  <c r="D32" i="108" l="1"/>
  <c r="H214" i="167" l="1"/>
  <c r="F264" i="165" l="1"/>
  <c r="F264" i="177" s="1"/>
  <c r="K265" i="165"/>
  <c r="H293" i="165"/>
  <c r="H292" i="165" l="1"/>
  <c r="H293" i="177"/>
  <c r="K264" i="165"/>
  <c r="K265" i="177"/>
  <c r="R265" i="177" s="1"/>
  <c r="M218" i="167"/>
  <c r="F261" i="165"/>
  <c r="F261" i="177" s="1"/>
  <c r="J235" i="167"/>
  <c r="J234" i="167"/>
  <c r="H284" i="165"/>
  <c r="H283" i="165" l="1"/>
  <c r="H284" i="177"/>
  <c r="K261" i="165"/>
  <c r="K264" i="177"/>
  <c r="H291" i="165"/>
  <c r="H292" i="177"/>
  <c r="H291" i="177" s="1"/>
  <c r="H290" i="177" s="1"/>
  <c r="F260" i="165"/>
  <c r="F260" i="177" s="1"/>
  <c r="F259" i="177" s="1"/>
  <c r="F258" i="177" s="1"/>
  <c r="J232" i="167"/>
  <c r="J230" i="167"/>
  <c r="J229" i="167"/>
  <c r="J228" i="167"/>
  <c r="J227" i="167"/>
  <c r="H230" i="167"/>
  <c r="G225" i="167"/>
  <c r="O278" i="165"/>
  <c r="O278" i="177" s="1"/>
  <c r="O277" i="165"/>
  <c r="O277" i="177" s="1"/>
  <c r="J237" i="166"/>
  <c r="J211" i="167"/>
  <c r="R251" i="165"/>
  <c r="H251" i="165"/>
  <c r="K260" i="165" l="1"/>
  <c r="K261" i="177"/>
  <c r="H250" i="165"/>
  <c r="H251" i="177"/>
  <c r="H282" i="165"/>
  <c r="H283" i="177"/>
  <c r="H282" i="177" s="1"/>
  <c r="H281" i="177" s="1"/>
  <c r="F259" i="165"/>
  <c r="R272" i="165"/>
  <c r="O276" i="165"/>
  <c r="O276" i="177" s="1"/>
  <c r="J236" i="166"/>
  <c r="J224" i="167"/>
  <c r="R243" i="165"/>
  <c r="J204" i="167"/>
  <c r="J203" i="167" s="1"/>
  <c r="I204" i="167"/>
  <c r="I203" i="167" s="1"/>
  <c r="H243" i="165"/>
  <c r="H225" i="165"/>
  <c r="J189" i="167"/>
  <c r="J187" i="167"/>
  <c r="J188" i="167"/>
  <c r="J185" i="167"/>
  <c r="H185" i="167"/>
  <c r="J183" i="167"/>
  <c r="J181" i="167"/>
  <c r="J179" i="167"/>
  <c r="J178" i="167"/>
  <c r="J173" i="167"/>
  <c r="J172" i="167"/>
  <c r="J171" i="167"/>
  <c r="J170" i="167"/>
  <c r="O221" i="165"/>
  <c r="J221" i="165" s="1"/>
  <c r="O219" i="165"/>
  <c r="O219" i="177" s="1"/>
  <c r="O220" i="165"/>
  <c r="O220" i="177" s="1"/>
  <c r="R197" i="165"/>
  <c r="R178" i="165"/>
  <c r="H197" i="165"/>
  <c r="J164" i="167"/>
  <c r="J160" i="167"/>
  <c r="J157" i="167"/>
  <c r="J156" i="167"/>
  <c r="J155" i="167"/>
  <c r="H177" i="165"/>
  <c r="H225" i="177" l="1"/>
  <c r="H224" i="165"/>
  <c r="H224" i="177" s="1"/>
  <c r="H223" i="177" s="1"/>
  <c r="H222" i="177" s="1"/>
  <c r="H196" i="165"/>
  <c r="H196" i="177" s="1"/>
  <c r="H197" i="177"/>
  <c r="H242" i="165"/>
  <c r="H243" i="177"/>
  <c r="H249" i="165"/>
  <c r="H250" i="177"/>
  <c r="H249" i="177" s="1"/>
  <c r="H248" i="177" s="1"/>
  <c r="H176" i="165"/>
  <c r="H177" i="177"/>
  <c r="H176" i="177" s="1"/>
  <c r="H175" i="177" s="1"/>
  <c r="K259" i="165"/>
  <c r="K260" i="177"/>
  <c r="K259" i="177" s="1"/>
  <c r="J219" i="165"/>
  <c r="J219" i="177" s="1"/>
  <c r="O218" i="165"/>
  <c r="I187" i="167"/>
  <c r="I189" i="167"/>
  <c r="J151" i="167"/>
  <c r="J167" i="167"/>
  <c r="J166" i="167" s="1"/>
  <c r="M166" i="167" s="1"/>
  <c r="J137" i="167"/>
  <c r="L163" i="165"/>
  <c r="N163" i="165"/>
  <c r="N154" i="165"/>
  <c r="L153" i="165"/>
  <c r="K168" i="165"/>
  <c r="K168" i="177" s="1"/>
  <c r="R168" i="177" s="1"/>
  <c r="K164" i="165"/>
  <c r="K164" i="177" s="1"/>
  <c r="R164" i="177" s="1"/>
  <c r="K113" i="166"/>
  <c r="I113" i="166"/>
  <c r="L150" i="165" l="1"/>
  <c r="L150" i="177" s="1"/>
  <c r="L153" i="177"/>
  <c r="O217" i="165"/>
  <c r="O217" i="177" s="1"/>
  <c r="O218" i="177"/>
  <c r="H241" i="165"/>
  <c r="H242" i="177"/>
  <c r="H241" i="177" s="1"/>
  <c r="H240" i="177" s="1"/>
  <c r="N153" i="165"/>
  <c r="N154" i="177"/>
  <c r="N162" i="165"/>
  <c r="N163" i="177"/>
  <c r="L162" i="165"/>
  <c r="L163" i="177"/>
  <c r="R259" i="177"/>
  <c r="K258" i="177"/>
  <c r="H223" i="165"/>
  <c r="R164" i="165"/>
  <c r="K162" i="165"/>
  <c r="K162" i="177" s="1"/>
  <c r="R168" i="165"/>
  <c r="K165" i="165"/>
  <c r="K165" i="177" s="1"/>
  <c r="K154" i="165"/>
  <c r="K154" i="177" s="1"/>
  <c r="R154" i="177" s="1"/>
  <c r="L156" i="165" l="1"/>
  <c r="L162" i="177"/>
  <c r="N150" i="165"/>
  <c r="N153" i="177"/>
  <c r="N156" i="165"/>
  <c r="N156" i="177" s="1"/>
  <c r="N162" i="177"/>
  <c r="K153" i="165"/>
  <c r="O154" i="165"/>
  <c r="O154" i="177" s="1"/>
  <c r="K156" i="165"/>
  <c r="R154" i="165"/>
  <c r="J136" i="167"/>
  <c r="P13" i="107"/>
  <c r="P12" i="107" s="1"/>
  <c r="F168" i="165"/>
  <c r="J142" i="167"/>
  <c r="I142" i="167"/>
  <c r="H142" i="167"/>
  <c r="O163" i="165"/>
  <c r="O163" i="177" s="1"/>
  <c r="F161" i="165"/>
  <c r="F159" i="165"/>
  <c r="H155" i="165"/>
  <c r="H155" i="177" s="1"/>
  <c r="F154" i="165"/>
  <c r="F154" i="177" s="1"/>
  <c r="H154" i="165"/>
  <c r="H154" i="177" s="1"/>
  <c r="F151" i="165"/>
  <c r="F151" i="177" s="1"/>
  <c r="H152" i="165"/>
  <c r="E301" i="165"/>
  <c r="I130" i="165"/>
  <c r="J132" i="167"/>
  <c r="O140" i="165"/>
  <c r="O140" i="177" s="1"/>
  <c r="L140" i="165"/>
  <c r="L133" i="165"/>
  <c r="O133" i="165"/>
  <c r="N133" i="165"/>
  <c r="L138" i="165"/>
  <c r="L138" i="177" s="1"/>
  <c r="N138" i="165"/>
  <c r="N138" i="177" s="1"/>
  <c r="L137" i="165"/>
  <c r="L137" i="177" s="1"/>
  <c r="N137" i="165"/>
  <c r="N137" i="177" s="1"/>
  <c r="L136" i="165"/>
  <c r="L136" i="177" s="1"/>
  <c r="N136" i="165"/>
  <c r="N136" i="177" s="1"/>
  <c r="N132" i="165" l="1"/>
  <c r="N132" i="177" s="1"/>
  <c r="N133" i="177"/>
  <c r="H151" i="165"/>
  <c r="H151" i="177" s="1"/>
  <c r="H152" i="177"/>
  <c r="O132" i="165"/>
  <c r="O132" i="177" s="1"/>
  <c r="O133" i="177"/>
  <c r="F157" i="165"/>
  <c r="F157" i="177" s="1"/>
  <c r="F159" i="177"/>
  <c r="K150" i="165"/>
  <c r="K150" i="177" s="1"/>
  <c r="K153" i="177"/>
  <c r="L132" i="165"/>
  <c r="L132" i="177" s="1"/>
  <c r="L133" i="177"/>
  <c r="F160" i="165"/>
  <c r="F160" i="177" s="1"/>
  <c r="F161" i="177"/>
  <c r="N149" i="165"/>
  <c r="N150" i="177"/>
  <c r="N149" i="177" s="1"/>
  <c r="N148" i="177" s="1"/>
  <c r="L139" i="165"/>
  <c r="L139" i="177" s="1"/>
  <c r="L140" i="177"/>
  <c r="E301" i="177"/>
  <c r="E53" i="170"/>
  <c r="F165" i="165"/>
  <c r="F165" i="177" s="1"/>
  <c r="F168" i="177"/>
  <c r="K149" i="165"/>
  <c r="K156" i="177"/>
  <c r="L156" i="177"/>
  <c r="L149" i="177" s="1"/>
  <c r="L149" i="165"/>
  <c r="E300" i="165"/>
  <c r="H153" i="165"/>
  <c r="F156" i="165"/>
  <c r="F156" i="177" s="1"/>
  <c r="N134" i="165"/>
  <c r="L134" i="165"/>
  <c r="F153" i="165"/>
  <c r="O147" i="165"/>
  <c r="O147" i="177" s="1"/>
  <c r="E147" i="165"/>
  <c r="F141" i="165"/>
  <c r="F141" i="177" s="1"/>
  <c r="H140" i="165"/>
  <c r="K108" i="166"/>
  <c r="I108" i="166"/>
  <c r="R138" i="165"/>
  <c r="H139" i="165" l="1"/>
  <c r="H139" i="177" s="1"/>
  <c r="H140" i="177"/>
  <c r="F150" i="165"/>
  <c r="F150" i="177" s="1"/>
  <c r="F149" i="177" s="1"/>
  <c r="F153" i="177"/>
  <c r="H150" i="165"/>
  <c r="H153" i="177"/>
  <c r="L131" i="177"/>
  <c r="L131" i="165"/>
  <c r="L134" i="177"/>
  <c r="E299" i="165"/>
  <c r="E300" i="177"/>
  <c r="E147" i="177"/>
  <c r="E49" i="170"/>
  <c r="N131" i="165"/>
  <c r="N134" i="177"/>
  <c r="N131" i="177" s="1"/>
  <c r="N130" i="177" s="1"/>
  <c r="L148" i="177"/>
  <c r="K149" i="177"/>
  <c r="F139" i="165"/>
  <c r="F139" i="177" s="1"/>
  <c r="F149" i="165"/>
  <c r="E146" i="165"/>
  <c r="J147" i="165"/>
  <c r="J147" i="177" s="1"/>
  <c r="O146" i="165"/>
  <c r="H132" i="167"/>
  <c r="H138" i="165"/>
  <c r="H138" i="177" s="1"/>
  <c r="J123" i="167"/>
  <c r="H137" i="165"/>
  <c r="H137" i="177" s="1"/>
  <c r="F137" i="165"/>
  <c r="F137" i="177" s="1"/>
  <c r="J121" i="167"/>
  <c r="J120" i="167" s="1"/>
  <c r="I121" i="167"/>
  <c r="H121" i="167"/>
  <c r="J118" i="167"/>
  <c r="E145" i="165" l="1"/>
  <c r="E145" i="177" s="1"/>
  <c r="E146" i="177"/>
  <c r="L130" i="177"/>
  <c r="F148" i="177"/>
  <c r="P147" i="165"/>
  <c r="P147" i="177" s="1"/>
  <c r="R149" i="177"/>
  <c r="K148" i="177"/>
  <c r="E299" i="177"/>
  <c r="O145" i="165"/>
  <c r="O145" i="177" s="1"/>
  <c r="O146" i="177"/>
  <c r="H149" i="165"/>
  <c r="H150" i="177"/>
  <c r="H149" i="177" s="1"/>
  <c r="H148" i="177" s="1"/>
  <c r="I132" i="167"/>
  <c r="G132" i="167" s="1"/>
  <c r="J146" i="165"/>
  <c r="K134" i="165"/>
  <c r="O138" i="165"/>
  <c r="O138" i="177" s="1"/>
  <c r="H136" i="165"/>
  <c r="F134" i="165"/>
  <c r="F134" i="177" s="1"/>
  <c r="H133" i="165"/>
  <c r="G133" i="165"/>
  <c r="F133" i="165"/>
  <c r="G186" i="167"/>
  <c r="G184" i="167"/>
  <c r="G182" i="167"/>
  <c r="G180" i="167"/>
  <c r="G176" i="167"/>
  <c r="G168" i="167"/>
  <c r="G158" i="167"/>
  <c r="G154" i="167"/>
  <c r="G152" i="167"/>
  <c r="J150" i="167"/>
  <c r="K131" i="165" l="1"/>
  <c r="K134" i="177"/>
  <c r="K131" i="177" s="1"/>
  <c r="J145" i="165"/>
  <c r="J145" i="177" s="1"/>
  <c r="J146" i="177"/>
  <c r="H132" i="165"/>
  <c r="H133" i="177"/>
  <c r="F132" i="165"/>
  <c r="F132" i="177" s="1"/>
  <c r="F131" i="177" s="1"/>
  <c r="F130" i="177" s="1"/>
  <c r="F133" i="177"/>
  <c r="H134" i="165"/>
  <c r="H134" i="177" s="1"/>
  <c r="H136" i="177"/>
  <c r="G132" i="165"/>
  <c r="G133" i="177"/>
  <c r="P146" i="165"/>
  <c r="R136" i="165"/>
  <c r="K79" i="166"/>
  <c r="I79" i="166"/>
  <c r="O20" i="165"/>
  <c r="E20" i="165"/>
  <c r="E20" i="177" s="1"/>
  <c r="J20" i="165" l="1"/>
  <c r="J20" i="177" s="1"/>
  <c r="O20" i="177"/>
  <c r="K130" i="177"/>
  <c r="R131" i="177"/>
  <c r="G131" i="165"/>
  <c r="G132" i="177"/>
  <c r="G131" i="177" s="1"/>
  <c r="G130" i="177" s="1"/>
  <c r="F131" i="165"/>
  <c r="P145" i="165"/>
  <c r="P145" i="177" s="1"/>
  <c r="P146" i="177"/>
  <c r="H131" i="165"/>
  <c r="H132" i="177"/>
  <c r="H131" i="177" s="1"/>
  <c r="H130" i="177" s="1"/>
  <c r="P20" i="165"/>
  <c r="P20" i="177" s="1"/>
  <c r="N106" i="165"/>
  <c r="L106" i="165"/>
  <c r="N117" i="165"/>
  <c r="L117" i="165"/>
  <c r="J106" i="167"/>
  <c r="L116" i="165" l="1"/>
  <c r="L116" i="177" s="1"/>
  <c r="L117" i="177"/>
  <c r="L105" i="165"/>
  <c r="L105" i="177" s="1"/>
  <c r="L106" i="177"/>
  <c r="N116" i="165"/>
  <c r="N116" i="177" s="1"/>
  <c r="N117" i="177"/>
  <c r="N105" i="165"/>
  <c r="N105" i="177" s="1"/>
  <c r="N106" i="177"/>
  <c r="J81" i="166"/>
  <c r="I81" i="166"/>
  <c r="J114" i="167"/>
  <c r="J112" i="167"/>
  <c r="J109" i="167"/>
  <c r="H111" i="167"/>
  <c r="H110" i="167"/>
  <c r="J108" i="167"/>
  <c r="I108" i="167"/>
  <c r="H108" i="167"/>
  <c r="J105" i="167"/>
  <c r="J103" i="167"/>
  <c r="H104" i="167"/>
  <c r="J101" i="167"/>
  <c r="J100" i="167"/>
  <c r="J99" i="167"/>
  <c r="J95" i="167"/>
  <c r="J94" i="167"/>
  <c r="J93" i="167"/>
  <c r="J92" i="167"/>
  <c r="J91" i="167"/>
  <c r="N95" i="165" l="1"/>
  <c r="L95" i="165"/>
  <c r="R87" i="165"/>
  <c r="J76" i="166"/>
  <c r="K81" i="166"/>
  <c r="R121" i="165"/>
  <c r="R118" i="165"/>
  <c r="R97" i="165"/>
  <c r="L90" i="165" l="1"/>
  <c r="L95" i="177"/>
  <c r="L90" i="177" s="1"/>
  <c r="N90" i="165"/>
  <c r="N95" i="177"/>
  <c r="N90" i="177" s="1"/>
  <c r="N89" i="177" s="1"/>
  <c r="J97" i="166"/>
  <c r="K117" i="165"/>
  <c r="K117" i="177" s="1"/>
  <c r="R117" i="177" s="1"/>
  <c r="H117" i="165"/>
  <c r="G117" i="165"/>
  <c r="H107" i="165"/>
  <c r="H107" i="177" s="1"/>
  <c r="G107" i="165"/>
  <c r="H105" i="165"/>
  <c r="H92" i="165"/>
  <c r="J83" i="167"/>
  <c r="I83" i="167"/>
  <c r="J68" i="167"/>
  <c r="J66" i="167"/>
  <c r="J62" i="167"/>
  <c r="K78" i="166"/>
  <c r="I78" i="166"/>
  <c r="G116" i="165" l="1"/>
  <c r="G116" i="177" s="1"/>
  <c r="G117" i="177"/>
  <c r="H91" i="165"/>
  <c r="H91" i="177" s="1"/>
  <c r="H92" i="177"/>
  <c r="H105" i="177"/>
  <c r="H116" i="165"/>
  <c r="H116" i="177" s="1"/>
  <c r="H117" i="177"/>
  <c r="L89" i="177"/>
  <c r="G105" i="165"/>
  <c r="G105" i="177" s="1"/>
  <c r="G107" i="177"/>
  <c r="J91" i="166"/>
  <c r="J107" i="167"/>
  <c r="K116" i="165"/>
  <c r="K116" i="177" s="1"/>
  <c r="R117" i="165"/>
  <c r="F84" i="165"/>
  <c r="F84" i="177" s="1"/>
  <c r="H83" i="165"/>
  <c r="G83" i="165"/>
  <c r="F83" i="165"/>
  <c r="F83" i="177" s="1"/>
  <c r="H95" i="165" l="1"/>
  <c r="H82" i="165"/>
  <c r="H83" i="177"/>
  <c r="G95" i="165"/>
  <c r="G82" i="165"/>
  <c r="G83" i="177"/>
  <c r="K95" i="165"/>
  <c r="F82" i="165"/>
  <c r="H71" i="165"/>
  <c r="G71" i="165"/>
  <c r="F71" i="165"/>
  <c r="K90" i="165" l="1"/>
  <c r="R90" i="165" s="1"/>
  <c r="K95" i="177"/>
  <c r="K90" i="177" s="1"/>
  <c r="G90" i="165"/>
  <c r="G95" i="177"/>
  <c r="G90" i="177" s="1"/>
  <c r="G89" i="177" s="1"/>
  <c r="F72" i="165"/>
  <c r="F72" i="177" s="1"/>
  <c r="F82" i="177"/>
  <c r="F70" i="165"/>
  <c r="F70" i="177" s="1"/>
  <c r="F69" i="177" s="1"/>
  <c r="F71" i="177"/>
  <c r="G70" i="165"/>
  <c r="G71" i="177"/>
  <c r="H70" i="165"/>
  <c r="H71" i="177"/>
  <c r="G72" i="165"/>
  <c r="G72" i="177" s="1"/>
  <c r="G82" i="177"/>
  <c r="H72" i="165"/>
  <c r="H72" i="177" s="1"/>
  <c r="H82" i="177"/>
  <c r="H95" i="177"/>
  <c r="H90" i="177" s="1"/>
  <c r="H89" i="177" s="1"/>
  <c r="H90" i="165"/>
  <c r="F69" i="165"/>
  <c r="K229" i="165"/>
  <c r="K228" i="165" l="1"/>
  <c r="K229" i="177"/>
  <c r="F68" i="177"/>
  <c r="H69" i="165"/>
  <c r="H70" i="177"/>
  <c r="H69" i="177" s="1"/>
  <c r="H68" i="177" s="1"/>
  <c r="R90" i="177"/>
  <c r="K89" i="177"/>
  <c r="G69" i="165"/>
  <c r="G70" i="177"/>
  <c r="G69" i="177" s="1"/>
  <c r="G68" i="177" s="1"/>
  <c r="F17" i="165"/>
  <c r="L57" i="165"/>
  <c r="N57" i="165"/>
  <c r="O54" i="165"/>
  <c r="L53" i="165"/>
  <c r="N54" i="165"/>
  <c r="L52" i="165"/>
  <c r="L52" i="177" s="1"/>
  <c r="N52" i="165"/>
  <c r="N52" i="177" s="1"/>
  <c r="N53" i="165" l="1"/>
  <c r="N53" i="177" s="1"/>
  <c r="N54" i="177"/>
  <c r="L56" i="165"/>
  <c r="L56" i="177" s="1"/>
  <c r="L57" i="177"/>
  <c r="L53" i="177"/>
  <c r="O53" i="165"/>
  <c r="O53" i="177" s="1"/>
  <c r="O54" i="177"/>
  <c r="N56" i="165"/>
  <c r="N56" i="177" s="1"/>
  <c r="N57" i="177"/>
  <c r="K223" i="165"/>
  <c r="K228" i="177"/>
  <c r="K223" i="177" s="1"/>
  <c r="L46" i="165"/>
  <c r="N46" i="165"/>
  <c r="N44" i="165" l="1"/>
  <c r="N46" i="177"/>
  <c r="L44" i="165"/>
  <c r="L46" i="177"/>
  <c r="K222" i="177"/>
  <c r="R223" i="177"/>
  <c r="K302" i="177"/>
  <c r="I43" i="167"/>
  <c r="H43" i="167"/>
  <c r="J40" i="167"/>
  <c r="I40" i="167"/>
  <c r="H40" i="167"/>
  <c r="K24" i="166"/>
  <c r="I24" i="166"/>
  <c r="K45" i="166"/>
  <c r="I45" i="166"/>
  <c r="N44" i="177" l="1"/>
  <c r="N42" i="165"/>
  <c r="N42" i="177" s="1"/>
  <c r="N41" i="177" s="1"/>
  <c r="K313" i="177"/>
  <c r="Q302" i="177"/>
  <c r="L44" i="177"/>
  <c r="L42" i="165"/>
  <c r="L42" i="177" s="1"/>
  <c r="L41" i="177" s="1"/>
  <c r="J39" i="167"/>
  <c r="G40" i="167"/>
  <c r="N40" i="177" l="1"/>
  <c r="N302" i="177"/>
  <c r="N313" i="177" s="1"/>
  <c r="L40" i="177"/>
  <c r="L302" i="177"/>
  <c r="L313" i="177" s="1"/>
  <c r="L41" i="165"/>
  <c r="N41" i="165"/>
  <c r="M39" i="167"/>
  <c r="I53" i="166"/>
  <c r="K49" i="166" l="1"/>
  <c r="I49" i="166"/>
  <c r="I23" i="166"/>
  <c r="I21" i="166"/>
  <c r="K41" i="165" l="1"/>
  <c r="R41" i="165" s="1"/>
  <c r="J48" i="167"/>
  <c r="O52" i="165"/>
  <c r="O52" i="177" s="1"/>
  <c r="H53" i="165"/>
  <c r="H60" i="165"/>
  <c r="H53" i="177" l="1"/>
  <c r="H59" i="165"/>
  <c r="H59" i="177" s="1"/>
  <c r="H60" i="177"/>
  <c r="J29" i="167"/>
  <c r="M29" i="167" s="1"/>
  <c r="O38" i="165"/>
  <c r="E38" i="165"/>
  <c r="E38" i="177" s="1"/>
  <c r="J23" i="167"/>
  <c r="M23" i="167" s="1"/>
  <c r="J38" i="165" l="1"/>
  <c r="O38" i="177"/>
  <c r="H42" i="165"/>
  <c r="E45" i="170"/>
  <c r="P38" i="165"/>
  <c r="P38" i="177" s="1"/>
  <c r="H29" i="167"/>
  <c r="H42" i="177" l="1"/>
  <c r="H41" i="177" s="1"/>
  <c r="H40" i="177" s="1"/>
  <c r="H41" i="165"/>
  <c r="I29" i="167"/>
  <c r="L29" i="167" s="1"/>
  <c r="J38" i="177"/>
  <c r="K29" i="167"/>
  <c r="G29" i="167" l="1"/>
  <c r="G18" i="167"/>
  <c r="R19" i="165"/>
  <c r="H19" i="165"/>
  <c r="G18" i="165"/>
  <c r="H18" i="165" l="1"/>
  <c r="H19" i="177"/>
  <c r="G17" i="165"/>
  <c r="G18" i="177"/>
  <c r="G17" i="177" s="1"/>
  <c r="M17" i="167"/>
  <c r="H218" i="165"/>
  <c r="G218" i="165"/>
  <c r="G16" i="177" l="1"/>
  <c r="H217" i="165"/>
  <c r="H218" i="177"/>
  <c r="G217" i="165"/>
  <c r="G218" i="177"/>
  <c r="H17" i="165"/>
  <c r="H18" i="177"/>
  <c r="H17" i="177" s="1"/>
  <c r="O128" i="165"/>
  <c r="O128" i="177" s="1"/>
  <c r="E128" i="165"/>
  <c r="E128" i="177" s="1"/>
  <c r="O121" i="165"/>
  <c r="O121" i="177" s="1"/>
  <c r="E121" i="165"/>
  <c r="E121" i="177" s="1"/>
  <c r="O118" i="165"/>
  <c r="E118" i="165"/>
  <c r="O117" i="165"/>
  <c r="O117" i="177" s="1"/>
  <c r="O115" i="165"/>
  <c r="O115" i="177" s="1"/>
  <c r="E115" i="165"/>
  <c r="E115" i="177" s="1"/>
  <c r="O113" i="165"/>
  <c r="O113" i="177" s="1"/>
  <c r="F113" i="165"/>
  <c r="F113" i="177" s="1"/>
  <c r="O111" i="165"/>
  <c r="E111" i="165"/>
  <c r="O110" i="165"/>
  <c r="E110" i="165"/>
  <c r="O108" i="165"/>
  <c r="E108" i="165"/>
  <c r="O107" i="165"/>
  <c r="E107" i="165"/>
  <c r="O106" i="165"/>
  <c r="O106" i="177" s="1"/>
  <c r="E106" i="165"/>
  <c r="E106" i="177" s="1"/>
  <c r="O104" i="165"/>
  <c r="E104" i="165"/>
  <c r="O102" i="165"/>
  <c r="E102" i="165"/>
  <c r="O101" i="165"/>
  <c r="E101" i="165"/>
  <c r="O100" i="165"/>
  <c r="E100" i="165"/>
  <c r="O99" i="165"/>
  <c r="E99" i="165"/>
  <c r="O98" i="165"/>
  <c r="E98" i="165"/>
  <c r="E98" i="177" s="1"/>
  <c r="O97" i="165"/>
  <c r="O97" i="177" s="1"/>
  <c r="F97" i="165"/>
  <c r="F97" i="177" s="1"/>
  <c r="O92" i="165"/>
  <c r="E92" i="165"/>
  <c r="J108" i="165" l="1"/>
  <c r="O108" i="177"/>
  <c r="J111" i="165"/>
  <c r="O111" i="177"/>
  <c r="H16" i="177"/>
  <c r="J98" i="165"/>
  <c r="O98" i="177"/>
  <c r="H93" i="167"/>
  <c r="E99" i="177"/>
  <c r="H95" i="167"/>
  <c r="E101" i="177"/>
  <c r="H98" i="167"/>
  <c r="E104" i="177"/>
  <c r="H100" i="167"/>
  <c r="E107" i="177"/>
  <c r="H102" i="167"/>
  <c r="E110" i="177"/>
  <c r="H195" i="165"/>
  <c r="H217" i="177"/>
  <c r="H195" i="177" s="1"/>
  <c r="H194" i="177" s="1"/>
  <c r="J101" i="165"/>
  <c r="O101" i="177"/>
  <c r="J107" i="165"/>
  <c r="O107" i="177"/>
  <c r="J110" i="165"/>
  <c r="P110" i="165" s="1"/>
  <c r="P110" i="177" s="1"/>
  <c r="O110" i="177"/>
  <c r="H109" i="167"/>
  <c r="E118" i="177"/>
  <c r="O91" i="165"/>
  <c r="O91" i="177" s="1"/>
  <c r="O92" i="177"/>
  <c r="J100" i="165"/>
  <c r="O100" i="177"/>
  <c r="J102" i="165"/>
  <c r="P102" i="165" s="1"/>
  <c r="P102" i="177" s="1"/>
  <c r="O102" i="177"/>
  <c r="J99" i="165"/>
  <c r="O99" i="177"/>
  <c r="J104" i="165"/>
  <c r="P104" i="165" s="1"/>
  <c r="P104" i="177" s="1"/>
  <c r="O104" i="177"/>
  <c r="E91" i="165"/>
  <c r="E91" i="177" s="1"/>
  <c r="E92" i="177"/>
  <c r="H94" i="167"/>
  <c r="E100" i="177"/>
  <c r="H96" i="167"/>
  <c r="E102" i="177"/>
  <c r="H101" i="167"/>
  <c r="E108" i="177"/>
  <c r="H103" i="167"/>
  <c r="E111" i="177"/>
  <c r="J118" i="165"/>
  <c r="P118" i="165" s="1"/>
  <c r="P118" i="177" s="1"/>
  <c r="O118" i="177"/>
  <c r="G195" i="165"/>
  <c r="G217" i="177"/>
  <c r="G195" i="177" s="1"/>
  <c r="E97" i="165"/>
  <c r="F96" i="165"/>
  <c r="F96" i="177" s="1"/>
  <c r="E113" i="165"/>
  <c r="F112" i="165"/>
  <c r="F112" i="177" s="1"/>
  <c r="E117" i="165"/>
  <c r="H107" i="167" s="1"/>
  <c r="F116" i="165"/>
  <c r="F116" i="177" s="1"/>
  <c r="J92" i="165"/>
  <c r="H114" i="167"/>
  <c r="E127" i="165"/>
  <c r="J128" i="165"/>
  <c r="O127" i="165"/>
  <c r="H112" i="167"/>
  <c r="E120" i="165"/>
  <c r="J121" i="165"/>
  <c r="O120" i="165"/>
  <c r="J117" i="165"/>
  <c r="J117" i="177" s="1"/>
  <c r="O116" i="165"/>
  <c r="O116" i="177" s="1"/>
  <c r="H106" i="167"/>
  <c r="E114" i="165"/>
  <c r="E114" i="177" s="1"/>
  <c r="J115" i="165"/>
  <c r="J115" i="177" s="1"/>
  <c r="O114" i="165"/>
  <c r="O114" i="177" s="1"/>
  <c r="J113" i="165"/>
  <c r="J113" i="177" s="1"/>
  <c r="O112" i="165"/>
  <c r="O112" i="177" s="1"/>
  <c r="H99" i="167"/>
  <c r="E105" i="165"/>
  <c r="E105" i="177" s="1"/>
  <c r="J106" i="165"/>
  <c r="O105" i="165"/>
  <c r="O105" i="177" s="1"/>
  <c r="J97" i="165"/>
  <c r="O96" i="165"/>
  <c r="O96" i="177" s="1"/>
  <c r="H92" i="167"/>
  <c r="P101" i="165"/>
  <c r="P101" i="177" s="1"/>
  <c r="P108" i="165"/>
  <c r="P108" i="177" s="1"/>
  <c r="P115" i="165"/>
  <c r="P98" i="165"/>
  <c r="P98" i="177" s="1"/>
  <c r="P99" i="165"/>
  <c r="P99" i="177" s="1"/>
  <c r="P100" i="165"/>
  <c r="P100" i="177" s="1"/>
  <c r="P111" i="165"/>
  <c r="P111" i="177" s="1"/>
  <c r="P107" i="165"/>
  <c r="P107" i="177" s="1"/>
  <c r="G194" i="177" l="1"/>
  <c r="G302" i="177"/>
  <c r="G313" i="177" s="1"/>
  <c r="P106" i="165"/>
  <c r="P106" i="177" s="1"/>
  <c r="J106" i="177"/>
  <c r="O119" i="165"/>
  <c r="O119" i="177" s="1"/>
  <c r="O120" i="177"/>
  <c r="O126" i="165"/>
  <c r="O127" i="177"/>
  <c r="J91" i="165"/>
  <c r="J91" i="177" s="1"/>
  <c r="J92" i="177"/>
  <c r="E112" i="165"/>
  <c r="E112" i="177" s="1"/>
  <c r="E113" i="177"/>
  <c r="I93" i="167"/>
  <c r="J99" i="177"/>
  <c r="I94" i="167"/>
  <c r="J100" i="177"/>
  <c r="I100" i="167"/>
  <c r="J107" i="177"/>
  <c r="I92" i="167"/>
  <c r="J98" i="177"/>
  <c r="I103" i="167"/>
  <c r="J111" i="177"/>
  <c r="P121" i="165"/>
  <c r="J121" i="177"/>
  <c r="P128" i="165"/>
  <c r="P128" i="177" s="1"/>
  <c r="J128" i="177"/>
  <c r="H302" i="177"/>
  <c r="H313" i="177" s="1"/>
  <c r="P114" i="165"/>
  <c r="P114" i="177" s="1"/>
  <c r="P115" i="177"/>
  <c r="P97" i="165"/>
  <c r="P97" i="177" s="1"/>
  <c r="J97" i="177"/>
  <c r="E119" i="165"/>
  <c r="E119" i="177" s="1"/>
  <c r="E120" i="177"/>
  <c r="E126" i="165"/>
  <c r="E126" i="177" s="1"/>
  <c r="E127" i="177"/>
  <c r="E116" i="165"/>
  <c r="E116" i="177" s="1"/>
  <c r="E117" i="177"/>
  <c r="H91" i="167"/>
  <c r="E97" i="177"/>
  <c r="I109" i="167"/>
  <c r="J118" i="177"/>
  <c r="I98" i="167"/>
  <c r="J104" i="177"/>
  <c r="I96" i="167"/>
  <c r="J102" i="177"/>
  <c r="I102" i="167"/>
  <c r="J110" i="177"/>
  <c r="I95" i="167"/>
  <c r="J101" i="177"/>
  <c r="I101" i="167"/>
  <c r="J108" i="177"/>
  <c r="O95" i="165"/>
  <c r="P127" i="165"/>
  <c r="F95" i="165"/>
  <c r="P113" i="165"/>
  <c r="H105" i="167"/>
  <c r="P92" i="165"/>
  <c r="P117" i="165"/>
  <c r="E96" i="165"/>
  <c r="E96" i="177" s="1"/>
  <c r="I114" i="167"/>
  <c r="J127" i="165"/>
  <c r="P105" i="165"/>
  <c r="P105" i="177" s="1"/>
  <c r="I112" i="167"/>
  <c r="J120" i="165"/>
  <c r="P96" i="165"/>
  <c r="P96" i="177" s="1"/>
  <c r="I107" i="167"/>
  <c r="J116" i="165"/>
  <c r="J116" i="177" s="1"/>
  <c r="I106" i="167"/>
  <c r="J114" i="165"/>
  <c r="J114" i="177" s="1"/>
  <c r="I105" i="167"/>
  <c r="J112" i="165"/>
  <c r="J112" i="177" s="1"/>
  <c r="I99" i="167"/>
  <c r="J105" i="165"/>
  <c r="J105" i="177" s="1"/>
  <c r="I91" i="167"/>
  <c r="J96" i="165"/>
  <c r="J96" i="177" s="1"/>
  <c r="G209" i="167"/>
  <c r="J123" i="166"/>
  <c r="O289" i="165"/>
  <c r="O289" i="177" s="1"/>
  <c r="E289" i="165"/>
  <c r="E289" i="177" s="1"/>
  <c r="J287" i="165"/>
  <c r="J287" i="177" s="1"/>
  <c r="E287" i="165"/>
  <c r="E287" i="177" s="1"/>
  <c r="O284" i="165"/>
  <c r="O284" i="177" s="1"/>
  <c r="E284" i="165"/>
  <c r="O280" i="165"/>
  <c r="O279" i="165"/>
  <c r="O279" i="177" s="1"/>
  <c r="E279" i="165"/>
  <c r="J278" i="165"/>
  <c r="J278" i="177" s="1"/>
  <c r="Q278" i="177" s="1"/>
  <c r="E278" i="165"/>
  <c r="J277" i="165"/>
  <c r="E277" i="165"/>
  <c r="E277" i="177" s="1"/>
  <c r="O272" i="165"/>
  <c r="E272" i="165"/>
  <c r="O257" i="165"/>
  <c r="O257" i="177" s="1"/>
  <c r="E257" i="165"/>
  <c r="E257" i="177" s="1"/>
  <c r="O253" i="165"/>
  <c r="F253" i="165"/>
  <c r="O251" i="165"/>
  <c r="O251" i="177" s="1"/>
  <c r="E251" i="165"/>
  <c r="E251" i="177" s="1"/>
  <c r="O243" i="165"/>
  <c r="E243" i="165"/>
  <c r="E221" i="165"/>
  <c r="J220" i="165"/>
  <c r="J220" i="177" s="1"/>
  <c r="E220" i="165"/>
  <c r="E220" i="177" s="1"/>
  <c r="E219" i="165"/>
  <c r="E219" i="177" s="1"/>
  <c r="O213" i="165"/>
  <c r="E213" i="165"/>
  <c r="O212" i="165"/>
  <c r="O212" i="177" s="1"/>
  <c r="E212" i="165"/>
  <c r="E212" i="177" s="1"/>
  <c r="E210" i="165"/>
  <c r="O208" i="165"/>
  <c r="O208" i="177" s="1"/>
  <c r="E208" i="165"/>
  <c r="E208" i="177" s="1"/>
  <c r="O205" i="165"/>
  <c r="E205" i="165"/>
  <c r="O204" i="165"/>
  <c r="E204" i="165"/>
  <c r="O203" i="165"/>
  <c r="E203" i="165"/>
  <c r="O202" i="165"/>
  <c r="O202" i="177" s="1"/>
  <c r="E202" i="165"/>
  <c r="E202" i="177" s="1"/>
  <c r="O199" i="165"/>
  <c r="E199" i="165"/>
  <c r="O197" i="165"/>
  <c r="O197" i="177" s="1"/>
  <c r="E197" i="165"/>
  <c r="E197" i="177" s="1"/>
  <c r="M194" i="165"/>
  <c r="L194" i="165"/>
  <c r="K194" i="165"/>
  <c r="I194" i="165"/>
  <c r="H194" i="165"/>
  <c r="G194" i="165"/>
  <c r="F194" i="165"/>
  <c r="N194" i="165"/>
  <c r="O192" i="165"/>
  <c r="O192" i="177" s="1"/>
  <c r="E192" i="165"/>
  <c r="E192" i="177" s="1"/>
  <c r="O189" i="165"/>
  <c r="O189" i="177" s="1"/>
  <c r="E189" i="165"/>
  <c r="E189" i="177" s="1"/>
  <c r="O186" i="165"/>
  <c r="E186" i="165"/>
  <c r="O184" i="165"/>
  <c r="E184" i="165"/>
  <c r="O183" i="165"/>
  <c r="E183" i="165"/>
  <c r="O182" i="165"/>
  <c r="O182" i="177" s="1"/>
  <c r="E182" i="165"/>
  <c r="E182" i="177" s="1"/>
  <c r="O178" i="165"/>
  <c r="E178" i="165"/>
  <c r="M175" i="165"/>
  <c r="L175" i="165"/>
  <c r="K175" i="165"/>
  <c r="M150" i="167" s="1"/>
  <c r="H175" i="165"/>
  <c r="F175" i="165"/>
  <c r="N175" i="165"/>
  <c r="I175" i="165"/>
  <c r="G175" i="165"/>
  <c r="E125" i="165" l="1"/>
  <c r="J184" i="165"/>
  <c r="O184" i="177"/>
  <c r="E177" i="165"/>
  <c r="E177" i="177" s="1"/>
  <c r="E178" i="177"/>
  <c r="H156" i="167"/>
  <c r="E183" i="177"/>
  <c r="H160" i="167"/>
  <c r="E186" i="177"/>
  <c r="H170" i="167"/>
  <c r="E199" i="177"/>
  <c r="H172" i="167"/>
  <c r="E203" i="177"/>
  <c r="H175" i="167"/>
  <c r="E205" i="177"/>
  <c r="E209" i="165"/>
  <c r="E209" i="177" s="1"/>
  <c r="E210" i="177"/>
  <c r="J213" i="165"/>
  <c r="O213" i="177"/>
  <c r="Q277" i="165"/>
  <c r="J277" i="177"/>
  <c r="Q277" i="177" s="1"/>
  <c r="J126" i="165"/>
  <c r="J127" i="177"/>
  <c r="P91" i="165"/>
  <c r="P91" i="177" s="1"/>
  <c r="P92" i="177"/>
  <c r="P126" i="165"/>
  <c r="P126" i="177" s="1"/>
  <c r="P127" i="177"/>
  <c r="P120" i="165"/>
  <c r="P121" i="177"/>
  <c r="O177" i="165"/>
  <c r="O177" i="177" s="1"/>
  <c r="O178" i="177"/>
  <c r="J183" i="165"/>
  <c r="P183" i="165" s="1"/>
  <c r="P183" i="177" s="1"/>
  <c r="O183" i="177"/>
  <c r="J186" i="165"/>
  <c r="O186" i="177"/>
  <c r="J199" i="165"/>
  <c r="O199" i="177"/>
  <c r="J203" i="165"/>
  <c r="O203" i="177"/>
  <c r="J205" i="165"/>
  <c r="P205" i="165" s="1"/>
  <c r="P205" i="177" s="1"/>
  <c r="O205" i="177"/>
  <c r="E242" i="165"/>
  <c r="E243" i="177"/>
  <c r="E253" i="165"/>
  <c r="E253" i="177" s="1"/>
  <c r="F253" i="177"/>
  <c r="E271" i="165"/>
  <c r="E271" i="177" s="1"/>
  <c r="E272" i="177"/>
  <c r="H228" i="167"/>
  <c r="E278" i="177"/>
  <c r="J280" i="165"/>
  <c r="O280" i="177"/>
  <c r="J119" i="165"/>
  <c r="J119" i="177" s="1"/>
  <c r="J120" i="177"/>
  <c r="O95" i="177"/>
  <c r="O90" i="177" s="1"/>
  <c r="O122" i="165"/>
  <c r="O122" i="177" s="1"/>
  <c r="O126" i="177"/>
  <c r="H173" i="167"/>
  <c r="E204" i="177"/>
  <c r="O242" i="165"/>
  <c r="O243" i="177"/>
  <c r="J253" i="165"/>
  <c r="J253" i="177" s="1"/>
  <c r="O253" i="177"/>
  <c r="O271" i="165"/>
  <c r="O271" i="177" s="1"/>
  <c r="O272" i="177"/>
  <c r="E283" i="165"/>
  <c r="E283" i="177" s="1"/>
  <c r="E284" i="177"/>
  <c r="P112" i="165"/>
  <c r="P112" i="177" s="1"/>
  <c r="P113" i="177"/>
  <c r="H113" i="167"/>
  <c r="G113" i="167" s="1"/>
  <c r="E125" i="177"/>
  <c r="H157" i="167"/>
  <c r="E184" i="177"/>
  <c r="J204" i="165"/>
  <c r="O204" i="177"/>
  <c r="H183" i="167"/>
  <c r="E213" i="177"/>
  <c r="H229" i="167"/>
  <c r="E279" i="177"/>
  <c r="P116" i="165"/>
  <c r="P116" i="177" s="1"/>
  <c r="P117" i="177"/>
  <c r="F90" i="165"/>
  <c r="F302" i="165" s="1"/>
  <c r="F318" i="165" s="1"/>
  <c r="F95" i="177"/>
  <c r="F90" i="177" s="1"/>
  <c r="E250" i="165"/>
  <c r="E250" i="177" s="1"/>
  <c r="E124" i="165"/>
  <c r="P125" i="165"/>
  <c r="J95" i="165"/>
  <c r="J95" i="177" s="1"/>
  <c r="I228" i="167"/>
  <c r="Q278" i="165"/>
  <c r="P95" i="165"/>
  <c r="P95" i="177" s="1"/>
  <c r="E95" i="165"/>
  <c r="R176" i="165"/>
  <c r="E196" i="165"/>
  <c r="E196" i="177" s="1"/>
  <c r="J215" i="165"/>
  <c r="J215" i="177" s="1"/>
  <c r="O214" i="165"/>
  <c r="O214" i="177" s="1"/>
  <c r="J251" i="165"/>
  <c r="O250" i="165"/>
  <c r="O250" i="177" s="1"/>
  <c r="J257" i="165"/>
  <c r="J257" i="177" s="1"/>
  <c r="O256" i="165"/>
  <c r="J279" i="165"/>
  <c r="J279" i="177" s="1"/>
  <c r="Q279" i="177" s="1"/>
  <c r="O275" i="165"/>
  <c r="H234" i="167"/>
  <c r="E286" i="165"/>
  <c r="E286" i="177" s="1"/>
  <c r="J208" i="165"/>
  <c r="O207" i="165"/>
  <c r="O207" i="177" s="1"/>
  <c r="I234" i="167"/>
  <c r="J286" i="165"/>
  <c r="J286" i="177" s="1"/>
  <c r="H235" i="167"/>
  <c r="E288" i="165"/>
  <c r="E288" i="177" s="1"/>
  <c r="J192" i="165"/>
  <c r="O191" i="165"/>
  <c r="J210" i="165"/>
  <c r="O209" i="165"/>
  <c r="O209" i="177" s="1"/>
  <c r="I188" i="167"/>
  <c r="J218" i="165"/>
  <c r="H211" i="167"/>
  <c r="H208" i="167" s="1"/>
  <c r="E256" i="165"/>
  <c r="J284" i="165"/>
  <c r="O283" i="165"/>
  <c r="O283" i="177" s="1"/>
  <c r="J289" i="165"/>
  <c r="J289" i="177" s="1"/>
  <c r="O288" i="165"/>
  <c r="I227" i="167"/>
  <c r="J276" i="165"/>
  <c r="J276" i="177" s="1"/>
  <c r="H227" i="167"/>
  <c r="E276" i="165"/>
  <c r="H188" i="167"/>
  <c r="G188" i="167" s="1"/>
  <c r="E218" i="165"/>
  <c r="H181" i="167"/>
  <c r="E211" i="165"/>
  <c r="E211" i="177" s="1"/>
  <c r="J212" i="165"/>
  <c r="H179" i="167"/>
  <c r="H178" i="167"/>
  <c r="E207" i="165"/>
  <c r="E207" i="177" s="1"/>
  <c r="O196" i="165"/>
  <c r="O196" i="177" s="1"/>
  <c r="J202" i="165"/>
  <c r="O201" i="165"/>
  <c r="H171" i="167"/>
  <c r="E201" i="165"/>
  <c r="J189" i="165"/>
  <c r="J189" i="177" s="1"/>
  <c r="H164" i="167"/>
  <c r="E191" i="165"/>
  <c r="E191" i="177" s="1"/>
  <c r="H161" i="167"/>
  <c r="J182" i="165"/>
  <c r="O181" i="165"/>
  <c r="H155" i="167"/>
  <c r="E181" i="165"/>
  <c r="E181" i="177" s="1"/>
  <c r="J243" i="165"/>
  <c r="P280" i="165"/>
  <c r="P280" i="177" s="1"/>
  <c r="I230" i="167"/>
  <c r="J272" i="165"/>
  <c r="J272" i="177" s="1"/>
  <c r="J178" i="165"/>
  <c r="J178" i="177" s="1"/>
  <c r="H189" i="167"/>
  <c r="G189" i="167" s="1"/>
  <c r="P221" i="165"/>
  <c r="J197" i="165"/>
  <c r="J197" i="177" s="1"/>
  <c r="H187" i="167"/>
  <c r="G187" i="167" s="1"/>
  <c r="P219" i="165"/>
  <c r="P219" i="177" s="1"/>
  <c r="P277" i="165"/>
  <c r="P277" i="177" s="1"/>
  <c r="P184" i="165"/>
  <c r="P184" i="177" s="1"/>
  <c r="P220" i="165"/>
  <c r="P220" i="177" s="1"/>
  <c r="P278" i="165"/>
  <c r="P278" i="177" s="1"/>
  <c r="P186" i="165"/>
  <c r="P186" i="177" s="1"/>
  <c r="P199" i="165"/>
  <c r="P199" i="177" s="1"/>
  <c r="P203" i="165"/>
  <c r="P203" i="177" s="1"/>
  <c r="P204" i="165"/>
  <c r="P204" i="177" s="1"/>
  <c r="P213" i="165"/>
  <c r="P213" i="177" s="1"/>
  <c r="P287" i="165"/>
  <c r="P253" i="165" l="1"/>
  <c r="P253" i="177" s="1"/>
  <c r="H224" i="167"/>
  <c r="G228" i="167"/>
  <c r="O180" i="165"/>
  <c r="O180" i="177" s="1"/>
  <c r="O181" i="177"/>
  <c r="O200" i="165"/>
  <c r="O200" i="177" s="1"/>
  <c r="O201" i="177"/>
  <c r="P208" i="165"/>
  <c r="J208" i="177"/>
  <c r="J250" i="165"/>
  <c r="J250" i="177" s="1"/>
  <c r="J251" i="177"/>
  <c r="O241" i="165"/>
  <c r="O242" i="177"/>
  <c r="O241" i="177" s="1"/>
  <c r="P286" i="165"/>
  <c r="P286" i="177" s="1"/>
  <c r="P287" i="177"/>
  <c r="J242" i="165"/>
  <c r="J242" i="177" s="1"/>
  <c r="J243" i="177"/>
  <c r="P182" i="165"/>
  <c r="P182" i="177" s="1"/>
  <c r="J182" i="177"/>
  <c r="P202" i="165"/>
  <c r="P202" i="177" s="1"/>
  <c r="J202" i="177"/>
  <c r="E217" i="165"/>
  <c r="E217" i="177" s="1"/>
  <c r="E218" i="177"/>
  <c r="J217" i="165"/>
  <c r="J217" i="177" s="1"/>
  <c r="J218" i="177"/>
  <c r="O188" i="165"/>
  <c r="O188" i="177" s="1"/>
  <c r="O191" i="177"/>
  <c r="O255" i="165"/>
  <c r="O256" i="177"/>
  <c r="E95" i="177"/>
  <c r="F89" i="177"/>
  <c r="F302" i="177"/>
  <c r="O89" i="177"/>
  <c r="J90" i="177"/>
  <c r="J89" i="177" s="1"/>
  <c r="I175" i="167"/>
  <c r="G175" i="167" s="1"/>
  <c r="J205" i="177"/>
  <c r="I170" i="167"/>
  <c r="G170" i="167" s="1"/>
  <c r="J199" i="177"/>
  <c r="I156" i="167"/>
  <c r="G156" i="167" s="1"/>
  <c r="J183" i="177"/>
  <c r="P119" i="165"/>
  <c r="P119" i="177" s="1"/>
  <c r="P120" i="177"/>
  <c r="E200" i="165"/>
  <c r="E200" i="177" s="1"/>
  <c r="E201" i="177"/>
  <c r="P212" i="165"/>
  <c r="P212" i="177" s="1"/>
  <c r="J212" i="177"/>
  <c r="J283" i="165"/>
  <c r="J283" i="177" s="1"/>
  <c r="J284" i="177"/>
  <c r="J191" i="165"/>
  <c r="J191" i="177" s="1"/>
  <c r="J192" i="177"/>
  <c r="P124" i="165"/>
  <c r="P125" i="177"/>
  <c r="I173" i="167"/>
  <c r="G173" i="167" s="1"/>
  <c r="J204" i="177"/>
  <c r="O90" i="165"/>
  <c r="E275" i="165"/>
  <c r="E276" i="177"/>
  <c r="O285" i="165"/>
  <c r="O285" i="177" s="1"/>
  <c r="O282" i="177" s="1"/>
  <c r="O288" i="177"/>
  <c r="E255" i="165"/>
  <c r="E256" i="177"/>
  <c r="O274" i="165"/>
  <c r="O275" i="177"/>
  <c r="E123" i="165"/>
  <c r="E124" i="177"/>
  <c r="H86" i="167"/>
  <c r="Q280" i="165"/>
  <c r="J280" i="177"/>
  <c r="Q280" i="177" s="1"/>
  <c r="E241" i="165"/>
  <c r="E242" i="177"/>
  <c r="E241" i="177" s="1"/>
  <c r="I172" i="167"/>
  <c r="G172" i="167" s="1"/>
  <c r="J203" i="177"/>
  <c r="I160" i="167"/>
  <c r="G160" i="167" s="1"/>
  <c r="J186" i="177"/>
  <c r="J122" i="165"/>
  <c r="J122" i="177" s="1"/>
  <c r="J126" i="177"/>
  <c r="I183" i="167"/>
  <c r="G183" i="167" s="1"/>
  <c r="J213" i="177"/>
  <c r="I157" i="167"/>
  <c r="G157" i="167" s="1"/>
  <c r="J184" i="177"/>
  <c r="I179" i="167"/>
  <c r="J210" i="177"/>
  <c r="O211" i="165"/>
  <c r="O211" i="177" s="1"/>
  <c r="J214" i="165"/>
  <c r="J214" i="177" s="1"/>
  <c r="P189" i="165"/>
  <c r="P189" i="177" s="1"/>
  <c r="J188" i="165"/>
  <c r="J188" i="177" s="1"/>
  <c r="E188" i="165"/>
  <c r="E188" i="177" s="1"/>
  <c r="H232" i="167"/>
  <c r="I229" i="167"/>
  <c r="G229" i="167" s="1"/>
  <c r="Q279" i="165"/>
  <c r="G29" i="153"/>
  <c r="I185" i="167"/>
  <c r="G185" i="167" s="1"/>
  <c r="P284" i="165"/>
  <c r="I164" i="167"/>
  <c r="G164" i="167" s="1"/>
  <c r="G234" i="167"/>
  <c r="P192" i="165"/>
  <c r="P251" i="165"/>
  <c r="P251" i="177" s="1"/>
  <c r="P210" i="165"/>
  <c r="J209" i="165"/>
  <c r="J209" i="177" s="1"/>
  <c r="O206" i="165"/>
  <c r="O206" i="177" s="1"/>
  <c r="O195" i="177" s="1"/>
  <c r="G227" i="167"/>
  <c r="P243" i="165"/>
  <c r="I235" i="167"/>
  <c r="G235" i="167" s="1"/>
  <c r="J288" i="165"/>
  <c r="I211" i="167"/>
  <c r="G211" i="167" s="1"/>
  <c r="J256" i="165"/>
  <c r="P257" i="165"/>
  <c r="J211" i="165"/>
  <c r="J211" i="177" s="1"/>
  <c r="J275" i="165"/>
  <c r="I178" i="167"/>
  <c r="G178" i="167" s="1"/>
  <c r="J207" i="165"/>
  <c r="J207" i="177" s="1"/>
  <c r="P289" i="165"/>
  <c r="P279" i="165"/>
  <c r="P279" i="177" s="1"/>
  <c r="P215" i="165"/>
  <c r="P215" i="177" s="1"/>
  <c r="E285" i="165"/>
  <c r="P276" i="165"/>
  <c r="P276" i="177" s="1"/>
  <c r="P272" i="165"/>
  <c r="J271" i="165"/>
  <c r="J271" i="177" s="1"/>
  <c r="P218" i="165"/>
  <c r="G179" i="167"/>
  <c r="E206" i="165"/>
  <c r="I181" i="167"/>
  <c r="G181" i="167" s="1"/>
  <c r="P201" i="165"/>
  <c r="H151" i="167"/>
  <c r="H150" i="167" s="1"/>
  <c r="I171" i="167"/>
  <c r="G171" i="167" s="1"/>
  <c r="J201" i="165"/>
  <c r="P197" i="165"/>
  <c r="J196" i="165"/>
  <c r="J196" i="177" s="1"/>
  <c r="I161" i="167"/>
  <c r="G161" i="167" s="1"/>
  <c r="E180" i="165"/>
  <c r="E180" i="177" s="1"/>
  <c r="I155" i="167"/>
  <c r="J181" i="165"/>
  <c r="P178" i="165"/>
  <c r="J177" i="165"/>
  <c r="J177" i="177" s="1"/>
  <c r="G230" i="167"/>
  <c r="H167" i="167"/>
  <c r="H166" i="167" s="1"/>
  <c r="P181" i="165" l="1"/>
  <c r="O187" i="165"/>
  <c r="J187" i="165"/>
  <c r="J187" i="177" s="1"/>
  <c r="I224" i="167"/>
  <c r="O282" i="165"/>
  <c r="O281" i="177"/>
  <c r="J282" i="177"/>
  <c r="J281" i="177" s="1"/>
  <c r="E195" i="165"/>
  <c r="E194" i="165" s="1"/>
  <c r="E206" i="177"/>
  <c r="E195" i="177" s="1"/>
  <c r="E194" i="177" s="1"/>
  <c r="P180" i="165"/>
  <c r="P180" i="177" s="1"/>
  <c r="P181" i="177"/>
  <c r="J274" i="165"/>
  <c r="J274" i="177" s="1"/>
  <c r="J275" i="177"/>
  <c r="E240" i="177"/>
  <c r="O254" i="165"/>
  <c r="O255" i="177"/>
  <c r="O240" i="177"/>
  <c r="J241" i="177"/>
  <c r="J240" i="177" s="1"/>
  <c r="P217" i="165"/>
  <c r="P217" i="177" s="1"/>
  <c r="P218" i="177"/>
  <c r="P288" i="165"/>
  <c r="P289" i="177"/>
  <c r="J285" i="165"/>
  <c r="J285" i="177" s="1"/>
  <c r="J288" i="177"/>
  <c r="O176" i="165"/>
  <c r="O175" i="165" s="1"/>
  <c r="O187" i="177"/>
  <c r="O176" i="177" s="1"/>
  <c r="E254" i="165"/>
  <c r="E255" i="177"/>
  <c r="E274" i="165"/>
  <c r="E275" i="177"/>
  <c r="P177" i="165"/>
  <c r="P177" i="177" s="1"/>
  <c r="P178" i="177"/>
  <c r="P196" i="165"/>
  <c r="P196" i="177" s="1"/>
  <c r="P197" i="177"/>
  <c r="P200" i="165"/>
  <c r="P200" i="177" s="1"/>
  <c r="P201" i="177"/>
  <c r="E282" i="165"/>
  <c r="E285" i="177"/>
  <c r="E282" i="177" s="1"/>
  <c r="J180" i="165"/>
  <c r="J180" i="177" s="1"/>
  <c r="J181" i="177"/>
  <c r="J200" i="165"/>
  <c r="J200" i="177" s="1"/>
  <c r="J201" i="177"/>
  <c r="P256" i="165"/>
  <c r="P257" i="177"/>
  <c r="P283" i="165"/>
  <c r="P283" i="177" s="1"/>
  <c r="P284" i="177"/>
  <c r="E187" i="165"/>
  <c r="E187" i="177" s="1"/>
  <c r="E176" i="177" s="1"/>
  <c r="P271" i="165"/>
  <c r="P271" i="177" s="1"/>
  <c r="P272" i="177"/>
  <c r="J255" i="165"/>
  <c r="J256" i="177"/>
  <c r="P242" i="165"/>
  <c r="P242" i="177" s="1"/>
  <c r="P243" i="177"/>
  <c r="P191" i="165"/>
  <c r="P191" i="177" s="1"/>
  <c r="P192" i="177"/>
  <c r="E122" i="165"/>
  <c r="E123" i="177"/>
  <c r="O270" i="165"/>
  <c r="J270" i="165" s="1"/>
  <c r="O274" i="177"/>
  <c r="O270" i="177" s="1"/>
  <c r="P123" i="165"/>
  <c r="P124" i="177"/>
  <c r="F318" i="177"/>
  <c r="F313" i="177"/>
  <c r="P207" i="165"/>
  <c r="P207" i="177" s="1"/>
  <c r="P208" i="177"/>
  <c r="P209" i="165"/>
  <c r="P209" i="177" s="1"/>
  <c r="P210" i="177"/>
  <c r="O194" i="177"/>
  <c r="J195" i="177"/>
  <c r="P250" i="165"/>
  <c r="P250" i="177" s="1"/>
  <c r="O195" i="165"/>
  <c r="J195" i="165" s="1"/>
  <c r="J194" i="165" s="1"/>
  <c r="P214" i="165"/>
  <c r="P214" i="177" s="1"/>
  <c r="I232" i="167"/>
  <c r="G232" i="167"/>
  <c r="R195" i="165"/>
  <c r="G224" i="167"/>
  <c r="P275" i="165"/>
  <c r="J206" i="165"/>
  <c r="J206" i="177" s="1"/>
  <c r="K166" i="167"/>
  <c r="J176" i="165"/>
  <c r="J175" i="165" s="1"/>
  <c r="G167" i="167"/>
  <c r="I167" i="167"/>
  <c r="I166" i="167" s="1"/>
  <c r="G166" i="167" s="1"/>
  <c r="E176" i="165"/>
  <c r="E175" i="165" s="1"/>
  <c r="K150" i="167" s="1"/>
  <c r="I151" i="167"/>
  <c r="I150" i="167" s="1"/>
  <c r="G155" i="167"/>
  <c r="G151" i="167" s="1"/>
  <c r="G150" i="167" s="1"/>
  <c r="J137" i="166"/>
  <c r="J213" i="166"/>
  <c r="K212" i="166"/>
  <c r="I212" i="166"/>
  <c r="H208" i="166"/>
  <c r="K205" i="166"/>
  <c r="I205" i="166"/>
  <c r="H204" i="166"/>
  <c r="O239" i="165"/>
  <c r="E239" i="165"/>
  <c r="E239" i="177" s="1"/>
  <c r="O238" i="165"/>
  <c r="E238" i="165"/>
  <c r="O237" i="165"/>
  <c r="E237" i="165"/>
  <c r="E237" i="177" s="1"/>
  <c r="O236" i="165"/>
  <c r="E236" i="165"/>
  <c r="E236" i="177" s="1"/>
  <c r="E235" i="165"/>
  <c r="E235" i="177" s="1"/>
  <c r="O230" i="165"/>
  <c r="O230" i="177" s="1"/>
  <c r="E230" i="165"/>
  <c r="O225" i="165"/>
  <c r="E225" i="165"/>
  <c r="N222" i="165"/>
  <c r="M222" i="165"/>
  <c r="I222" i="165"/>
  <c r="H222" i="165"/>
  <c r="G222" i="165"/>
  <c r="F222" i="165"/>
  <c r="P188" i="165" l="1"/>
  <c r="E175" i="177"/>
  <c r="P187" i="165"/>
  <c r="P187" i="177" s="1"/>
  <c r="P188" i="177"/>
  <c r="O175" i="177"/>
  <c r="J176" i="177"/>
  <c r="J175" i="177" s="1"/>
  <c r="P241" i="177"/>
  <c r="E225" i="177"/>
  <c r="E224" i="165"/>
  <c r="E224" i="177" s="1"/>
  <c r="J237" i="165"/>
  <c r="J237" i="177" s="1"/>
  <c r="O237" i="177"/>
  <c r="J239" i="165"/>
  <c r="J239" i="177" s="1"/>
  <c r="O239" i="177"/>
  <c r="O194" i="165"/>
  <c r="P122" i="165"/>
  <c r="P122" i="177" s="1"/>
  <c r="P123" i="177"/>
  <c r="E122" i="177"/>
  <c r="E90" i="177" s="1"/>
  <c r="E90" i="165"/>
  <c r="E270" i="165"/>
  <c r="E274" i="177"/>
  <c r="E270" i="177" s="1"/>
  <c r="P285" i="165"/>
  <c r="P285" i="177" s="1"/>
  <c r="P288" i="177"/>
  <c r="E238" i="177"/>
  <c r="H199" i="167"/>
  <c r="O269" i="177"/>
  <c r="J270" i="177"/>
  <c r="J269" i="177" s="1"/>
  <c r="P255" i="165"/>
  <c r="P256" i="177"/>
  <c r="O225" i="177"/>
  <c r="O224" i="165"/>
  <c r="O224" i="177" s="1"/>
  <c r="E229" i="165"/>
  <c r="E230" i="177"/>
  <c r="J236" i="165"/>
  <c r="J236" i="177" s="1"/>
  <c r="O236" i="177"/>
  <c r="J238" i="165"/>
  <c r="O238" i="177"/>
  <c r="P274" i="165"/>
  <c r="P274" i="177" s="1"/>
  <c r="P275" i="177"/>
  <c r="J254" i="165"/>
  <c r="J254" i="177" s="1"/>
  <c r="J255" i="177"/>
  <c r="E281" i="177"/>
  <c r="P282" i="177"/>
  <c r="E249" i="165"/>
  <c r="E254" i="177"/>
  <c r="E249" i="177" s="1"/>
  <c r="O254" i="177"/>
  <c r="O249" i="177" s="1"/>
  <c r="O249" i="165"/>
  <c r="P195" i="177"/>
  <c r="J194" i="177"/>
  <c r="P195" i="165"/>
  <c r="Q195" i="165" s="1"/>
  <c r="P211" i="165"/>
  <c r="P211" i="177" s="1"/>
  <c r="J203" i="166"/>
  <c r="J202" i="166" s="1"/>
  <c r="L150" i="167"/>
  <c r="I208" i="166"/>
  <c r="K208" i="166"/>
  <c r="K213" i="166"/>
  <c r="I204" i="166"/>
  <c r="K204" i="166"/>
  <c r="J230" i="165"/>
  <c r="O229" i="165"/>
  <c r="J225" i="165"/>
  <c r="E234" i="165"/>
  <c r="L166" i="167"/>
  <c r="P176" i="165"/>
  <c r="Q176" i="165" s="1"/>
  <c r="L222" i="165"/>
  <c r="O235" i="165"/>
  <c r="O235" i="177" s="1"/>
  <c r="K222" i="165"/>
  <c r="P239" i="165"/>
  <c r="P239" i="177" s="1"/>
  <c r="P237" i="165"/>
  <c r="P237" i="177" s="1"/>
  <c r="P236" i="165"/>
  <c r="P236" i="177" s="1"/>
  <c r="P238" i="165"/>
  <c r="P238" i="177" s="1"/>
  <c r="J225" i="177" l="1"/>
  <c r="J224" i="165"/>
  <c r="J224" i="177" s="1"/>
  <c r="E248" i="177"/>
  <c r="E269" i="177"/>
  <c r="P270" i="177"/>
  <c r="O228" i="165"/>
  <c r="O228" i="177" s="1"/>
  <c r="O229" i="177"/>
  <c r="J238" i="177"/>
  <c r="I199" i="167"/>
  <c r="E228" i="165"/>
  <c r="E228" i="177" s="1"/>
  <c r="E229" i="177"/>
  <c r="P254" i="165"/>
  <c r="P254" i="177" s="1"/>
  <c r="P255" i="177"/>
  <c r="Q241" i="177"/>
  <c r="P240" i="177"/>
  <c r="J229" i="165"/>
  <c r="J230" i="177"/>
  <c r="Q282" i="177"/>
  <c r="P281" i="177"/>
  <c r="P176" i="177"/>
  <c r="E231" i="165"/>
  <c r="E234" i="177"/>
  <c r="E232" i="165"/>
  <c r="E232" i="177" s="1"/>
  <c r="O248" i="177"/>
  <c r="J249" i="177"/>
  <c r="J248" i="177" s="1"/>
  <c r="E89" i="177"/>
  <c r="P90" i="177"/>
  <c r="P194" i="165"/>
  <c r="P194" i="177"/>
  <c r="Q195" i="177"/>
  <c r="P206" i="165"/>
  <c r="P206" i="177" s="1"/>
  <c r="P230" i="165"/>
  <c r="P225" i="165"/>
  <c r="O234" i="165"/>
  <c r="O234" i="177" s="1"/>
  <c r="P175" i="165"/>
  <c r="J235" i="165"/>
  <c r="J235" i="177" s="1"/>
  <c r="R223" i="165"/>
  <c r="P225" i="177" l="1"/>
  <c r="P224" i="165"/>
  <c r="P224" i="177" s="1"/>
  <c r="P249" i="177"/>
  <c r="P229" i="165"/>
  <c r="P230" i="177"/>
  <c r="E223" i="165"/>
  <c r="E222" i="165" s="1"/>
  <c r="E231" i="177"/>
  <c r="E223" i="177" s="1"/>
  <c r="Q176" i="177"/>
  <c r="P175" i="177"/>
  <c r="P269" i="177"/>
  <c r="Q270" i="177"/>
  <c r="Q90" i="177"/>
  <c r="S90" i="177"/>
  <c r="P89" i="177"/>
  <c r="J228" i="165"/>
  <c r="J228" i="177" s="1"/>
  <c r="J229" i="177"/>
  <c r="O232" i="165"/>
  <c r="P235" i="165"/>
  <c r="J234" i="165"/>
  <c r="J234" i="177" s="1"/>
  <c r="E222" i="177" l="1"/>
  <c r="Q249" i="177"/>
  <c r="P248" i="177"/>
  <c r="P234" i="165"/>
  <c r="P234" i="177" s="1"/>
  <c r="P235" i="177"/>
  <c r="O231" i="165"/>
  <c r="O232" i="177"/>
  <c r="P228" i="165"/>
  <c r="P228" i="177" s="1"/>
  <c r="P229" i="177"/>
  <c r="J232" i="165"/>
  <c r="P232" i="165" l="1"/>
  <c r="O223" i="165"/>
  <c r="O231" i="177"/>
  <c r="O223" i="177" s="1"/>
  <c r="P231" i="165"/>
  <c r="P231" i="177" s="1"/>
  <c r="P232" i="177"/>
  <c r="J231" i="165"/>
  <c r="J231" i="177" s="1"/>
  <c r="J232" i="177"/>
  <c r="J149" i="167"/>
  <c r="H149" i="167"/>
  <c r="O222" i="165" l="1"/>
  <c r="J223" i="165"/>
  <c r="O222" i="177"/>
  <c r="J223" i="177"/>
  <c r="L202" i="166"/>
  <c r="J222" i="177" l="1"/>
  <c r="P223" i="177"/>
  <c r="P223" i="165"/>
  <c r="J222" i="165"/>
  <c r="G219" i="167"/>
  <c r="G218" i="167"/>
  <c r="M217" i="167"/>
  <c r="G216" i="167"/>
  <c r="M215" i="167"/>
  <c r="G215" i="167"/>
  <c r="J202" i="167"/>
  <c r="M202" i="167" s="1"/>
  <c r="J147" i="167"/>
  <c r="J146" i="167"/>
  <c r="J145" i="167"/>
  <c r="J144" i="167"/>
  <c r="J143" i="167"/>
  <c r="J140" i="167"/>
  <c r="J139" i="167"/>
  <c r="J138" i="167"/>
  <c r="J135" i="167"/>
  <c r="G130" i="167"/>
  <c r="G129" i="167"/>
  <c r="J128" i="167"/>
  <c r="G127" i="167"/>
  <c r="J126" i="167"/>
  <c r="J124" i="167"/>
  <c r="G125" i="167"/>
  <c r="J119" i="167"/>
  <c r="G111" i="167"/>
  <c r="G110" i="167"/>
  <c r="G108" i="167"/>
  <c r="G104" i="167"/>
  <c r="J84" i="167"/>
  <c r="H84" i="167"/>
  <c r="G83" i="167"/>
  <c r="J79" i="167"/>
  <c r="J77" i="167"/>
  <c r="J75" i="167"/>
  <c r="J73" i="167"/>
  <c r="G72" i="167"/>
  <c r="J70" i="167"/>
  <c r="J64" i="167"/>
  <c r="J59" i="167"/>
  <c r="J38" i="167" s="1"/>
  <c r="G45" i="167"/>
  <c r="G42" i="167"/>
  <c r="G30" i="167"/>
  <c r="J28" i="167"/>
  <c r="M28" i="167" s="1"/>
  <c r="J27" i="167"/>
  <c r="M27" i="167" s="1"/>
  <c r="J24" i="167"/>
  <c r="M24" i="167" s="1"/>
  <c r="G20" i="167"/>
  <c r="J239" i="166"/>
  <c r="J230" i="166"/>
  <c r="J224" i="166"/>
  <c r="K84" i="166"/>
  <c r="E304" i="165"/>
  <c r="O301" i="165"/>
  <c r="O298" i="165"/>
  <c r="O293" i="165"/>
  <c r="G290" i="165"/>
  <c r="E293" i="165"/>
  <c r="N290" i="165"/>
  <c r="M290" i="165"/>
  <c r="L290" i="165"/>
  <c r="K290" i="165"/>
  <c r="I290" i="165"/>
  <c r="H290" i="165"/>
  <c r="G281" i="165"/>
  <c r="N281" i="165"/>
  <c r="M281" i="165"/>
  <c r="L281" i="165"/>
  <c r="K281" i="165"/>
  <c r="I281" i="165"/>
  <c r="F281" i="165"/>
  <c r="N269" i="165"/>
  <c r="M269" i="165"/>
  <c r="I269" i="165"/>
  <c r="H269" i="165"/>
  <c r="G269" i="165"/>
  <c r="O265" i="165"/>
  <c r="O263" i="165"/>
  <c r="O263" i="177" s="1"/>
  <c r="O262" i="165"/>
  <c r="O262" i="177" s="1"/>
  <c r="E262" i="165"/>
  <c r="E262" i="177" s="1"/>
  <c r="N258" i="165"/>
  <c r="M258" i="165"/>
  <c r="I258" i="165"/>
  <c r="H258" i="165"/>
  <c r="G258" i="165"/>
  <c r="L258" i="165"/>
  <c r="G248" i="165"/>
  <c r="N248" i="165"/>
  <c r="M248" i="165"/>
  <c r="I248" i="165"/>
  <c r="H248" i="165"/>
  <c r="N240" i="165"/>
  <c r="M240" i="165"/>
  <c r="L240" i="165"/>
  <c r="K240" i="165"/>
  <c r="I240" i="165"/>
  <c r="F240" i="165"/>
  <c r="O171" i="165"/>
  <c r="O168" i="165"/>
  <c r="O168" i="177" s="1"/>
  <c r="E168" i="165"/>
  <c r="E168" i="177" s="1"/>
  <c r="O167" i="165"/>
  <c r="O167" i="177" s="1"/>
  <c r="E167" i="165"/>
  <c r="E167" i="177" s="1"/>
  <c r="O166" i="165"/>
  <c r="O166" i="177" s="1"/>
  <c r="O164" i="165"/>
  <c r="J163" i="165"/>
  <c r="J163" i="177" s="1"/>
  <c r="E163" i="165"/>
  <c r="E163" i="177" s="1"/>
  <c r="O161" i="165"/>
  <c r="E161" i="165"/>
  <c r="O159" i="165"/>
  <c r="O159" i="177" s="1"/>
  <c r="O158" i="165"/>
  <c r="O158" i="177" s="1"/>
  <c r="E158" i="165"/>
  <c r="E158" i="177" s="1"/>
  <c r="E155" i="165"/>
  <c r="E154" i="165"/>
  <c r="E154" i="177" s="1"/>
  <c r="O152" i="165"/>
  <c r="N148" i="165"/>
  <c r="M148" i="165"/>
  <c r="L148" i="165"/>
  <c r="I148" i="165"/>
  <c r="O141" i="165"/>
  <c r="E141" i="165"/>
  <c r="E141" i="177" s="1"/>
  <c r="E140" i="165"/>
  <c r="E140" i="177" s="1"/>
  <c r="E138" i="165"/>
  <c r="E138" i="177" s="1"/>
  <c r="O137" i="165"/>
  <c r="O137" i="177" s="1"/>
  <c r="E137" i="165"/>
  <c r="O136" i="165"/>
  <c r="O136" i="177" s="1"/>
  <c r="E136" i="165"/>
  <c r="O135" i="165"/>
  <c r="O135" i="177" s="1"/>
  <c r="H130" i="165"/>
  <c r="E133" i="165"/>
  <c r="E133" i="177" s="1"/>
  <c r="N130" i="165"/>
  <c r="M130" i="165"/>
  <c r="L130" i="165"/>
  <c r="G130" i="165"/>
  <c r="M89" i="165"/>
  <c r="L89" i="165"/>
  <c r="I89" i="165"/>
  <c r="I84" i="167"/>
  <c r="E87" i="165"/>
  <c r="O84" i="165"/>
  <c r="O84" i="177" s="1"/>
  <c r="O83" i="165"/>
  <c r="O83" i="177" s="1"/>
  <c r="E83" i="165"/>
  <c r="E83" i="177" s="1"/>
  <c r="O81" i="165"/>
  <c r="O79" i="165"/>
  <c r="E77" i="165"/>
  <c r="O76" i="165"/>
  <c r="O76" i="177" s="1"/>
  <c r="E76" i="165"/>
  <c r="O75" i="165"/>
  <c r="O75" i="177" s="1"/>
  <c r="J74" i="165"/>
  <c r="J74" i="177" s="1"/>
  <c r="E74" i="165"/>
  <c r="E74" i="177" s="1"/>
  <c r="E73" i="165"/>
  <c r="O71" i="165"/>
  <c r="N68" i="165"/>
  <c r="M68" i="165"/>
  <c r="L68" i="165"/>
  <c r="I68" i="165"/>
  <c r="O67" i="165"/>
  <c r="O66" i="165" s="1"/>
  <c r="E67" i="165"/>
  <c r="E66" i="165" s="1"/>
  <c r="O60" i="165"/>
  <c r="O58" i="165"/>
  <c r="O58" i="177" s="1"/>
  <c r="O57" i="165"/>
  <c r="O57" i="177" s="1"/>
  <c r="E57" i="165"/>
  <c r="E54" i="165"/>
  <c r="E54" i="177" s="1"/>
  <c r="E52" i="165"/>
  <c r="E52" i="177" s="1"/>
  <c r="O46" i="165"/>
  <c r="E46" i="165"/>
  <c r="E46" i="177" s="1"/>
  <c r="E45" i="165"/>
  <c r="E45" i="177" s="1"/>
  <c r="E43" i="165"/>
  <c r="M40" i="165"/>
  <c r="I40" i="165"/>
  <c r="O37" i="165"/>
  <c r="O34" i="165"/>
  <c r="E29" i="165"/>
  <c r="O27" i="165"/>
  <c r="E27" i="165"/>
  <c r="E27" i="177" s="1"/>
  <c r="O22" i="165"/>
  <c r="O22" i="177" s="1"/>
  <c r="E19" i="165"/>
  <c r="E19" i="177" s="1"/>
  <c r="G16" i="165"/>
  <c r="O33" i="165" l="1"/>
  <c r="O34" i="177"/>
  <c r="O36" i="165"/>
  <c r="O37" i="177"/>
  <c r="O59" i="165"/>
  <c r="O59" i="177" s="1"/>
  <c r="O60" i="177"/>
  <c r="H62" i="167"/>
  <c r="E73" i="177"/>
  <c r="H68" i="167"/>
  <c r="E76" i="177"/>
  <c r="O80" i="165"/>
  <c r="O80" i="177" s="1"/>
  <c r="O81" i="177"/>
  <c r="E86" i="165"/>
  <c r="E87" i="177"/>
  <c r="H120" i="167"/>
  <c r="E136" i="177"/>
  <c r="O151" i="165"/>
  <c r="O151" i="177" s="1"/>
  <c r="O152" i="177"/>
  <c r="O170" i="165"/>
  <c r="O171" i="177"/>
  <c r="E292" i="165"/>
  <c r="E292" i="177" s="1"/>
  <c r="E293" i="177"/>
  <c r="O300" i="165"/>
  <c r="O301" i="177"/>
  <c r="O26" i="165"/>
  <c r="O26" i="177" s="1"/>
  <c r="O27" i="177"/>
  <c r="H51" i="167"/>
  <c r="E57" i="177"/>
  <c r="O264" i="165"/>
  <c r="O264" i="177" s="1"/>
  <c r="O265" i="177"/>
  <c r="Q223" i="165"/>
  <c r="P222" i="165"/>
  <c r="E28" i="165"/>
  <c r="E28" i="177" s="1"/>
  <c r="E29" i="177"/>
  <c r="O44" i="165"/>
  <c r="O44" i="177" s="1"/>
  <c r="O46" i="177"/>
  <c r="P77" i="165"/>
  <c r="P77" i="177" s="1"/>
  <c r="E77" i="177"/>
  <c r="H123" i="167"/>
  <c r="E137" i="177"/>
  <c r="H137" i="167"/>
  <c r="E155" i="177"/>
  <c r="E160" i="165"/>
  <c r="E160" i="177" s="1"/>
  <c r="E161" i="177"/>
  <c r="O162" i="165"/>
  <c r="O162" i="177" s="1"/>
  <c r="O164" i="177"/>
  <c r="O292" i="165"/>
  <c r="O292" i="177" s="1"/>
  <c r="O293" i="177"/>
  <c r="P222" i="177"/>
  <c r="Q223" i="177"/>
  <c r="H39" i="167"/>
  <c r="E43" i="177"/>
  <c r="O70" i="165"/>
  <c r="O70" i="177" s="1"/>
  <c r="O71" i="177"/>
  <c r="O78" i="165"/>
  <c r="O78" i="177" s="1"/>
  <c r="O79" i="177"/>
  <c r="O139" i="165"/>
  <c r="O139" i="177" s="1"/>
  <c r="O141" i="177"/>
  <c r="O160" i="165"/>
  <c r="O160" i="177" s="1"/>
  <c r="O161" i="177"/>
  <c r="O297" i="165"/>
  <c r="O298" i="177"/>
  <c r="H41" i="167"/>
  <c r="K41" i="167" s="1"/>
  <c r="H48" i="167"/>
  <c r="P29" i="165"/>
  <c r="P28" i="165"/>
  <c r="P28" i="177" s="1"/>
  <c r="O56" i="165"/>
  <c r="O56" i="177" s="1"/>
  <c r="J229" i="166"/>
  <c r="E139" i="165"/>
  <c r="E139" i="177" s="1"/>
  <c r="O261" i="165"/>
  <c r="H118" i="167"/>
  <c r="E132" i="165"/>
  <c r="E132" i="177" s="1"/>
  <c r="O165" i="165"/>
  <c r="O165" i="177" s="1"/>
  <c r="O157" i="165"/>
  <c r="O157" i="177" s="1"/>
  <c r="H136" i="167"/>
  <c r="E153" i="165"/>
  <c r="E153" i="177" s="1"/>
  <c r="K39" i="167"/>
  <c r="O82" i="165"/>
  <c r="O82" i="177" s="1"/>
  <c r="E53" i="165"/>
  <c r="E53" i="177" s="1"/>
  <c r="H49" i="167"/>
  <c r="H44" i="167"/>
  <c r="K44" i="167" s="1"/>
  <c r="H24" i="167"/>
  <c r="K24" i="167" s="1"/>
  <c r="E26" i="165"/>
  <c r="E26" i="177" s="1"/>
  <c r="H23" i="167"/>
  <c r="K23" i="167" s="1"/>
  <c r="E44" i="165"/>
  <c r="E44" i="177" s="1"/>
  <c r="J117" i="167"/>
  <c r="N16" i="165"/>
  <c r="I16" i="165"/>
  <c r="I302" i="165"/>
  <c r="I313" i="165" s="1"/>
  <c r="M16" i="165"/>
  <c r="M302" i="165"/>
  <c r="K269" i="165"/>
  <c r="R270" i="165"/>
  <c r="K248" i="165"/>
  <c r="R249" i="165"/>
  <c r="R241" i="165"/>
  <c r="F258" i="165"/>
  <c r="G217" i="167"/>
  <c r="G214" i="167" s="1"/>
  <c r="H213" i="167"/>
  <c r="J81" i="165"/>
  <c r="E84" i="165"/>
  <c r="I213" i="167"/>
  <c r="K130" i="165"/>
  <c r="E152" i="165"/>
  <c r="J152" i="165"/>
  <c r="J111" i="166"/>
  <c r="J34" i="165"/>
  <c r="J57" i="165"/>
  <c r="J167" i="165"/>
  <c r="J167" i="177" s="1"/>
  <c r="L40" i="165"/>
  <c r="E75" i="165"/>
  <c r="E75" i="177" s="1"/>
  <c r="J298" i="165"/>
  <c r="J208" i="167"/>
  <c r="J223" i="167"/>
  <c r="M223" i="167" s="1"/>
  <c r="J161" i="165"/>
  <c r="J263" i="165"/>
  <c r="J263" i="177" s="1"/>
  <c r="O269" i="165"/>
  <c r="J138" i="165"/>
  <c r="J138" i="177" s="1"/>
  <c r="J137" i="165"/>
  <c r="J154" i="165"/>
  <c r="J154" i="177" s="1"/>
  <c r="H281" i="165"/>
  <c r="E22" i="165"/>
  <c r="E25" i="165"/>
  <c r="J27" i="165"/>
  <c r="J37" i="165"/>
  <c r="J37" i="177" s="1"/>
  <c r="J46" i="165"/>
  <c r="J54" i="165"/>
  <c r="J54" i="177" s="1"/>
  <c r="J58" i="165"/>
  <c r="G68" i="165"/>
  <c r="I64" i="167"/>
  <c r="E79" i="165"/>
  <c r="N89" i="165"/>
  <c r="J135" i="165"/>
  <c r="J135" i="177" s="1"/>
  <c r="H124" i="167"/>
  <c r="H126" i="167"/>
  <c r="J159" i="165"/>
  <c r="J159" i="177" s="1"/>
  <c r="H145" i="167"/>
  <c r="J168" i="165"/>
  <c r="J168" i="177" s="1"/>
  <c r="H197" i="167"/>
  <c r="H198" i="167"/>
  <c r="E240" i="165"/>
  <c r="H202" i="167"/>
  <c r="K202" i="167" s="1"/>
  <c r="E263" i="165"/>
  <c r="E263" i="177" s="1"/>
  <c r="J265" i="165"/>
  <c r="J293" i="165"/>
  <c r="J301" i="165"/>
  <c r="E37" i="165"/>
  <c r="E37" i="177" s="1"/>
  <c r="J136" i="165"/>
  <c r="J141" i="165"/>
  <c r="J141" i="177" s="1"/>
  <c r="H194" i="167"/>
  <c r="J262" i="165"/>
  <c r="J262" i="177" s="1"/>
  <c r="N40" i="165"/>
  <c r="J76" i="165"/>
  <c r="J79" i="165"/>
  <c r="H77" i="167"/>
  <c r="J84" i="165"/>
  <c r="J84" i="177" s="1"/>
  <c r="J140" i="165"/>
  <c r="E166" i="165"/>
  <c r="E171" i="165"/>
  <c r="G240" i="165"/>
  <c r="L269" i="165"/>
  <c r="O19" i="165"/>
  <c r="E58" i="165"/>
  <c r="E58" i="177" s="1"/>
  <c r="J67" i="165"/>
  <c r="J66" i="165" s="1"/>
  <c r="J75" i="165"/>
  <c r="E135" i="165"/>
  <c r="E135" i="177" s="1"/>
  <c r="E159" i="165"/>
  <c r="J164" i="165"/>
  <c r="H146" i="167"/>
  <c r="H201" i="167"/>
  <c r="J22" i="167"/>
  <c r="J16" i="167" s="1"/>
  <c r="J60" i="165"/>
  <c r="J60" i="177" s="1"/>
  <c r="F68" i="165"/>
  <c r="H68" i="165"/>
  <c r="J22" i="165"/>
  <c r="J22" i="177" s="1"/>
  <c r="E60" i="165"/>
  <c r="E60" i="177" s="1"/>
  <c r="H59" i="167"/>
  <c r="E71" i="165"/>
  <c r="J71" i="165"/>
  <c r="H70" i="167"/>
  <c r="E81" i="165"/>
  <c r="J83" i="165"/>
  <c r="J83" i="177" s="1"/>
  <c r="G89" i="165"/>
  <c r="G148" i="165"/>
  <c r="H148" i="165"/>
  <c r="J158" i="165"/>
  <c r="J158" i="177" s="1"/>
  <c r="H140" i="167"/>
  <c r="I141" i="167"/>
  <c r="J166" i="165"/>
  <c r="J166" i="177" s="1"/>
  <c r="J171" i="165"/>
  <c r="H196" i="167"/>
  <c r="H240" i="165"/>
  <c r="E281" i="165"/>
  <c r="G84" i="167"/>
  <c r="K215" i="167"/>
  <c r="G43" i="167"/>
  <c r="G121" i="167"/>
  <c r="G142" i="167"/>
  <c r="J231" i="167"/>
  <c r="M231" i="167" s="1"/>
  <c r="R265" i="165"/>
  <c r="J75" i="166"/>
  <c r="H64" i="167"/>
  <c r="P74" i="165"/>
  <c r="P74" i="177" s="1"/>
  <c r="F248" i="165"/>
  <c r="J43" i="165"/>
  <c r="J43" i="177" s="1"/>
  <c r="L248" i="165"/>
  <c r="L302" i="165"/>
  <c r="O73" i="165"/>
  <c r="O73" i="177" s="1"/>
  <c r="H89" i="165"/>
  <c r="F89" i="165"/>
  <c r="H138" i="167"/>
  <c r="G17" i="167"/>
  <c r="H16" i="165"/>
  <c r="E164" i="165"/>
  <c r="F148" i="165"/>
  <c r="K258" i="165"/>
  <c r="E265" i="165"/>
  <c r="H128" i="167"/>
  <c r="O155" i="165"/>
  <c r="O155" i="177" s="1"/>
  <c r="H141" i="167"/>
  <c r="P163" i="165"/>
  <c r="P163" i="177" s="1"/>
  <c r="J201" i="167"/>
  <c r="F269" i="165"/>
  <c r="J141" i="167"/>
  <c r="J81" i="167"/>
  <c r="O25" i="165"/>
  <c r="O87" i="165"/>
  <c r="J194" i="167"/>
  <c r="O248" i="165"/>
  <c r="F290" i="165"/>
  <c r="E298" i="165"/>
  <c r="G21" i="167"/>
  <c r="G87" i="167"/>
  <c r="J213" i="167"/>
  <c r="O42" i="165" l="1"/>
  <c r="O42" i="177" s="1"/>
  <c r="O41" i="177" s="1"/>
  <c r="E265" i="177"/>
  <c r="K218" i="167"/>
  <c r="J139" i="165"/>
  <c r="J139" i="177" s="1"/>
  <c r="J140" i="177"/>
  <c r="I68" i="167"/>
  <c r="J76" i="177"/>
  <c r="J292" i="165"/>
  <c r="J292" i="177" s="1"/>
  <c r="J293" i="177"/>
  <c r="J151" i="165"/>
  <c r="J151" i="177" s="1"/>
  <c r="J152" i="177"/>
  <c r="E82" i="165"/>
  <c r="E82" i="177" s="1"/>
  <c r="E84" i="177"/>
  <c r="O260" i="165"/>
  <c r="O261" i="177"/>
  <c r="O295" i="165"/>
  <c r="O297" i="177"/>
  <c r="E85" i="165"/>
  <c r="E85" i="177" s="1"/>
  <c r="E86" i="177"/>
  <c r="O32" i="165"/>
  <c r="O32" i="177" s="1"/>
  <c r="O33" i="177"/>
  <c r="E297" i="165"/>
  <c r="E298" i="177"/>
  <c r="J162" i="165"/>
  <c r="J162" i="177" s="1"/>
  <c r="J164" i="177"/>
  <c r="I120" i="167"/>
  <c r="J136" i="177"/>
  <c r="J264" i="165"/>
  <c r="J264" i="177" s="1"/>
  <c r="J265" i="177"/>
  <c r="L218" i="167"/>
  <c r="I52" i="167"/>
  <c r="L52" i="167" s="1"/>
  <c r="J58" i="177"/>
  <c r="J26" i="165"/>
  <c r="J26" i="177" s="1"/>
  <c r="J27" i="177"/>
  <c r="J297" i="165"/>
  <c r="J298" i="177"/>
  <c r="I51" i="167"/>
  <c r="G51" i="167" s="1"/>
  <c r="J57" i="177"/>
  <c r="E151" i="165"/>
  <c r="E151" i="177" s="1"/>
  <c r="E152" i="177"/>
  <c r="J80" i="165"/>
  <c r="J80" i="177" s="1"/>
  <c r="J81" i="177"/>
  <c r="O134" i="165"/>
  <c r="O41" i="165"/>
  <c r="J41" i="165" s="1"/>
  <c r="O24" i="165"/>
  <c r="O24" i="177" s="1"/>
  <c r="O25" i="177"/>
  <c r="E157" i="165"/>
  <c r="E157" i="177" s="1"/>
  <c r="E159" i="177"/>
  <c r="E170" i="165"/>
  <c r="E171" i="177"/>
  <c r="J70" i="165"/>
  <c r="J70" i="177" s="1"/>
  <c r="J71" i="177"/>
  <c r="E78" i="165"/>
  <c r="E78" i="177" s="1"/>
  <c r="E79" i="177"/>
  <c r="E24" i="165"/>
  <c r="E24" i="177" s="1"/>
  <c r="E25" i="177"/>
  <c r="I123" i="167"/>
  <c r="J137" i="177"/>
  <c r="J160" i="165"/>
  <c r="J160" i="177" s="1"/>
  <c r="J161" i="177"/>
  <c r="J33" i="165"/>
  <c r="J34" i="177"/>
  <c r="O40" i="177"/>
  <c r="J41" i="177"/>
  <c r="J40" i="177" s="1"/>
  <c r="O299" i="165"/>
  <c r="O299" i="177" s="1"/>
  <c r="O300" i="177"/>
  <c r="O169" i="165"/>
  <c r="O169" i="177" s="1"/>
  <c r="O170" i="177"/>
  <c r="O36" i="177"/>
  <c r="O35" i="165"/>
  <c r="O35" i="177" s="1"/>
  <c r="E162" i="165"/>
  <c r="E162" i="177" s="1"/>
  <c r="E164" i="177"/>
  <c r="J170" i="165"/>
  <c r="J171" i="177"/>
  <c r="E70" i="165"/>
  <c r="E70" i="177" s="1"/>
  <c r="E71" i="177"/>
  <c r="O18" i="165"/>
  <c r="O18" i="177" s="1"/>
  <c r="O19" i="177"/>
  <c r="E165" i="165"/>
  <c r="E165" i="177" s="1"/>
  <c r="E166" i="177"/>
  <c r="J78" i="165"/>
  <c r="J78" i="177" s="1"/>
  <c r="J79" i="177"/>
  <c r="J300" i="165"/>
  <c r="J301" i="177"/>
  <c r="I44" i="167"/>
  <c r="L44" i="167" s="1"/>
  <c r="J46" i="177"/>
  <c r="K20" i="167"/>
  <c r="E22" i="177"/>
  <c r="F32" i="108"/>
  <c r="P29" i="177"/>
  <c r="E80" i="165"/>
  <c r="E80" i="177" s="1"/>
  <c r="E81" i="177"/>
  <c r="I66" i="167"/>
  <c r="J75" i="177"/>
  <c r="O86" i="165"/>
  <c r="O87" i="177"/>
  <c r="E264" i="165"/>
  <c r="E264" i="177" s="1"/>
  <c r="M22" i="167"/>
  <c r="E23" i="165"/>
  <c r="E23" i="177" s="1"/>
  <c r="O23" i="165"/>
  <c r="E36" i="165"/>
  <c r="J36" i="165"/>
  <c r="E134" i="165"/>
  <c r="E134" i="177" s="1"/>
  <c r="E131" i="177" s="1"/>
  <c r="R259" i="165"/>
  <c r="E56" i="165"/>
  <c r="E56" i="177" s="1"/>
  <c r="H52" i="167"/>
  <c r="J53" i="165"/>
  <c r="J53" i="177" s="1"/>
  <c r="I49" i="167"/>
  <c r="G49" i="167" s="1"/>
  <c r="O72" i="165"/>
  <c r="O72" i="177" s="1"/>
  <c r="E59" i="165"/>
  <c r="E59" i="177" s="1"/>
  <c r="H54" i="167"/>
  <c r="J59" i="165"/>
  <c r="J59" i="177" s="1"/>
  <c r="I54" i="167"/>
  <c r="J165" i="165"/>
  <c r="J165" i="177" s="1"/>
  <c r="P262" i="165"/>
  <c r="P262" i="177" s="1"/>
  <c r="J261" i="165"/>
  <c r="O156" i="165"/>
  <c r="O156" i="177" s="1"/>
  <c r="J157" i="165"/>
  <c r="J157" i="177" s="1"/>
  <c r="E150" i="165"/>
  <c r="E150" i="177" s="1"/>
  <c r="I136" i="167"/>
  <c r="G136" i="167" s="1"/>
  <c r="O153" i="165"/>
  <c r="O153" i="177" s="1"/>
  <c r="J82" i="165"/>
  <c r="J82" i="177" s="1"/>
  <c r="H66" i="167"/>
  <c r="I39" i="167"/>
  <c r="I24" i="167"/>
  <c r="L24" i="167" s="1"/>
  <c r="I23" i="167"/>
  <c r="L23" i="167" s="1"/>
  <c r="E18" i="165"/>
  <c r="J56" i="165"/>
  <c r="J56" i="177" s="1"/>
  <c r="H191" i="167"/>
  <c r="K191" i="167" s="1"/>
  <c r="E42" i="170"/>
  <c r="K16" i="165"/>
  <c r="K302" i="165"/>
  <c r="F40" i="165"/>
  <c r="H40" i="165"/>
  <c r="H302" i="165"/>
  <c r="H313" i="165" s="1"/>
  <c r="G40" i="165"/>
  <c r="G302" i="165"/>
  <c r="N302" i="165"/>
  <c r="N313" i="165" s="1"/>
  <c r="M213" i="167"/>
  <c r="J207" i="167"/>
  <c r="M208" i="167"/>
  <c r="R69" i="165"/>
  <c r="R17" i="165"/>
  <c r="P34" i="165"/>
  <c r="I135" i="167"/>
  <c r="I124" i="167"/>
  <c r="G124" i="167" s="1"/>
  <c r="I75" i="167"/>
  <c r="P167" i="165"/>
  <c r="P167" i="177" s="1"/>
  <c r="G96" i="167"/>
  <c r="P158" i="165"/>
  <c r="P158" i="177" s="1"/>
  <c r="P76" i="165"/>
  <c r="P76" i="177" s="1"/>
  <c r="P46" i="165"/>
  <c r="P46" i="177" s="1"/>
  <c r="H79" i="167"/>
  <c r="I27" i="167"/>
  <c r="L27" i="167" s="1"/>
  <c r="F130" i="165"/>
  <c r="P141" i="165"/>
  <c r="P141" i="177" s="1"/>
  <c r="I140" i="167"/>
  <c r="G140" i="167" s="1"/>
  <c r="P83" i="165"/>
  <c r="P83" i="177" s="1"/>
  <c r="P138" i="165"/>
  <c r="P138" i="177" s="1"/>
  <c r="P159" i="165"/>
  <c r="P159" i="177" s="1"/>
  <c r="R131" i="165"/>
  <c r="P168" i="165"/>
  <c r="P168" i="177" s="1"/>
  <c r="P54" i="165"/>
  <c r="P54" i="177" s="1"/>
  <c r="P137" i="165"/>
  <c r="P137" i="177" s="1"/>
  <c r="J52" i="165"/>
  <c r="J52" i="177" s="1"/>
  <c r="L217" i="167"/>
  <c r="G94" i="167"/>
  <c r="P293" i="165"/>
  <c r="H27" i="167"/>
  <c r="G213" i="167"/>
  <c r="P79" i="165"/>
  <c r="P161" i="165"/>
  <c r="I70" i="167"/>
  <c r="G70" i="167" s="1"/>
  <c r="P301" i="165"/>
  <c r="P154" i="165"/>
  <c r="P154" i="177" s="1"/>
  <c r="P140" i="165"/>
  <c r="P22" i="165"/>
  <c r="P22" i="177" s="1"/>
  <c r="J133" i="165"/>
  <c r="J133" i="177" s="1"/>
  <c r="H135" i="167"/>
  <c r="G64" i="167"/>
  <c r="H231" i="167"/>
  <c r="K231" i="167" s="1"/>
  <c r="P152" i="165"/>
  <c r="P58" i="165"/>
  <c r="P58" i="177" s="1"/>
  <c r="G141" i="167"/>
  <c r="P57" i="165"/>
  <c r="P57" i="177" s="1"/>
  <c r="P81" i="165"/>
  <c r="H75" i="167"/>
  <c r="P37" i="165"/>
  <c r="P37" i="177" s="1"/>
  <c r="K217" i="167"/>
  <c r="H28" i="167"/>
  <c r="K28" i="167" s="1"/>
  <c r="P27" i="165"/>
  <c r="P171" i="165"/>
  <c r="H144" i="167"/>
  <c r="P67" i="165"/>
  <c r="P66" i="165" s="1"/>
  <c r="I145" i="167"/>
  <c r="G145" i="167" s="1"/>
  <c r="G120" i="167"/>
  <c r="P135" i="165"/>
  <c r="P135" i="177" s="1"/>
  <c r="H139" i="167"/>
  <c r="H119" i="167"/>
  <c r="H117" i="167" s="1"/>
  <c r="P263" i="165"/>
  <c r="P263" i="177" s="1"/>
  <c r="I126" i="167"/>
  <c r="G126" i="167" s="1"/>
  <c r="P75" i="165"/>
  <c r="P75" i="177" s="1"/>
  <c r="I59" i="167"/>
  <c r="G59" i="167" s="1"/>
  <c r="P60" i="165"/>
  <c r="P60" i="177" s="1"/>
  <c r="J116" i="167"/>
  <c r="M116" i="167" s="1"/>
  <c r="I77" i="167"/>
  <c r="G77" i="167" s="1"/>
  <c r="P71" i="165"/>
  <c r="M313" i="165"/>
  <c r="G105" i="167"/>
  <c r="I143" i="167"/>
  <c r="J269" i="165"/>
  <c r="J45" i="165"/>
  <c r="G106" i="167"/>
  <c r="G100" i="167"/>
  <c r="G44" i="167"/>
  <c r="H22" i="167"/>
  <c r="J25" i="165"/>
  <c r="G95" i="167"/>
  <c r="I144" i="167"/>
  <c r="I196" i="167"/>
  <c r="G93" i="167"/>
  <c r="I79" i="167"/>
  <c r="I73" i="167"/>
  <c r="G98" i="167"/>
  <c r="H73" i="167"/>
  <c r="H147" i="167"/>
  <c r="J155" i="165"/>
  <c r="P84" i="165"/>
  <c r="P84" i="177" s="1"/>
  <c r="P166" i="165"/>
  <c r="P166" i="177" s="1"/>
  <c r="J37" i="167"/>
  <c r="P136" i="165"/>
  <c r="P136" i="177" s="1"/>
  <c r="I138" i="167"/>
  <c r="G138" i="167" s="1"/>
  <c r="J19" i="165"/>
  <c r="G68" i="167"/>
  <c r="L215" i="167"/>
  <c r="I128" i="167"/>
  <c r="G128" i="167" s="1"/>
  <c r="I139" i="167"/>
  <c r="I119" i="167"/>
  <c r="J87" i="165"/>
  <c r="I147" i="167"/>
  <c r="G109" i="167"/>
  <c r="I146" i="167"/>
  <c r="G146" i="167" s="1"/>
  <c r="G103" i="167"/>
  <c r="G99" i="167"/>
  <c r="I28" i="167"/>
  <c r="L28" i="167" s="1"/>
  <c r="G123" i="167"/>
  <c r="G92" i="167"/>
  <c r="H223" i="167"/>
  <c r="K223" i="167" s="1"/>
  <c r="J101" i="166"/>
  <c r="J18" i="166"/>
  <c r="J12" i="166"/>
  <c r="J232" i="166"/>
  <c r="J90" i="166"/>
  <c r="J86" i="167"/>
  <c r="J85" i="167" s="1"/>
  <c r="M85" i="167" s="1"/>
  <c r="K89" i="165"/>
  <c r="R149" i="165"/>
  <c r="K148" i="165"/>
  <c r="J249" i="165"/>
  <c r="J248" i="165" s="1"/>
  <c r="K208" i="167"/>
  <c r="P298" i="165"/>
  <c r="O240" i="165"/>
  <c r="J241" i="165"/>
  <c r="P241" i="165" s="1"/>
  <c r="Q241" i="165" s="1"/>
  <c r="K40" i="165"/>
  <c r="J61" i="167"/>
  <c r="J134" i="167"/>
  <c r="J133" i="167" s="1"/>
  <c r="P265" i="165"/>
  <c r="P265" i="177" s="1"/>
  <c r="J73" i="165"/>
  <c r="J73" i="177" s="1"/>
  <c r="L16" i="165"/>
  <c r="O281" i="165"/>
  <c r="J282" i="165"/>
  <c r="H143" i="167"/>
  <c r="P164" i="165"/>
  <c r="F16" i="165"/>
  <c r="K68" i="165"/>
  <c r="P43" i="165"/>
  <c r="P43" i="177" s="1"/>
  <c r="J134" i="165" l="1"/>
  <c r="J134" i="177" s="1"/>
  <c r="P53" i="165"/>
  <c r="P53" i="177" s="1"/>
  <c r="E156" i="165"/>
  <c r="E156" i="177" s="1"/>
  <c r="E72" i="165"/>
  <c r="E72" i="177" s="1"/>
  <c r="E69" i="177" s="1"/>
  <c r="E68" i="177" s="1"/>
  <c r="E130" i="177"/>
  <c r="P162" i="165"/>
  <c r="P162" i="177" s="1"/>
  <c r="P164" i="177"/>
  <c r="I137" i="167"/>
  <c r="G137" i="167" s="1"/>
  <c r="J155" i="177"/>
  <c r="P70" i="165"/>
  <c r="P70" i="177" s="1"/>
  <c r="P71" i="177"/>
  <c r="P170" i="165"/>
  <c r="P171" i="177"/>
  <c r="P139" i="165"/>
  <c r="P139" i="177" s="1"/>
  <c r="P140" i="177"/>
  <c r="P160" i="165"/>
  <c r="P160" i="177" s="1"/>
  <c r="P161" i="177"/>
  <c r="P292" i="165"/>
  <c r="P292" i="177" s="1"/>
  <c r="P293" i="177"/>
  <c r="P33" i="165"/>
  <c r="P34" i="177"/>
  <c r="J260" i="165"/>
  <c r="J260" i="177" s="1"/>
  <c r="J261" i="177"/>
  <c r="E36" i="177"/>
  <c r="E35" i="165"/>
  <c r="E17" i="165" s="1"/>
  <c r="P26" i="165"/>
  <c r="P26" i="177" s="1"/>
  <c r="P27" i="177"/>
  <c r="P78" i="165"/>
  <c r="P78" i="177" s="1"/>
  <c r="P79" i="177"/>
  <c r="E18" i="177"/>
  <c r="O17" i="165"/>
  <c r="J17" i="165" s="1"/>
  <c r="O23" i="177"/>
  <c r="O17" i="177" s="1"/>
  <c r="J169" i="165"/>
  <c r="J169" i="177" s="1"/>
  <c r="J170" i="177"/>
  <c r="O131" i="165"/>
  <c r="O134" i="177"/>
  <c r="O131" i="177" s="1"/>
  <c r="J295" i="165"/>
  <c r="J295" i="177" s="1"/>
  <c r="J297" i="177"/>
  <c r="O295" i="177"/>
  <c r="O291" i="177" s="1"/>
  <c r="O291" i="165"/>
  <c r="J18" i="165"/>
  <c r="J18" i="177" s="1"/>
  <c r="J19" i="177"/>
  <c r="J24" i="165"/>
  <c r="J25" i="177"/>
  <c r="P80" i="165"/>
  <c r="P80" i="177" s="1"/>
  <c r="P81" i="177"/>
  <c r="P151" i="165"/>
  <c r="P151" i="177" s="1"/>
  <c r="P152" i="177"/>
  <c r="P300" i="165"/>
  <c r="P301" i="177"/>
  <c r="E261" i="165"/>
  <c r="E261" i="177" s="1"/>
  <c r="J32" i="165"/>
  <c r="J32" i="177" s="1"/>
  <c r="J33" i="177"/>
  <c r="E295" i="165"/>
  <c r="E297" i="177"/>
  <c r="P297" i="165"/>
  <c r="P298" i="177"/>
  <c r="I41" i="167"/>
  <c r="L41" i="167" s="1"/>
  <c r="J45" i="177"/>
  <c r="J36" i="177"/>
  <c r="J35" i="165"/>
  <c r="E42" i="165"/>
  <c r="E42" i="177" s="1"/>
  <c r="E41" i="177" s="1"/>
  <c r="J299" i="165"/>
  <c r="J299" i="177" s="1"/>
  <c r="J300" i="177"/>
  <c r="E169" i="165"/>
  <c r="E169" i="177" s="1"/>
  <c r="E149" i="177" s="1"/>
  <c r="E170" i="177"/>
  <c r="O259" i="165"/>
  <c r="O258" i="165" s="1"/>
  <c r="O260" i="177"/>
  <c r="O259" i="177" s="1"/>
  <c r="J86" i="165"/>
  <c r="J87" i="177"/>
  <c r="O85" i="165"/>
  <c r="O85" i="177" s="1"/>
  <c r="O69" i="177" s="1"/>
  <c r="O86" i="177"/>
  <c r="H16" i="167"/>
  <c r="E260" i="165"/>
  <c r="E260" i="177" s="1"/>
  <c r="E259" i="177" s="1"/>
  <c r="P264" i="165"/>
  <c r="P264" i="177" s="1"/>
  <c r="I48" i="167"/>
  <c r="G48" i="167" s="1"/>
  <c r="E131" i="165"/>
  <c r="E130" i="165" s="1"/>
  <c r="K27" i="167"/>
  <c r="G27" i="167"/>
  <c r="P56" i="165"/>
  <c r="P56" i="177" s="1"/>
  <c r="E41" i="165"/>
  <c r="P41" i="165" s="1"/>
  <c r="J156" i="165"/>
  <c r="J156" i="177" s="1"/>
  <c r="P59" i="165"/>
  <c r="P59" i="177" s="1"/>
  <c r="G54" i="167"/>
  <c r="H38" i="167"/>
  <c r="K52" i="167"/>
  <c r="G52" i="167"/>
  <c r="E149" i="165"/>
  <c r="E148" i="165" s="1"/>
  <c r="K22" i="167"/>
  <c r="K15" i="167"/>
  <c r="P165" i="165"/>
  <c r="P165" i="177" s="1"/>
  <c r="P157" i="165"/>
  <c r="P157" i="177" s="1"/>
  <c r="O150" i="165"/>
  <c r="J153" i="165"/>
  <c r="P134" i="165"/>
  <c r="P134" i="177" s="1"/>
  <c r="J72" i="165"/>
  <c r="J72" i="177" s="1"/>
  <c r="I118" i="167"/>
  <c r="I117" i="167" s="1"/>
  <c r="J132" i="165"/>
  <c r="J132" i="177" s="1"/>
  <c r="L39" i="167"/>
  <c r="I38" i="167"/>
  <c r="P82" i="165"/>
  <c r="P82" i="177" s="1"/>
  <c r="I62" i="167"/>
  <c r="P36" i="165"/>
  <c r="G23" i="167"/>
  <c r="L17" i="167"/>
  <c r="M15" i="167"/>
  <c r="G41" i="167"/>
  <c r="J44" i="165"/>
  <c r="J44" i="177" s="1"/>
  <c r="J60" i="167"/>
  <c r="M60" i="167" s="1"/>
  <c r="H134" i="167"/>
  <c r="H133" i="167" s="1"/>
  <c r="J245" i="166"/>
  <c r="L245" i="166" s="1"/>
  <c r="H190" i="167"/>
  <c r="H116" i="167"/>
  <c r="K116" i="167" s="1"/>
  <c r="G135" i="167"/>
  <c r="J15" i="167"/>
  <c r="G75" i="167"/>
  <c r="I197" i="167"/>
  <c r="G197" i="167" s="1"/>
  <c r="P52" i="165"/>
  <c r="P52" i="177" s="1"/>
  <c r="G79" i="167"/>
  <c r="I194" i="167"/>
  <c r="P45" i="165"/>
  <c r="P45" i="177" s="1"/>
  <c r="G66" i="167"/>
  <c r="O16" i="165"/>
  <c r="G208" i="167"/>
  <c r="G207" i="167" s="1"/>
  <c r="O130" i="165"/>
  <c r="J131" i="165"/>
  <c r="G24" i="167"/>
  <c r="P133" i="165"/>
  <c r="H61" i="167"/>
  <c r="G101" i="167"/>
  <c r="G28" i="167"/>
  <c r="G73" i="167"/>
  <c r="G102" i="167"/>
  <c r="G119" i="167"/>
  <c r="G144" i="167"/>
  <c r="G139" i="167"/>
  <c r="M37" i="167"/>
  <c r="P19" i="165"/>
  <c r="G107" i="167"/>
  <c r="G143" i="167"/>
  <c r="G114" i="167"/>
  <c r="G147" i="167"/>
  <c r="I231" i="167"/>
  <c r="L231" i="167" s="1"/>
  <c r="I202" i="167"/>
  <c r="L202" i="167" s="1"/>
  <c r="G204" i="167"/>
  <c r="G203" i="167" s="1"/>
  <c r="P25" i="165"/>
  <c r="L313" i="165"/>
  <c r="I223" i="167"/>
  <c r="L223" i="167" s="1"/>
  <c r="G231" i="167"/>
  <c r="P155" i="165"/>
  <c r="J196" i="167"/>
  <c r="G196" i="167"/>
  <c r="I198" i="167"/>
  <c r="G112" i="167"/>
  <c r="I208" i="167"/>
  <c r="L208" i="167" s="1"/>
  <c r="I81" i="167"/>
  <c r="G81" i="167" s="1"/>
  <c r="I22" i="167"/>
  <c r="I16" i="167" s="1"/>
  <c r="P87" i="165"/>
  <c r="I201" i="167"/>
  <c r="F313" i="165"/>
  <c r="G313" i="165"/>
  <c r="G223" i="167"/>
  <c r="O40" i="165"/>
  <c r="P73" i="165"/>
  <c r="P73" i="177" s="1"/>
  <c r="K313" i="165"/>
  <c r="J240" i="165"/>
  <c r="J16" i="165"/>
  <c r="E89" i="165"/>
  <c r="O89" i="165"/>
  <c r="J90" i="165"/>
  <c r="J89" i="165" s="1"/>
  <c r="H207" i="167"/>
  <c r="P249" i="165"/>
  <c r="Q249" i="165" s="1"/>
  <c r="E248" i="165"/>
  <c r="G39" i="167"/>
  <c r="E269" i="165"/>
  <c r="P270" i="165"/>
  <c r="Q270" i="165" s="1"/>
  <c r="J281" i="165"/>
  <c r="P282" i="165"/>
  <c r="Q282" i="165" s="1"/>
  <c r="H85" i="167"/>
  <c r="K85" i="167" s="1"/>
  <c r="J259" i="165" l="1"/>
  <c r="P261" i="165"/>
  <c r="P261" i="177" s="1"/>
  <c r="E69" i="165"/>
  <c r="E68" i="165" s="1"/>
  <c r="P17" i="165"/>
  <c r="Q17" i="165" s="1"/>
  <c r="O16" i="177"/>
  <c r="J17" i="177"/>
  <c r="J16" i="177" s="1"/>
  <c r="E148" i="177"/>
  <c r="P24" i="165"/>
  <c r="P25" i="177"/>
  <c r="P18" i="165"/>
  <c r="P18" i="177" s="1"/>
  <c r="P19" i="177"/>
  <c r="E258" i="177"/>
  <c r="J23" i="165"/>
  <c r="J23" i="177" s="1"/>
  <c r="J24" i="177"/>
  <c r="O290" i="177"/>
  <c r="J291" i="177"/>
  <c r="J290" i="177" s="1"/>
  <c r="O130" i="177"/>
  <c r="J131" i="177"/>
  <c r="J150" i="165"/>
  <c r="J150" i="177" s="1"/>
  <c r="J153" i="177"/>
  <c r="J42" i="165"/>
  <c r="J42" i="177" s="1"/>
  <c r="P41" i="177"/>
  <c r="E40" i="177"/>
  <c r="E291" i="165"/>
  <c r="E295" i="177"/>
  <c r="E291" i="177" s="1"/>
  <c r="E35" i="177"/>
  <c r="D61" i="170"/>
  <c r="P132" i="165"/>
  <c r="P132" i="177" s="1"/>
  <c r="P133" i="177"/>
  <c r="O149" i="165"/>
  <c r="O148" i="165" s="1"/>
  <c r="O150" i="177"/>
  <c r="O149" i="177" s="1"/>
  <c r="O258" i="177"/>
  <c r="J259" i="177"/>
  <c r="J258" i="177" s="1"/>
  <c r="J35" i="177"/>
  <c r="D62" i="170"/>
  <c r="E62" i="170" s="1"/>
  <c r="P299" i="165"/>
  <c r="P299" i="177" s="1"/>
  <c r="P300" i="177"/>
  <c r="P153" i="165"/>
  <c r="P155" i="177"/>
  <c r="P36" i="177"/>
  <c r="P35" i="165"/>
  <c r="P35" i="177" s="1"/>
  <c r="P295" i="165"/>
  <c r="P295" i="177" s="1"/>
  <c r="P297" i="177"/>
  <c r="O290" i="165"/>
  <c r="J291" i="165"/>
  <c r="J290" i="165" s="1"/>
  <c r="E17" i="177"/>
  <c r="P32" i="165"/>
  <c r="P32" i="177" s="1"/>
  <c r="P33" i="177"/>
  <c r="P169" i="165"/>
  <c r="P169" i="177" s="1"/>
  <c r="P170" i="177"/>
  <c r="O69" i="165"/>
  <c r="O68" i="177"/>
  <c r="J69" i="177"/>
  <c r="O302" i="177"/>
  <c r="O313" i="177" s="1"/>
  <c r="P86" i="165"/>
  <c r="P87" i="177"/>
  <c r="J85" i="165"/>
  <c r="J85" i="177" s="1"/>
  <c r="J86" i="177"/>
  <c r="H37" i="167"/>
  <c r="H239" i="167"/>
  <c r="Q41" i="165"/>
  <c r="Q302" i="165"/>
  <c r="P260" i="165"/>
  <c r="P260" i="177" s="1"/>
  <c r="E259" i="165"/>
  <c r="E258" i="165" s="1"/>
  <c r="K213" i="167" s="1"/>
  <c r="G32" i="108"/>
  <c r="E40" i="165"/>
  <c r="K37" i="167"/>
  <c r="J149" i="165"/>
  <c r="P149" i="165" s="1"/>
  <c r="Q149" i="165" s="1"/>
  <c r="P156" i="165"/>
  <c r="P156" i="177" s="1"/>
  <c r="O302" i="165"/>
  <c r="O313" i="165" s="1"/>
  <c r="G118" i="167"/>
  <c r="E16" i="165"/>
  <c r="E302" i="165"/>
  <c r="F314" i="165" s="1"/>
  <c r="G38" i="167"/>
  <c r="G37" i="167" s="1"/>
  <c r="P72" i="165"/>
  <c r="P72" i="177" s="1"/>
  <c r="P44" i="165"/>
  <c r="P44" i="177" s="1"/>
  <c r="L15" i="167"/>
  <c r="H60" i="167"/>
  <c r="K60" i="167" s="1"/>
  <c r="G202" i="167"/>
  <c r="G194" i="167"/>
  <c r="I191" i="167"/>
  <c r="L191" i="167" s="1"/>
  <c r="H15" i="167"/>
  <c r="P16" i="165"/>
  <c r="I207" i="167"/>
  <c r="L22" i="167"/>
  <c r="J197" i="167"/>
  <c r="J130" i="165"/>
  <c r="P131" i="165"/>
  <c r="Q131" i="165" s="1"/>
  <c r="I116" i="167"/>
  <c r="L116" i="167" s="1"/>
  <c r="I37" i="167"/>
  <c r="L37" i="167" s="1"/>
  <c r="G22" i="167"/>
  <c r="G16" i="167" s="1"/>
  <c r="I86" i="167"/>
  <c r="I85" i="167" s="1"/>
  <c r="L85" i="167" s="1"/>
  <c r="G201" i="167"/>
  <c r="G91" i="167"/>
  <c r="G199" i="167"/>
  <c r="J198" i="167"/>
  <c r="G198" i="167"/>
  <c r="P269" i="165"/>
  <c r="J258" i="165"/>
  <c r="L213" i="167" s="1"/>
  <c r="P259" i="165"/>
  <c r="Q259" i="165" s="1"/>
  <c r="P281" i="165"/>
  <c r="P240" i="165"/>
  <c r="I61" i="167"/>
  <c r="G62" i="167"/>
  <c r="G61" i="167" s="1"/>
  <c r="P248" i="165"/>
  <c r="P90" i="165"/>
  <c r="J40" i="165"/>
  <c r="E16" i="177" l="1"/>
  <c r="E302" i="177"/>
  <c r="P17" i="177"/>
  <c r="P150" i="165"/>
  <c r="P150" i="177" s="1"/>
  <c r="P153" i="177"/>
  <c r="Q41" i="177"/>
  <c r="P40" i="177"/>
  <c r="J130" i="177"/>
  <c r="P131" i="177"/>
  <c r="E290" i="177"/>
  <c r="P291" i="177"/>
  <c r="E290" i="165"/>
  <c r="P291" i="165"/>
  <c r="P259" i="177"/>
  <c r="O148" i="177"/>
  <c r="J149" i="177"/>
  <c r="J302" i="177" s="1"/>
  <c r="E61" i="170"/>
  <c r="E60" i="170"/>
  <c r="P23" i="165"/>
  <c r="P23" i="177" s="1"/>
  <c r="P24" i="177"/>
  <c r="J68" i="177"/>
  <c r="P69" i="177"/>
  <c r="P85" i="165"/>
  <c r="P85" i="177" s="1"/>
  <c r="P86" i="177"/>
  <c r="O68" i="165"/>
  <c r="J69" i="165"/>
  <c r="P42" i="165"/>
  <c r="P42" i="177" s="1"/>
  <c r="S90" i="165"/>
  <c r="Q90" i="165"/>
  <c r="G117" i="167"/>
  <c r="G116" i="167" s="1"/>
  <c r="J148" i="165"/>
  <c r="E313" i="165"/>
  <c r="E322" i="165"/>
  <c r="E314" i="165"/>
  <c r="I60" i="167"/>
  <c r="G60" i="167"/>
  <c r="J191" i="167"/>
  <c r="J239" i="167" s="1"/>
  <c r="G191" i="167"/>
  <c r="G15" i="167"/>
  <c r="I190" i="167"/>
  <c r="G86" i="167"/>
  <c r="G85" i="167" s="1"/>
  <c r="I15" i="167"/>
  <c r="P130" i="165"/>
  <c r="P40" i="165"/>
  <c r="P89" i="165"/>
  <c r="P148" i="165"/>
  <c r="P258" i="165"/>
  <c r="J148" i="177" l="1"/>
  <c r="P149" i="177"/>
  <c r="P290" i="177"/>
  <c r="Q291" i="177"/>
  <c r="P16" i="177"/>
  <c r="Q17" i="177"/>
  <c r="Q259" i="177"/>
  <c r="P258" i="177"/>
  <c r="E313" i="177"/>
  <c r="F314" i="177"/>
  <c r="E314" i="177"/>
  <c r="E322" i="177"/>
  <c r="Q291" i="165"/>
  <c r="P290" i="165"/>
  <c r="P130" i="177"/>
  <c r="Q131" i="177"/>
  <c r="J313" i="177"/>
  <c r="P69" i="165"/>
  <c r="J68" i="165"/>
  <c r="L60" i="167" s="1"/>
  <c r="P68" i="177"/>
  <c r="Q69" i="177"/>
  <c r="P302" i="177"/>
  <c r="J302" i="165"/>
  <c r="J313" i="165" s="1"/>
  <c r="G190" i="167"/>
  <c r="M191" i="167"/>
  <c r="J190" i="167"/>
  <c r="Q149" i="177" l="1"/>
  <c r="P148" i="177"/>
  <c r="F316" i="177"/>
  <c r="P313" i="177"/>
  <c r="R302" i="177"/>
  <c r="Q69" i="165"/>
  <c r="P302" i="165"/>
  <c r="P314" i="165" s="1"/>
  <c r="P68" i="165"/>
  <c r="P314" i="177"/>
  <c r="R302" i="165" l="1"/>
  <c r="F316" i="165"/>
  <c r="K177" i="153"/>
  <c r="I149" i="167" l="1"/>
  <c r="G149" i="167" l="1"/>
  <c r="G134" i="167" s="1"/>
  <c r="G239" i="167" s="1"/>
  <c r="I134" i="167"/>
  <c r="I239" i="167" s="1"/>
  <c r="K239" i="167" l="1"/>
  <c r="I133" i="167"/>
  <c r="G133" i="167"/>
  <c r="M19" i="107" l="1"/>
  <c r="O19" i="107"/>
  <c r="K13" i="107" l="1"/>
  <c r="Q19" i="107"/>
  <c r="G139" i="107" l="1"/>
  <c r="F135" i="108"/>
  <c r="G138" i="107"/>
  <c r="F134" i="108"/>
  <c r="G136" i="107"/>
  <c r="F132" i="108"/>
  <c r="F133" i="108"/>
  <c r="G137" i="107"/>
  <c r="G134" i="107"/>
  <c r="F130" i="108"/>
  <c r="G135" i="107"/>
  <c r="F131" i="108"/>
  <c r="G132" i="107"/>
  <c r="F128" i="108"/>
  <c r="G131" i="107"/>
  <c r="F127" i="108"/>
  <c r="G130" i="107"/>
  <c r="F126" i="108"/>
  <c r="G129" i="107"/>
  <c r="F125" i="108"/>
  <c r="G128" i="107"/>
  <c r="F124" i="108"/>
  <c r="G127" i="107"/>
  <c r="F123" i="108"/>
  <c r="G126" i="107"/>
  <c r="F122" i="108"/>
  <c r="G125" i="107"/>
  <c r="F121" i="108"/>
  <c r="G124" i="107"/>
  <c r="F120" i="108"/>
  <c r="G123" i="107"/>
  <c r="F119" i="108"/>
  <c r="G122" i="107"/>
  <c r="F118" i="108"/>
  <c r="G120" i="107"/>
  <c r="F116" i="108"/>
  <c r="G80" i="107"/>
  <c r="G78" i="107"/>
  <c r="G77" i="107"/>
  <c r="G76" i="107"/>
  <c r="G75" i="107"/>
  <c r="G73" i="107"/>
  <c r="G72" i="107"/>
  <c r="G71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5" i="107"/>
  <c r="G53" i="107"/>
  <c r="G31" i="107"/>
  <c r="G30" i="107"/>
  <c r="G29" i="107"/>
  <c r="G28" i="107"/>
  <c r="G27" i="107"/>
  <c r="G18" i="107"/>
  <c r="G16" i="107" s="1"/>
  <c r="G15" i="107" s="1"/>
  <c r="G14" i="107" s="1"/>
  <c r="G147" i="107"/>
  <c r="F143" i="108"/>
  <c r="K166" i="107"/>
  <c r="J162" i="108"/>
  <c r="K12" i="107" l="1"/>
  <c r="K20" i="107" s="1"/>
  <c r="L13" i="107"/>
  <c r="L12" i="107" s="1"/>
  <c r="L20" i="107" s="1"/>
  <c r="J13" i="107"/>
  <c r="J12" i="107" s="1"/>
  <c r="J20" i="107" s="1"/>
  <c r="G13" i="107"/>
  <c r="G12" i="107" s="1"/>
  <c r="H13" i="107"/>
  <c r="H12" i="107" s="1"/>
  <c r="F13" i="107"/>
  <c r="O17" i="107"/>
  <c r="N17" i="107"/>
  <c r="M17" i="107"/>
  <c r="O20" i="107" l="1"/>
  <c r="O16" i="107"/>
  <c r="O15" i="107" s="1"/>
  <c r="O14" i="107" s="1"/>
  <c r="L133" i="167"/>
  <c r="G20" i="107"/>
  <c r="M133" i="167"/>
  <c r="H20" i="107"/>
  <c r="O13" i="107"/>
  <c r="O12" i="107" s="1"/>
  <c r="Q17" i="107"/>
  <c r="N18" i="107" l="1"/>
  <c r="N20" i="107" l="1"/>
  <c r="N16" i="107"/>
  <c r="N15" i="107" s="1"/>
  <c r="N14" i="107" s="1"/>
  <c r="N13" i="107"/>
  <c r="N12" i="107" s="1"/>
  <c r="F12" i="107"/>
  <c r="K133" i="167" s="1"/>
  <c r="F20" i="107" l="1"/>
  <c r="D18" i="108"/>
  <c r="D21" i="108" s="1"/>
  <c r="E32" i="108" s="1"/>
  <c r="P304" i="165" l="1"/>
  <c r="P313" i="165" s="1"/>
  <c r="M18" i="107"/>
  <c r="Q304" i="165" l="1"/>
  <c r="M13" i="107"/>
  <c r="M12" i="107" s="1"/>
  <c r="M20" i="107" s="1"/>
  <c r="M16" i="107"/>
  <c r="M15" i="107" s="1"/>
  <c r="M14" i="107" s="1"/>
  <c r="Q18" i="107"/>
  <c r="Q16" i="107" s="1"/>
  <c r="Q15" i="107" s="1"/>
  <c r="Q14" i="107" s="1"/>
  <c r="Q13" i="107" l="1"/>
  <c r="Q12" i="107" s="1"/>
  <c r="Q20" i="107"/>
</calcChain>
</file>

<file path=xl/sharedStrings.xml><?xml version="1.0" encoding="utf-8"?>
<sst xmlns="http://schemas.openxmlformats.org/spreadsheetml/2006/main" count="5915" uniqueCount="1298">
  <si>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</si>
  <si>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</si>
  <si>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</si>
  <si>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</si>
  <si>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</si>
  <si>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</si>
  <si>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</si>
  <si>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</si>
  <si>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</si>
  <si>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</si>
  <si>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</si>
  <si>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</si>
  <si>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</si>
  <si>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</si>
  <si>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</si>
  <si>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</si>
  <si>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</si>
  <si>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</si>
  <si>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</si>
  <si>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</si>
  <si>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</si>
  <si>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</si>
  <si>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</si>
  <si>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</si>
  <si>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</si>
  <si>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</si>
  <si>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</si>
  <si>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</si>
  <si>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</si>
  <si>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</si>
  <si>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</si>
  <si>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</si>
  <si>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</si>
  <si>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</si>
  <si>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</si>
  <si>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</si>
  <si>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</si>
  <si>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</si>
  <si>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</si>
  <si>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</si>
  <si>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</si>
  <si>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</si>
  <si>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</si>
  <si>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</si>
  <si>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</si>
  <si>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</si>
  <si>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</si>
  <si>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</si>
  <si>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</si>
  <si>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</si>
  <si>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</si>
  <si>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</si>
  <si>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</si>
  <si>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Всього, в т.ч.:</t>
  </si>
  <si>
    <t>0511</t>
  </si>
  <si>
    <t>Охорона та раціональне використання природних ресурсів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</si>
  <si>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</si>
  <si>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</si>
  <si>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</si>
  <si>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</si>
  <si>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</si>
  <si>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Капітальні видатки</t>
  </si>
  <si>
    <t>Додаток 1</t>
  </si>
  <si>
    <t>( грн.)</t>
  </si>
  <si>
    <t>Код</t>
  </si>
  <si>
    <t>Найменування згідно
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</si>
  <si>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</si>
  <si>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</si>
  <si>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</si>
  <si>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</si>
  <si>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</si>
  <si>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</si>
  <si>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</si>
  <si>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</si>
  <si>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</si>
  <si>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 xml:space="preserve">Акцизний податок з реалізації суб"єктами господарювання роздрібної торгівлі підакцизних товарів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</si>
  <si>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</si>
  <si>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</si>
  <si>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</si>
  <si>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</si>
  <si>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</si>
  <si>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</si>
  <si>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</si>
  <si>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</si>
  <si>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</si>
  <si>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</si>
  <si>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</si>
  <si>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</si>
  <si>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</si>
  <si>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</si>
  <si>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</si>
  <si>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</si>
  <si>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 xml:space="preserve">Єдиний податок  з юридичних осіб
</t>
  </si>
  <si>
    <t>Єдиний податок  з фізичних осіб</t>
  </si>
  <si>
    <t xml:space="preserve">Екологічний податок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</si>
  <si>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</si>
  <si>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</si>
  <si>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</si>
  <si>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</si>
  <si>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</si>
  <si>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 xml:space="preserve">Надходження від штрафів та фінансових санкцій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</si>
  <si>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</si>
  <si>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</si>
  <si>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</si>
  <si>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</si>
  <si>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</si>
  <si>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</si>
  <si>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</si>
  <si>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</si>
  <si>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</si>
  <si>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</si>
  <si>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</si>
  <si>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</si>
  <si>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</si>
  <si>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</si>
  <si>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</si>
  <si>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</si>
  <si>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</si>
  <si>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</si>
  <si>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</si>
  <si>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</si>
  <si>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</si>
  <si>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</si>
  <si>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</si>
  <si>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</si>
  <si>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</si>
  <si>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</si>
  <si>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</si>
  <si>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</si>
  <si>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</si>
  <si>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до рішення</t>
  </si>
  <si>
    <t>200000</t>
  </si>
  <si>
    <t>Внутрішнє фінансування</t>
  </si>
  <si>
    <t>208100</t>
  </si>
  <si>
    <t>На початок періоду</t>
  </si>
  <si>
    <t>На кінець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</si>
  <si>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</si>
  <si>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</si>
  <si>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</si>
  <si>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</si>
  <si>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</si>
  <si>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Зміни обсягів готівкових коштів на початок періоду</t>
  </si>
  <si>
    <t>Зміни обсягів готівкових коштів на кінець періоду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</si>
  <si>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</si>
  <si>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</si>
  <si>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</si>
  <si>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</si>
  <si>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</si>
  <si>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</si>
  <si>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</si>
  <si>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</si>
  <si>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</si>
  <si>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</si>
  <si>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</si>
  <si>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</si>
  <si>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</si>
  <si>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</si>
  <si>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</si>
  <si>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</si>
  <si>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</si>
  <si>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</si>
  <si>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</si>
  <si>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</si>
  <si>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</si>
  <si>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</si>
  <si>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</si>
  <si>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 xml:space="preserve">Спрямування коштів на житлове будівництво, реконструкцію та на ремонт житла всіх форм власності, в т.ч. будинків житлово-будівельних кооперативів (ТОВ "ЖЕО"), об'є́днань співвла́сників багатокварти́рних буди́нків, Будинкоуправління №2  КЕВ м. Хмельницький та будівель і споруд  комунальної власності 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</si>
  <si>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</si>
  <si>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</si>
  <si>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</si>
  <si>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</si>
  <si>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</si>
  <si>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</si>
  <si>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</si>
  <si>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</si>
  <si>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</si>
  <si>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</si>
  <si>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</si>
  <si>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</si>
  <si>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</si>
  <si>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</si>
  <si>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</si>
  <si>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</si>
  <si>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</si>
  <si>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</si>
  <si>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</si>
  <si>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</si>
  <si>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</si>
  <si>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</si>
  <si>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</si>
  <si>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</si>
  <si>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</si>
  <si>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</si>
  <si>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</si>
  <si>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</si>
  <si>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</si>
  <si>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</si>
  <si>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</si>
  <si>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</si>
  <si>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</si>
  <si>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</si>
  <si>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</si>
  <si>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</si>
  <si>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</si>
  <si>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</si>
  <si>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</si>
  <si>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</si>
  <si>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</si>
  <si>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</si>
  <si>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</si>
  <si>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</si>
  <si>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</si>
  <si>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</si>
  <si>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</si>
  <si>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</si>
  <si>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</si>
  <si>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</si>
  <si>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</si>
  <si>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</si>
  <si>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</si>
  <si>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</si>
  <si>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</si>
  <si>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</si>
  <si>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</si>
  <si>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</si>
  <si>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</si>
  <si>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</si>
  <si>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</si>
  <si>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</si>
  <si>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</si>
  <si>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</si>
  <si>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</si>
  <si>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</si>
  <si>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</si>
  <si>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</si>
  <si>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</si>
  <si>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</si>
  <si>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</si>
  <si>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</si>
  <si>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</si>
  <si>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</si>
  <si>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</si>
  <si>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</si>
  <si>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</si>
  <si>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</si>
  <si>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</si>
  <si>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</si>
  <si>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</si>
  <si>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</si>
  <si>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</si>
  <si>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</si>
  <si>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</si>
  <si>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</si>
  <si>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</si>
  <si>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</si>
  <si>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</si>
  <si>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</si>
  <si>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</si>
  <si>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</si>
  <si>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</si>
  <si>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</si>
  <si>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</si>
  <si>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</si>
  <si>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</si>
  <si>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</si>
  <si>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</si>
  <si>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</si>
  <si>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</si>
  <si>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</si>
  <si>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</si>
  <si>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</si>
  <si>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</si>
  <si>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</si>
  <si>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</si>
  <si>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</si>
  <si>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</si>
  <si>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</si>
  <si>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</si>
  <si>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</si>
  <si>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</si>
  <si>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</si>
  <si>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</si>
  <si>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</si>
  <si>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</si>
  <si>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</si>
  <si>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</si>
  <si>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</si>
  <si>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</si>
  <si>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</si>
  <si>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</si>
  <si>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</si>
  <si>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</si>
  <si>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</si>
  <si>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</si>
  <si>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</si>
  <si>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</si>
  <si>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</si>
  <si>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</si>
  <si>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</si>
  <si>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</si>
  <si>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</si>
  <si>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</si>
  <si>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</si>
  <si>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</si>
  <si>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</si>
  <si>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</si>
  <si>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</si>
  <si>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</si>
  <si>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</si>
  <si>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</si>
  <si>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</si>
  <si>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</si>
  <si>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</si>
  <si>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</si>
  <si>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</si>
  <si>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</si>
  <si>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</si>
  <si>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</si>
  <si>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</si>
  <si>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</si>
  <si>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</si>
  <si>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</si>
  <si>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</si>
  <si>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</si>
  <si>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</si>
  <si>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</si>
  <si>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</si>
  <si>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</si>
  <si>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</si>
  <si>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</si>
  <si>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</si>
  <si>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</si>
  <si>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</si>
  <si>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</si>
  <si>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</si>
  <si>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2818311</t>
  </si>
  <si>
    <t>8311</t>
  </si>
  <si>
    <t>2818330</t>
  </si>
  <si>
    <t>8330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</si>
  <si>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</si>
  <si>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</si>
  <si>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</si>
  <si>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</si>
  <si>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</si>
  <si>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</si>
  <si>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</si>
  <si>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 xml:space="preserve">до рішення № </t>
  </si>
  <si>
    <t>№ п/п</t>
  </si>
  <si>
    <t>Код КПКВ</t>
  </si>
  <si>
    <t>Заходи, на які виділяються кошти</t>
  </si>
  <si>
    <t>Проведення експертної грошової оцінки земельної ділянки несільськогосподарського призначення</t>
  </si>
  <si>
    <t>%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</si>
  <si>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</si>
  <si>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</si>
  <si>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</si>
  <si>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</si>
  <si>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</si>
  <si>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</si>
  <si>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</si>
  <si>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</si>
  <si>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</si>
  <si>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</si>
  <si>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</si>
  <si>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</si>
  <si>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</si>
  <si>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</si>
  <si>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</si>
  <si>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</si>
  <si>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</si>
  <si>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</si>
  <si>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</si>
  <si>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</si>
  <si>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</si>
  <si>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</si>
  <si>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</si>
  <si>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</si>
  <si>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</si>
  <si>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здоров"я за рахунок відповідної дотації з державного бюджету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</si>
  <si>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</si>
  <si>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</si>
  <si>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</si>
  <si>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</si>
  <si>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</si>
  <si>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</si>
  <si>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</si>
  <si>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</si>
  <si>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</si>
  <si>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</si>
  <si>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</si>
  <si>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</si>
  <si>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</si>
  <si>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</si>
  <si>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</si>
  <si>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</si>
  <si>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</si>
  <si>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Середньострокові зобов"язання </t>
  </si>
  <si>
    <t xml:space="preserve">Погашення </t>
  </si>
  <si>
    <t>Зовнішні зобов"язання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</si>
  <si>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</si>
  <si>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</si>
  <si>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</si>
  <si>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</si>
  <si>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</si>
  <si>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</si>
  <si>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</si>
  <si>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</si>
  <si>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</si>
  <si>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</si>
  <si>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</si>
  <si>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</si>
  <si>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</si>
  <si>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</si>
  <si>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</si>
  <si>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</si>
  <si>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</si>
  <si>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</si>
  <si>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</si>
  <si>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</si>
  <si>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</si>
  <si>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</si>
  <si>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</si>
  <si>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</si>
  <si>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</si>
  <si>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</si>
  <si>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</si>
  <si>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</si>
  <si>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</si>
  <si>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</si>
  <si>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</si>
  <si>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</si>
  <si>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</si>
  <si>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</si>
  <si>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</si>
  <si>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</si>
  <si>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</si>
  <si>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</si>
  <si>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</si>
  <si>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</si>
  <si>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</si>
  <si>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</si>
  <si>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</si>
  <si>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</si>
  <si>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</si>
  <si>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</si>
  <si>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</si>
  <si>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</si>
  <si>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</si>
  <si>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</si>
  <si>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</si>
  <si>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</si>
  <si>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</si>
  <si>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</si>
  <si>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</si>
  <si>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</si>
  <si>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</si>
  <si>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</si>
  <si>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</si>
  <si>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</si>
  <si>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</si>
  <si>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</si>
  <si>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</si>
  <si>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</si>
  <si>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</si>
  <si>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</si>
  <si>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</si>
  <si>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</si>
  <si>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</si>
  <si>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Рішення 27-ї сесії Хмельницької міської ради від 14.12.2018 року №16</t>
  </si>
  <si>
    <t>Рішення 27-ї сесії Хмельницької міської ради від 14.12.2018 року №13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</si>
  <si>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</si>
  <si>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</si>
  <si>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</si>
  <si>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</si>
  <si>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</si>
  <si>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Створення нових, будівельно-ремонтні роботи існуючих палаців спорту та завершення розпочатих у попередньому періоді робіт з будівництва/реконструкції палаців спорту</t>
  </si>
  <si>
    <t>5043</t>
  </si>
  <si>
    <t>0717670</t>
  </si>
  <si>
    <t>Програма «Здоров’я хмельничан» на 2017-2021 роки (із змінами і доповненнями)</t>
  </si>
  <si>
    <t>2018 - 2022 роки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</si>
  <si>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</si>
  <si>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</si>
  <si>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</si>
  <si>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рамок, грамот, подяк, кубків і т.д)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</si>
  <si>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</si>
  <si>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</si>
  <si>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</si>
  <si>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</si>
  <si>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</si>
  <si>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</si>
  <si>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</si>
  <si>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</si>
  <si>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</si>
  <si>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фінансової підтримки комунальної установи Хмельницької міської ради "Агенція розвитку Хмельницького" на 2019-2021 роки  (із змінами і доповненнями)</t>
  </si>
  <si>
    <t>Програма розвитку підприємництва міста Хмельницького на 2019-2021 роки  (із змінами і доповненнями)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</si>
  <si>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</si>
  <si>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</si>
  <si>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</si>
  <si>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</si>
  <si>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</si>
  <si>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</si>
  <si>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</si>
  <si>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</si>
  <si>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</si>
  <si>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</si>
  <si>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</si>
  <si>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</si>
  <si>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</si>
  <si>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</si>
  <si>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 Палацу спорту по вул.Прибузькій, 5/1а у м.Хмельницькому</t>
  </si>
  <si>
    <t>Будівництвоˈ інших об'єктів комунальної власності</t>
  </si>
  <si>
    <t xml:space="preserve">Реконструкція мереж водопроводу та каналізації в мікрорайоні "Лезнево" м.Хмельницький 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</si>
  <si>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</si>
  <si>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</si>
  <si>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</si>
  <si>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</si>
  <si>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</si>
  <si>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</si>
  <si>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</si>
  <si>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0512</t>
  </si>
  <si>
    <t>2818312</t>
  </si>
  <si>
    <t>8312</t>
  </si>
  <si>
    <t>Утилізація відходів</t>
  </si>
  <si>
    <t>Інша діяльність у сфері екології та охорони природних ресурсів</t>
  </si>
  <si>
    <t xml:space="preserve">     Виплата грошової винагороди у розмірі, передбаченому Положенням про звання "Почесний громадянин міста Хмельницького", Положенням "Про почесну відзнаку міської громади "Мужність і відвага""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</si>
  <si>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  загиблих та померлих учасників ООС; Почесних громадян міста; інших осіб.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</si>
  <si>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</si>
  <si>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</si>
  <si>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</si>
  <si>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</si>
  <si>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</si>
  <si>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</si>
  <si>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</si>
  <si>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</si>
  <si>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</si>
  <si>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</si>
  <si>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</si>
  <si>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</si>
  <si>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</si>
  <si>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</si>
  <si>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</si>
  <si>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</si>
  <si>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</si>
  <si>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2020 - 2021 роки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</si>
  <si>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</si>
  <si>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</si>
  <si>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</si>
  <si>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</si>
  <si>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</si>
  <si>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</si>
  <si>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</si>
  <si>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 xml:space="preserve">до рішення  №     від     2020 року 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</si>
  <si>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</si>
  <si>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</si>
  <si>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</si>
  <si>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</si>
  <si>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</si>
  <si>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</si>
  <si>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</si>
  <si>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Надання спеціальної освіти мистецькими школами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</si>
  <si>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</si>
  <si>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</si>
  <si>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</si>
  <si>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</si>
  <si>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</si>
  <si>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</si>
  <si>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</si>
  <si>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</si>
  <si>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</si>
  <si>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</si>
  <si>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</si>
  <si>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</si>
  <si>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</si>
  <si>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</si>
  <si>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</si>
  <si>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</si>
  <si>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</si>
  <si>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</si>
  <si>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</si>
  <si>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</si>
  <si>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8320</t>
  </si>
  <si>
    <t>Збереження природно-заповідного фонду</t>
  </si>
  <si>
    <t>2818320</t>
  </si>
  <si>
    <t>0520</t>
  </si>
  <si>
    <t>Біологічна меліорація водойм</t>
  </si>
  <si>
    <t>Найменування об’єкта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</si>
  <si>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</si>
  <si>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</si>
  <si>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</si>
  <si>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</si>
  <si>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</si>
  <si>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Придбання обладнання і предметів довгострокового користування</t>
  </si>
  <si>
    <t>Капітальний ремонт (зовнішнє опорядження та утеплення фасадів, заміна покрівлі) Хмельницького ДНЗ №21 "Ластівка" за адресою: вул. Сковороди, 31, м. Хмельницький</t>
  </si>
  <si>
    <t>Капітальний ремонт огорожі Хмельницького дошкільного навчального закладу №24 "Барвінок" по вул. Купріна, 54/1 в м. Хмельницькому</t>
  </si>
  <si>
    <t>Капітальний ремонт огорожі Хмельницького навчально-виховного комплексу №31 "Дошкільний навчальний заклад - загальноосвітній навчальний заклад І ступеня" по вул. Миколи Мазура, 17 в м. Хмельницькому</t>
  </si>
  <si>
    <t>2016 - 2020 роки</t>
  </si>
  <si>
    <t>Внески до статутного капіталу комунального підприємства "Хмельницька міська дитяча лікарня" Хмельницької міської ради (Придбання обладнання і предметів довгострокового користування)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</si>
  <si>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(Придбання обладнання і предметів довгострокового користування)</t>
  </si>
  <si>
    <t>Капітальний ремонт житлового фонду (приміщень)</t>
  </si>
  <si>
    <t>Капітальні трансферти населенню</t>
  </si>
  <si>
    <t>2017 - 2022 роки</t>
  </si>
  <si>
    <t>2018 - 2021 роки</t>
  </si>
  <si>
    <t xml:space="preserve">Капітальний ремонт житлового фонду </t>
  </si>
  <si>
    <t>Капітальні видатки, в т.ч.:</t>
  </si>
  <si>
    <t>капітальний ремонт прибудинкових територій</t>
  </si>
  <si>
    <t xml:space="preserve"> Капітальний ремонт зелених насаджень (омолодження дерев на вулицях міста)</t>
  </si>
  <si>
    <t xml:space="preserve"> </t>
  </si>
  <si>
    <t>Капітальний ремонт об’єктів благоустрою (мереж зовнішнього освітлення)</t>
  </si>
  <si>
    <t>Капітальний ремонт контейнерних майданчиків із встановленням підземних контейнерів</t>
  </si>
  <si>
    <t>Капітальний ремонт-розчистка русла річки Південний Буг від намулу, відкладів, завалів в межах міста Хмельницький  від вул.Трудової до вул.С.Бандери</t>
  </si>
  <si>
    <t>2019 - 2021 роки</t>
  </si>
  <si>
    <t>Внески до статутного капіталу МКП "Хмельницькводоканал" (Реконструкція ділянки водопроводу по вул. Північна в м.Хмельницький)</t>
  </si>
  <si>
    <t>Реставрація Хмельницького міського будинку культури по вул.Проскурівській, 43 в м. Хмельницькому</t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</si>
  <si>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</si>
  <si>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Внески до статутного капіталу комунального підприємства "Хмельницька інфекційна лікарня" Хмельницької міської ради (Придбання обладнання і предметів довгострокового користування)</t>
  </si>
  <si>
    <t>капітальний ремонт дитячих та спортивних майданчиків</t>
  </si>
  <si>
    <t>Реалізація громадських проєктів</t>
  </si>
  <si>
    <t>Внески до статутного капіталу ХКП "Спецкомунтранс" (Реконструкція полігону твердих побутових відходів з метою запобігання виникнення надзвичайної екологічної ситуації за адресою м. Хмельницький, вул. Проспект Миру, 7 розробка розділу "Проект  організації будівництва")</t>
  </si>
  <si>
    <t>2015 - 2022 роки</t>
  </si>
  <si>
    <t>Капітальний ремонт, відновлення зовнішньої штукатурки з подальшим оздобленням фасаду на вул. Курчатова, 1 Д, в м. Хмельницькому</t>
  </si>
  <si>
    <t>Капітальний ремонт ліфтів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</si>
  <si>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</si>
  <si>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</si>
  <si>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</si>
  <si>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</si>
  <si>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</si>
  <si>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</si>
  <si>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</si>
  <si>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Довгострокові зобов"язання </t>
  </si>
  <si>
    <t>2017-2021</t>
  </si>
  <si>
    <t>Програма поводження з побутовими відходами у м. Хмельницькому - Програма "Розумне довкілля Хмельницький" на 2020р.</t>
  </si>
  <si>
    <t>Рішення 36-ї сесії Хмельницької міської ради від 24.12.2019р (зі змінами)</t>
  </si>
  <si>
    <t xml:space="preserve">від  </t>
  </si>
  <si>
    <t>Доходи  бюджету Хмельницької міської територіальної громади  на 2021 рік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</si>
  <si>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</si>
  <si>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</si>
  <si>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</si>
  <si>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</si>
  <si>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</si>
  <si>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на 2021 рік</t>
  </si>
  <si>
    <t>Вільний залишок коштів на 01.01.2021  року: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</si>
  <si>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</si>
  <si>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</si>
  <si>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</si>
  <si>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</si>
  <si>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</si>
  <si>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</si>
  <si>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</si>
  <si>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</si>
  <si>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</si>
  <si>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Код бюджету - 22564000000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</si>
  <si>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</si>
  <si>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>Встановлення (поновлення) знаків - аншлагів, межових знаків на території об‘єктів природно-заповідного фонду</t>
  </si>
  <si>
    <t>Розроблення проекту організації території дендрологічного парку місцевого значення "Поділля"</t>
  </si>
  <si>
    <t>Наукові дослідження (лабораторні дослідження води водних об‘єктів)</t>
  </si>
  <si>
    <t>Розроблення програми моніторингу в галузі охорони атмосферного повітря</t>
  </si>
  <si>
    <t>Виготовлення та розміщення інформаційних листівок, екологічної реклами, відеороликів на тему "Розумне поводження з відходами"</t>
  </si>
  <si>
    <t xml:space="preserve">Реконструкція з надбудовою приміщень навчально-виховного комплексу №10 по вул. Водопровідній, 9А в м. Хмельницькому </t>
  </si>
  <si>
    <t>2018 - 2022роки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</si>
  <si>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</si>
  <si>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>2013 - 2022 роки</t>
  </si>
  <si>
    <t>Будівництво вулиці Мельникова (від вул. Зарічанської до вул. Трудової) в м.Хмельницькому (І черга)</t>
  </si>
  <si>
    <t>2019 - 2022 роки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</si>
  <si>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</si>
  <si>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</si>
  <si>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</si>
  <si>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</si>
  <si>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</si>
  <si>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</si>
  <si>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</si>
  <si>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</si>
  <si>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</si>
  <si>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</si>
  <si>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</si>
  <si>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</si>
  <si>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</si>
  <si>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</si>
  <si>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</si>
  <si>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</si>
  <si>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</si>
  <si>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</si>
  <si>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2020-2021 роки</t>
  </si>
  <si>
    <t>Капітальний ремонт прибудинкових територій</t>
  </si>
  <si>
    <t xml:space="preserve">Капітальний ремонт зони відпочинку навколо водойми в мікрорайоні "Озерна" в м.Хмельницький </t>
  </si>
  <si>
    <t>Капітальний ремонт атракціону "Колесо огляду" в парку культури та відпочинку ім. М. Чекмана м.Хмельницький</t>
  </si>
  <si>
    <t>Капітальний ремонт комунальних майданчиків для вигулу собак на території м. Хмельницького (в т.ч. ПКД та експертиза)</t>
  </si>
  <si>
    <t xml:space="preserve"> Реконструкція парку-пам"ятки садово-паркового мистецтва місцевого значення "Парк ім. М.Чекмана. Ділянка колеса огляду. </t>
  </si>
  <si>
    <t>2021р-</t>
  </si>
  <si>
    <t>Реставрація водонапірної бшти на вул. Балбачана, 18/1 в м.Хмельницькому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</si>
  <si>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м.Хмельницького")</t>
  </si>
  <si>
    <t>2019-2021 роки</t>
  </si>
  <si>
    <t>2021 рік</t>
  </si>
  <si>
    <t>Внески до статутного капіталу ХКП "Спецкомунтранс"( "Капітальний ремонт частини нежитлового приміщення за адресою м. Хмельницький, вул. Марка Кропивницького, 6А")</t>
  </si>
  <si>
    <t>Внески до статутного капіталу МКП "Хмельницькводоканал" (Реконструкція каналізаційної мережі від ж.б.№4, 6 по вул.Деповська та ж.б. №63/2 по вул.Курчатова м.Хмельницький)</t>
  </si>
  <si>
    <t>Внески до статутного капіталу МКП "Хмельницькводоканал" (Будівництво зовнішніх мереж водопостачання вул.Ващука, вул.Ігнатенка, вул.Правика, вул.Кібенка, пров.Правика, пров, Ващука, пров. Кібенка житлового масиву"Прометей" в м.Хмельницький)</t>
  </si>
  <si>
    <t>Внески до статутного капіталу МКП "Хмельницькводоканал" (Будівництво вуличних мереж водовідведення по вул Черняховського у м.Хмельницький)</t>
  </si>
  <si>
    <t>Проєкт Програми охорони довкілля Хмельницької міської територіальної громади на 2021-2025 роки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</si>
  <si>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</si>
  <si>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</si>
  <si>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</si>
  <si>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</si>
  <si>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Нове будівництво парку "Молодіжний" по вул. Бандери в м. Хмельницькому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</si>
  <si>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</si>
  <si>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</si>
  <si>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</si>
  <si>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видатків бюджету Хмельницької міської територіальної громади на 2021 рік</t>
  </si>
  <si>
    <t>РОЗПОДІЛ</t>
  </si>
  <si>
    <t>витрат бюджету Хмельницької міської територіальної громади на реалізацію місцевих/регіональних програм у 2021 році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</si>
  <si>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</si>
  <si>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</si>
  <si>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</si>
  <si>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</si>
  <si>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</si>
  <si>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бюджету Хмельницької міської територіальної громади у 2021 році</t>
  </si>
  <si>
    <t>КРЕДИТУВАННЯ</t>
  </si>
  <si>
    <t>ФІНАНСУВАННЯ</t>
  </si>
  <si>
    <t>бюджету Хмельницької міської територіальної громади на 2021 рік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</si>
  <si>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</si>
  <si>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22530000000</t>
  </si>
  <si>
    <t>28000000000</t>
  </si>
  <si>
    <t>Державний бюджет України</t>
  </si>
  <si>
    <t>МІЖБЮДЖЕТНІ ТРАНСФЕРТИ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</si>
  <si>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</si>
  <si>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</si>
  <si>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</si>
  <si>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</si>
  <si>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</si>
  <si>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</si>
  <si>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</si>
  <si>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</si>
  <si>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Реконструкція спортивного майданчика під мультифункціональний  майданчик для занять ігровими видами спорту на території Хмельницької спеціалізованої середньої загальноосвітньої школи І-ІІІ ступенів №13 імені М.К.Чекмана за адресою вул. Профспілковій, 39 в м.Хмельницькому</t>
  </si>
  <si>
    <t>Реконструкція спортивного майданчика під мультифункціональний  майданчик для занять ігровими видами спорту на території Хмельницького навчально-виховного комплексу №31 за адресою вул. Миколи Мазура, 17 в м. Хмельницькому</t>
  </si>
  <si>
    <t xml:space="preserve">Капітальний ремонт водопостачання Хмельницької спеціалізованої загальноосвітньої школи №19 І-ІІІ ступенів імені академіка Михайла Павловського (в тому числі виготовлення проектно-кошторисної документації) 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</si>
  <si>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</si>
  <si>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</si>
  <si>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Внески до статутного капіталу комунального підприємства "Хмельницька міська лікарня" Хмельницької міської ради (Капітальний ремонт приміщення другого поверху та центрального входу  відділення амбулаторного гемодіалізу  корпусу №4 комунального підприємства "Хмельницька міська лікарня" Хмельницької міської ради, за адресою: провулок  Проскурівський,1 м.Хмельницький)</t>
  </si>
  <si>
    <t xml:space="preserve">Внески до статутного капіталу комунального підприємства "Хмельницька інфекційна лікарня" Хмельницької міської ради (Капітальний ремонт (з замміною дверей) тераси корпусу №3 Хмельницької міської інфекційної лікарні по вул. Сковороди, 17)  (в тому числі виготовлення проектно-кошторисної документації) </t>
  </si>
  <si>
    <t>Внески до статутного капіталу комунального підприємства "Хмельницька міська дитяча лікарня" Хмельницької міської ради (Капітальний ремонт (заміна) двох лікарняних ліфтів в головному корпусі комунального підприємства "Хмельницька міська дитяча лікарня" Хмельницької міської ради за адресою: м.Хмельницький, вул. Степана Разіна,1)</t>
  </si>
  <si>
    <t>0210160</t>
  </si>
  <si>
    <t>Програма утримання та розвитку житлово-комунального господарства та благоустрою Хмельницької міської територіальної громади на 2017-2021 роки. (зі змінами)</t>
  </si>
  <si>
    <t>Рішення позачергової 10-ї сесії  Хмельницької міської ради від 29.12.2016 року № 6</t>
  </si>
  <si>
    <t>Рішення 42-ї сесії Хмельницької міської ради від 17.06.2020 року №39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</si>
  <si>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у м. Хмельницькому на 2019-2022 роки. </t>
  </si>
  <si>
    <t>Програма підтримки ОСББ Хмельницької міської територіальної громади на 2020 – 2023 роки.(зі змінами)</t>
  </si>
  <si>
    <t>Програма популяризації та ефективного впрвадження програм у сфері житлово-комунального господарства на 2019-2023 роки</t>
  </si>
  <si>
    <t>Громадський проєкт «МІКРО": Мобільна Інтерактивна Кімната Розвитку Особистості у бібліотеці» (видатки на капітальний ремонт приміщення бібліотеки-філії №9)</t>
  </si>
  <si>
    <t>Громадський проєкт «Творчий проєкт "ProArt"» (видатки на капітальний ремонт підлоги бібліотеки-філії №12)</t>
  </si>
  <si>
    <t>1019770</t>
  </si>
  <si>
    <t>Програма
підтримки обдарованих дітей м.Хмельницького</t>
  </si>
  <si>
    <t>Капітальний ремонт підліткового клубу "Мустанг" по вул. Старокостянтинівське шосе, 8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</si>
  <si>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</si>
  <si>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</si>
  <si>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</si>
  <si>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Програма 
«Громадські ініціативи» м.Хмельницького на 2021-2025 роки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</si>
  <si>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</si>
  <si>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</si>
  <si>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коштів бюджету розвитку на здійснення заходів на будівництво, реконструкцію і реставрацію, капітальний ремонт об'єктів виробничої, комунікаційної та соціальної інфраструктури за об'єктами у 2021 році</t>
  </si>
  <si>
    <t>Додаток №5</t>
  </si>
  <si>
    <t>Додаток №7</t>
  </si>
  <si>
    <t>Додаток 8</t>
  </si>
  <si>
    <t>Додаток  9</t>
  </si>
  <si>
    <t>1. Показники міжбюджетних трансфертів з інших бюджетів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</si>
  <si>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</si>
  <si>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</si>
  <si>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</si>
  <si>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</si>
  <si>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</si>
  <si>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</si>
  <si>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</si>
  <si>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</si>
  <si>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</si>
  <si>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</si>
  <si>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</si>
  <si>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</si>
  <si>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</si>
  <si>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</si>
  <si>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Програма розвитку та вдосконалення міського пасажирського транспорту  Хмельницької міської територіальної громади  на 2019 - 2023 роки</t>
  </si>
  <si>
    <t>Будівництво каналізаційних мереж в мікрорайоні "Озерна" в м.Хмельницькому, в тому числі коригування проєктно-кошторисної документації</t>
  </si>
  <si>
    <t>1117670</t>
  </si>
  <si>
    <t>Виготовлення проєктно-кошторисної документації на реконструкцію футбольного поля під штучним покриттям по вул. Спортивній, 17</t>
  </si>
  <si>
    <t>Виготовлення проєктно-кошторисної документації на реконструкцію спортивного майданчика по вул.Кармелюка в м. Хмельницькому</t>
  </si>
  <si>
    <t>Капітальний ремонт підвальних приміщень з влаштуванням дренажної системи дошкільного навчального закладу №6 "Колобок" по вул. Львівське шосе,43/2 в м.Хмельницькому</t>
  </si>
  <si>
    <t>Капітальний ремонт огорожі ДНЗ №35 (в тому числі виготовлення проектно-кошторисної документації)</t>
  </si>
  <si>
    <t>Внески до статутного капіталу комунального підприємства "Хмельницька міська дитяча лікарня" Хмельницької міської ради (Реконструкція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1)</t>
  </si>
  <si>
    <t>2019 - 2023 роки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</si>
  <si>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(Капітальний ремонт санвузла першого поверху Поліклініки №1 КП "Хмельницький міський лікувально-діагностичний центр" Хмельницької міської ради по вул. Подільська, 54 у м. Хмельницькому)</t>
  </si>
  <si>
    <t>Внески до статутного капіталу комунального підприємства "Хмельницька міська лікарня" Хмельницької міської ради (Придбання обладнання і предметів довгострокового користування)</t>
  </si>
  <si>
    <t>Внески до статутного капіталу комунального підприємства "Хмельницька міська лікарня" Хмельницької міської ради (Капітальний ремонт сантехнічних вузлів першого поверху корпусу №1 комунального підприємства "Хмельницька міська лікарня" за адресою: м.Хмельницький, пров. Проскурівський, 1)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</si>
  <si>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</si>
  <si>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</si>
  <si>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</si>
  <si>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</si>
  <si>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</si>
  <si>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</si>
  <si>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</si>
  <si>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</si>
  <si>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</si>
  <si>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</si>
  <si>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</si>
  <si>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</si>
  <si>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</si>
  <si>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Капітальний ремонт спортивного майданчика біля водойми в мікрорайоні Озерна м.Хмельницький</t>
  </si>
  <si>
    <t>Капітальний ремонт дитячого майданчика в парку мікрорайону Ракове м. Хмельницький</t>
  </si>
  <si>
    <t>Капітальний ремонт дитячого майданчикабіля житлового будинку №12 на вул.Кармелюка в м.Хмельницькому</t>
  </si>
  <si>
    <t>Внески до статутного капіталу МКП "Хмельницькводоканал" (Будівництво вуличних мереж водопостачання, мікрорайон "Лезневе" у м.Хмельницький)</t>
  </si>
  <si>
    <t>Внески до статутного капіталу МКП "Хмельницькводоканал" (Капітальний ремонт вуличних мереж водопроводу центральної частини с.Пирогівці Хмельницької міської територіальної громади)</t>
  </si>
  <si>
    <t>Внески до статутного капіталу МКП "Хмельницькводоканал" (Реконструкція очисних споруд продуктивністю 200 куб.м. /добу ст. Богданівці Хмельницької міської територіальної громади)</t>
  </si>
  <si>
    <t xml:space="preserve"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 </t>
  </si>
  <si>
    <r>
      <t>Разом  доходів (</t>
    </r>
    <r>
      <rPr>
        <b/>
        <sz val="12"/>
        <rFont val="Times New Roman"/>
        <family val="1"/>
        <charset val="204"/>
      </rPr>
      <t>з врахуванням міжбюджетних трансфертів)</t>
    </r>
  </si>
  <si>
    <t xml:space="preserve">Витрати на виконання Програми підтримки ОСББ Хмельницької міської територіальної громади  на 2020-2023 роки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</si>
  <si>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</si>
  <si>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Внески до статутного капіталу комунального підприємства "Хмельницький міський перинатальний центр" Хмельницької міської ради (Придбання обладнання і предметів довгострокового користування)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</si>
  <si>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</si>
  <si>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</si>
  <si>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</si>
  <si>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</si>
  <si>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</si>
  <si>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</si>
  <si>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</si>
  <si>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</si>
  <si>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</si>
  <si>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</si>
  <si>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</si>
  <si>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</si>
  <si>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</si>
  <si>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</si>
  <si>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</si>
  <si>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</si>
  <si>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</si>
  <si>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</si>
  <si>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</si>
  <si>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</si>
  <si>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</si>
  <si>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</si>
  <si>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</si>
  <si>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</si>
  <si>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</si>
  <si>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</si>
  <si>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</si>
  <si>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закладами загальної середньої освіти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</si>
  <si>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</si>
  <si>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</si>
  <si>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</si>
  <si>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</si>
  <si>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</si>
  <si>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</si>
  <si>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</si>
  <si>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</si>
  <si>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</si>
  <si>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</si>
  <si>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</si>
  <si>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</si>
  <si>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</si>
  <si>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</si>
  <si>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</si>
  <si>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</si>
  <si>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</si>
  <si>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</si>
  <si>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</si>
  <si>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</si>
  <si>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</si>
  <si>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</si>
  <si>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</si>
  <si>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</si>
  <si>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</si>
  <si>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</si>
  <si>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</si>
  <si>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</si>
  <si>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</si>
  <si>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</si>
  <si>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</si>
  <si>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</si>
  <si>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</si>
  <si>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</si>
  <si>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</si>
  <si>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</si>
  <si>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</si>
  <si>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</si>
  <si>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</si>
  <si>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</si>
  <si>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</si>
  <si>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</si>
  <si>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</si>
  <si>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</si>
  <si>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</si>
  <si>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</si>
  <si>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</si>
  <si>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</si>
  <si>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</si>
  <si>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</si>
  <si>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</si>
  <si>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</si>
  <si>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</si>
  <si>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</si>
  <si>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</si>
  <si>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</si>
  <si>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</si>
  <si>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</si>
  <si>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</si>
  <si>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</si>
  <si>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</si>
  <si>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</si>
  <si>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</si>
  <si>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</si>
  <si>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</si>
  <si>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</si>
  <si>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</si>
  <si>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</si>
  <si>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</si>
  <si>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</si>
  <si>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</si>
  <si>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</si>
  <si>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</si>
  <si>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</si>
  <si>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</si>
  <si>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</si>
  <si>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</si>
  <si>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</si>
  <si>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</si>
  <si>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</si>
  <si>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</si>
  <si>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</si>
  <si>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</si>
  <si>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</si>
  <si>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</si>
  <si>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</si>
  <si>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</si>
  <si>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</si>
  <si>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</si>
  <si>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</si>
  <si>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</si>
  <si>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</si>
  <si>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</si>
  <si>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</si>
  <si>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</si>
  <si>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</si>
  <si>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0813200</t>
  </si>
  <si>
    <t>3200</t>
  </si>
  <si>
    <t>Забезпечення обробки інформації з нарахування та виплати допомог і компенсацій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</si>
  <si>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</si>
  <si>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</si>
  <si>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</si>
  <si>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</si>
  <si>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</si>
  <si>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</si>
  <si>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</si>
  <si>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</si>
  <si>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</si>
  <si>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</si>
  <si>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</si>
  <si>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</si>
  <si>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</si>
  <si>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</si>
  <si>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</si>
  <si>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</si>
  <si>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</si>
  <si>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</si>
  <si>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</si>
  <si>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</si>
  <si>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</si>
  <si>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</si>
  <si>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</si>
  <si>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</si>
  <si>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</si>
  <si>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</si>
  <si>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</si>
  <si>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</si>
  <si>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</si>
  <si>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</si>
  <si>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</si>
  <si>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</si>
  <si>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</si>
  <si>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</si>
  <si>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</si>
  <si>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</si>
  <si>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</si>
  <si>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</si>
  <si>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</si>
  <si>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</si>
  <si>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</si>
  <si>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</si>
  <si>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</si>
  <si>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</si>
  <si>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</si>
  <si>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</si>
  <si>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</si>
  <si>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</si>
  <si>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</si>
  <si>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</si>
  <si>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</si>
  <si>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</si>
  <si>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</si>
  <si>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</si>
  <si>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</si>
  <si>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</si>
  <si>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</si>
  <si>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</si>
  <si>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</si>
  <si>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</si>
  <si>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</si>
  <si>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</si>
  <si>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</si>
  <si>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</si>
  <si>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</si>
  <si>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</si>
  <si>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</si>
  <si>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</si>
  <si>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</si>
  <si>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</si>
  <si>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</si>
  <si>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</si>
  <si>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</si>
  <si>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</si>
  <si>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Захист населення і територій від надзвичайних ситуацій техногенного та природного характеру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</si>
  <si>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</si>
  <si>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</si>
  <si>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</si>
  <si>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</si>
  <si>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</si>
  <si>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</si>
  <si>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</si>
  <si>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</si>
  <si>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</si>
  <si>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</si>
  <si>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</si>
  <si>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</si>
  <si>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</si>
  <si>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</si>
  <si>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</si>
  <si>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</si>
  <si>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</si>
  <si>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</si>
  <si>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</si>
  <si>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</si>
  <si>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</si>
  <si>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</si>
  <si>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</si>
  <si>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</si>
  <si>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</si>
  <si>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</si>
  <si>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</si>
  <si>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2818310</t>
  </si>
  <si>
    <t>8310</t>
  </si>
  <si>
    <t xml:space="preserve"> Запобігання та ліквідація забруднення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</si>
  <si>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</si>
  <si>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</si>
  <si>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</si>
  <si>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</si>
  <si>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</si>
  <si>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</si>
  <si>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</si>
  <si>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</si>
  <si>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</si>
  <si>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</si>
  <si>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</si>
  <si>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</si>
  <si>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</si>
  <si>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</si>
  <si>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</si>
  <si>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</si>
  <si>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</si>
  <si>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</si>
  <si>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</si>
  <si>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</si>
  <si>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Внески до статутного капіталу МКП "Хмельницькводоканал" (Придбання поліетиленових труб )</t>
  </si>
  <si>
    <t>Будівництво самопливного і напірного колекторів та каналізаційної насосної станції продуктивністю 1500 куб.м/добу на житловому масиві "Лезнево 1,2" в м.Хмельницькому (ІІ черга)</t>
  </si>
  <si>
    <t>Програма цифрового розвитку на 2021-2025 роки</t>
  </si>
  <si>
    <t>Рішення 2-ї сесії Хмельницької міської ради від 23.12.2020 року №22</t>
  </si>
  <si>
    <t>Програма висвітлення діяльності Хмельницької міської ради та її виконавчих органів на 2021 рік</t>
  </si>
  <si>
    <t>Рішення 2-ї сесії Хмельницької міської ради від 23.12.2020 року №7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</si>
  <si>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</si>
  <si>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</si>
  <si>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</si>
  <si>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</si>
  <si>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Програма міжнародного співробітництва та промоції Хмельницької міської територіальної громади на 2021-2025 роки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</si>
  <si>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</si>
  <si>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</si>
  <si>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</si>
  <si>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</si>
  <si>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</si>
  <si>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</si>
  <si>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</si>
  <si>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Програма соціальної підтримки учасників АТО/ООС, учасників Революції Гідності та членів їх сімей на 2021 - 2025 роки</t>
  </si>
  <si>
    <t>Рішення 2-ї сесії Хмельницької міської ради від 23.12.2020 року №36</t>
  </si>
  <si>
    <t>Рішення 2-ї сесії Хмельницької міської ради від 23.12.2020 року №47</t>
  </si>
  <si>
    <t>Програма забезпечення діяльності Хмельницького міського комунального підприємства "Муніципальна дружина" на 2021 - 2022 роки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</si>
  <si>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</si>
  <si>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</si>
  <si>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</si>
  <si>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</si>
  <si>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</si>
  <si>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</si>
  <si>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</si>
  <si>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співфінансування робіт з ремонту багатоквартирних житлових будинків м. Хмельницького на 2020 - 2024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</si>
  <si>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</si>
  <si>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</si>
  <si>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</si>
  <si>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</si>
  <si>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</si>
  <si>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</si>
  <si>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</si>
  <si>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</si>
  <si>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</si>
  <si>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</si>
  <si>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</si>
  <si>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</si>
  <si>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</si>
  <si>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</si>
  <si>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</si>
  <si>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</si>
  <si>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</si>
  <si>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</si>
  <si>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</si>
  <si>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</si>
  <si>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</si>
  <si>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 Хмельницької міської ради (головний розпорядник)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</si>
  <si>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</si>
  <si>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</si>
  <si>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>Хмельницької міської територіальної громади у 2021 році</t>
  </si>
  <si>
    <t xml:space="preserve">які будуть фінансуватися з Фонду охорони навколишнього природного середовища </t>
  </si>
  <si>
    <t xml:space="preserve">від         2021 року </t>
  </si>
  <si>
    <t>Підвищення енергоефективності систем водопостачання та водоочищення: Реконструкція каналізаційних насосних станцій №2, 7, 12 у місті Хмельницькому</t>
  </si>
  <si>
    <t>Внески до статутного капіталу КП "Південно-Західні тепломережі" (Реконструкція котельні по вул. Івана Павла ІІ, 1 в м. Хмельницькому з установленням обладнання для очищення газопилового потоку від забруднюючих речовин, що викидається в атмосферне повітря)</t>
  </si>
  <si>
    <t>Внески до статутного капіталу МКП "Хмельницьктеплокомуненерго" (Капітальний ремонт теплової мережі по прс. Миру, 62А, м. Хмельницький)</t>
  </si>
  <si>
    <t>Внески до статутного капіталу МКП "Хмельницьктеплокомуненерго" (Капітальний ремонт когенераційної установки в котельні по вул. Бандери, 32/1, м. Хмельницький)</t>
  </si>
  <si>
    <t>Внески до статутного капіталу ХКП "Спецкомунтранс"(Придбання шприцементу)</t>
  </si>
  <si>
    <t>Внески до статутного капіталу ХКП "Спецкомунтранс"(Придбання накидного кільця)</t>
  </si>
  <si>
    <t>Внески до статутного капіталу КП "Парки і сквери міста Хмельницького" (Придбання модульної вбиральні)</t>
  </si>
  <si>
    <t>Внески до статутного капіталу ХМКП "Муніципальна дружина" (Придбання квадрокоптера)</t>
  </si>
  <si>
    <t>Внески до статутного капіталу КП по будівництву, ремонту та експлуатації доріг (Придбання навантажувача)</t>
  </si>
  <si>
    <t xml:space="preserve">Виготовлення проєктно-кошторисної документації на  реконструкцію під`їздної дороги від вул. Вінницьке шосе до вул. Вінницьке шосе, 18 (індустріальний парк) </t>
  </si>
  <si>
    <t>Капітальний ремонт дитячого автомістечка в парку культури і відпочинку ім. М. Чекмана в м. Хмельницькому (ПКД, геодезія, експертиза)</t>
  </si>
  <si>
    <t>Капітальний ремонт – встановлення флагштоків на в’їздах в місто</t>
  </si>
  <si>
    <t>Внески до статутного капіталу МКП "Хмельницькводоканал" (Нове будівництво зовнішніх мереж водопостачання вул. Чеботарьова, проїздів Заярний, 2, Заярний, 8, Заярний, 9, Заярний, 10, Заярний, 11 мікрорайону Книжківці в м. Хмельницький)</t>
  </si>
  <si>
    <t>Управління архітектури та містобудування Хмельницької міської ради (відповідальний виконавець)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</si>
  <si>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</si>
  <si>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</si>
  <si>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</si>
  <si>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 xml:space="preserve">до рішення   №1    від                   2021  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</si>
  <si>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</si>
  <si>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</si>
  <si>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</si>
  <si>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</si>
  <si>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ХКП "Міськсвітло" (Придбання святкової ілюмінації для "Різдвяного ярмарку")</t>
  </si>
  <si>
    <t>2021-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</si>
  <si>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</si>
  <si>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Виготовлення проєктно-кошторисної документації на капітальний ремонт даху спортивного комплексу по вул. Спортивна, 16, м. Хмельницький</t>
  </si>
  <si>
    <t>ДЮСШ №3</t>
  </si>
  <si>
    <t>Внески до статутного капіталу комунального підприємства "Спортивно-культурний центр "Плоскирів"" (Капітальний ремонт даху будівлі спортивно-культурного центру "Плоскирів" по вул. Курчатова, 90, м. Хмельницький, Хмельницької області (в тому числі виготовлення проєктно-кошторисної документації)</t>
  </si>
  <si>
    <t>2017 - 2021 роки</t>
  </si>
  <si>
    <t>2719000</t>
  </si>
  <si>
    <t>2719700</t>
  </si>
  <si>
    <t>2719770</t>
  </si>
  <si>
    <t>Розробка проектно-кошторисної документації на "Реконструкцію аеродромного комплексу КП «Аеропорт Хмельницький» з подовженням штучної злітно-посадкової смуги на 500 метрів"</t>
  </si>
  <si>
    <t>Реконструкція котельні під спортивні приміщення на території СК "Поділля" ДЮСШ №1 по вул. Проскурівській, 81 в м.Хмельницькому</t>
  </si>
  <si>
    <t xml:space="preserve">Заходи з озеленення </t>
  </si>
  <si>
    <t>Проведення робіт, пов‘язаних з поліпшенням технічного стану та благоустрою поверхневих водойм  - благоустрій струмка в районі будинків 8-10 по вул.Хотовицького</t>
  </si>
  <si>
    <t>Обстеження  та паспортизація гідротехнічних споруд</t>
  </si>
  <si>
    <t>Продовження практики сортування сміття у закладах освіти Хмельницької міської територіальної громади (придбання контейнерів для роздільного збирання  відходів)</t>
  </si>
  <si>
    <t>Проведення    спеціальних    заходів,    спрямованих   на запобігання знищенню чи пошкодженню природних комплексів територій та об'єктів природно-заповідного фонду</t>
  </si>
  <si>
    <t>Заходи  щодо  запобігання  інтродукції  та  поширення 
чужорідних видів рослин, які загрожують природним екосистемам</t>
  </si>
  <si>
    <t>Організація  проведення  оцінки  впливу на довкілля та стратегічної екологічної оцінки</t>
  </si>
  <si>
    <t>Відкриття навчального центру поводження з відходами в  м. Хмельницькому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</si>
  <si>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</si>
  <si>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</si>
  <si>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</si>
  <si>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</si>
  <si>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</si>
  <si>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Розроблення звіту про стратегічну екологічну оцінку проєкту містобудівної документації "Коригування (внесення змін) генерального плану м.Хмельтницький"</t>
  </si>
  <si>
    <t>Доопрацювання проєкту містобудівної документації "Коригування (внесення змін) генерального плану м.Хмельницький"</t>
  </si>
  <si>
    <t>0217693</t>
  </si>
  <si>
    <t>Капітальний ремонт прилеглої території Хмельницької дитячої школи мистецтв "Райдуга" по вул. Курчатова 9 в м.Хмельницькому</t>
  </si>
  <si>
    <t>Вартість по ПКД Уточнити пісдя коригування</t>
  </si>
  <si>
    <t>1017000</t>
  </si>
  <si>
    <t>1017600</t>
  </si>
  <si>
    <t>1017670</t>
  </si>
  <si>
    <t>Внески до статутного капіталу міського комунального підприємства - Кінотеатр ім. Т.Г.Шевченка (Капітальний ремонт сходової частини кінотеатру ім.Т.Г.Шевченка (в тому числі виготовлення проектно-кошторисної документації)</t>
  </si>
  <si>
    <t>Внески до статутного капіталу комунального підприємства "Медичний стоматологічний центр" Хмельницької міської ради (Капітальний ремонт вхідного ганку з облаштуванням підйомника для маломобільних груп населення в КП "Медичний стоматологічний центр" по вул.Прибузька, 18 в м. Хмельницькому)</t>
  </si>
  <si>
    <t>Внески до статутного капіталу міського комунального підприємства по утриманню нежитлових приміщень (капітальний ремонт системи пожежної сигналізації, системи керування евакуюванням, системи централізованого пожежного спостерігання, будинку побуту "Південний Буг", за адресою: м. Хмельницький , вул. Кам"янецька,2 )</t>
  </si>
  <si>
    <t>1217670</t>
  </si>
  <si>
    <t>Капітальний ремонт дитячого майданчика в с. Олешин</t>
  </si>
  <si>
    <t>Капітальний ремонт дитячого майданчика в с. Богданівці</t>
  </si>
  <si>
    <t xml:space="preserve">Капітальний ремонт пішохідної зони біля водонапірної вежі на вул. Болбачана, 18/1 в м. Хмельницькому </t>
  </si>
  <si>
    <t>Внески до статутного капіталу ХКП "Спецкомунтранс"(Нове будівництво нежитлового приміщення за адресою:  вул. Заводській, 165 в м.Хмельницькому)</t>
  </si>
  <si>
    <t>2021-2022 роки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</si>
  <si>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 черга))</t>
  </si>
  <si>
    <t>Внески до статутного капіталу МКП "Хмельницькводоканал"  (Нове будівництво вуличних мереж водопостачання житлових будинків по вул. Глушенкова (мікрорайон Ружична) в м. Хиельницький)</t>
  </si>
  <si>
    <t>Внески до статутного капіталу МКП "Хмельницькводоканал" (Придбання насосного агрегату)</t>
  </si>
  <si>
    <t>0810180</t>
  </si>
  <si>
    <t>Проєкт програми по виконанню судових рішень і виконавчих зборів</t>
  </si>
  <si>
    <t>0813060</t>
  </si>
  <si>
    <t>3060</t>
  </si>
  <si>
    <t>Оздоровлення громадян, які постраждали внаслідок Чорнобильської катастрофи</t>
  </si>
  <si>
    <t>Капітальний ремонт, для облаштування архіву, в підвальному приміщенні Центру надання соціальних послуг "Прозорий офіс" за адресою вул. Перемоги, 10Б в м.Хмельницькому</t>
  </si>
  <si>
    <t>2012 - 2022 роки</t>
  </si>
  <si>
    <t>0817320</t>
  </si>
  <si>
    <t>0817323</t>
  </si>
  <si>
    <t>7323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</si>
  <si>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соціальної сфери</t>
    </r>
  </si>
  <si>
    <t>0817300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</si>
  <si>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соціальної сфери</t>
    </r>
  </si>
  <si>
    <t>Будівництво приміщення відділення тимчасового цілодобового перебування Хмельницького міського територіального центру соціального обслуговування (надання соціальних послуг) по вул. Перемоги, 7-А в м.Хмельницькому</t>
  </si>
  <si>
    <t>Проєктні і вишукувальні роботи на реконструкцію станції очищення господарсько-побутових стічних вод продуктивністю БІО-3І 30 м3/доб в с.Пирогівці Хмельницького району, Хмельницької області</t>
  </si>
  <si>
    <t>Проєктні і вишукувальні роботи на будівництво станції очищення господарсько-побутових стічних вод продуктивністю БІО-ЗІ 20  м3/доб  ст. Богданівці, Хмельницького району, Хмельницької області</t>
  </si>
  <si>
    <t>Проєктні і вишукувальні роботи на будівництво на станції очищення господарсько-побутових стічних вод продуктивністю БІО-ЗІ 150 м3/доб   ст.Богданівці, Хмельницького району, Хмельницької області</t>
  </si>
  <si>
    <t>Будівництво артезіанської свердловини, водонапірної башти та водогону в с.Малашівці Хмельницького району Хмельницької області (кредиторська заборгованість, яка передається з балансу Шаровечківської сільської ради на баланс управління капітального будівництва Хмельницької міської ради)</t>
  </si>
  <si>
    <t>1517310</t>
  </si>
  <si>
    <t>1510180</t>
  </si>
  <si>
    <t>Капітальний ремонт системи пожежної сигналізації, системи керування евакуюванням, системою централізованого пожежного спостерігання на об'єкті: навчальні корпуси №1, № 2 та майстерні Державного навчального закладу  "Хмельницький центр професійно-технічної освіти сфери послуг" за адресою: м.Хмельницький, вул. Панаса Мирного, 5</t>
  </si>
  <si>
    <t>Проєкт Програми зайнятості населення Хмельницької міської територіальної громади на 2021-2023 роки</t>
  </si>
  <si>
    <t xml:space="preserve">Капітальний ремонт систем пожежної сигналізації, оповіщування про пожежу та управління евакуацією людей, устаткування передавання тривожних сповіщень на об'єкті: адміністративна будівля, майстерня та навчальний корпус ВПУ №4 м. Хмельницького, що знаходиться за адресою: 29016, Хмельницька обл., місто Хмельницький, вулиця Інститутська, будинок, 10 (в тому числі виготовлення проєктно-кошторисної документації) </t>
  </si>
  <si>
    <t>Нове будівництво діючої теплиці, як навчальної лабораторії та збірно-розбірного макету тепличного господарства "ДНЗ ВПУ №11 м.Хмельницького"</t>
  </si>
  <si>
    <t>1216020</t>
  </si>
  <si>
    <t>Капітальний ремонт пожежної сигналізації на об'єкті: ДНЗ №18 "Зірочка", що знаходиться за адресою: Хмельницька область, м.Хмельницький, вул. Кам'янецька 65/1 (в тому числі виготовлення проєктно-кошторисної документації)</t>
  </si>
  <si>
    <t xml:space="preserve">Капітальний ремонт спортивного майданчика НВК №2 (в тому числі виготовлення проєктно-кошторисної документації) </t>
  </si>
  <si>
    <t xml:space="preserve">Капітальний ремонт спортзалу СЗОШ №19 (в тому числі виготовлення проєктно-кошторисної документації) </t>
  </si>
  <si>
    <t xml:space="preserve">Капітальний ремонт спортивного майданчика СЗОШ №22 (в тому числі виготовлення проєктно-кошторисної документації) </t>
  </si>
  <si>
    <t xml:space="preserve">Реконструкція плоского покриття з улаштуванням шатрового даху над приміщеннями спортивного та актового залу Хмельницької спеціалізованої загальноосвітньої школи №19 І-ІІІ ступенів ім. академіка М. Павловського по вул.Кам'янецькій, 164 в м. Хмельницькому  (в тому числі виготовлення проєктно-кошторисної документації) </t>
  </si>
  <si>
    <t>Капітальний ремонт даху Давидковецької загальноосвітньої школи I-III ступенів Хмельницької районної ради Хмельницької області (в тому числі виготовлення проєктно-кошторисної документації)</t>
  </si>
  <si>
    <t xml:space="preserve">Капітальний ремонт сантехнічних мереж приміщення СЗОШ №7 (в тому числі виготовлення проєктно-кошторисної документації) </t>
  </si>
  <si>
    <t xml:space="preserve">Капітальний ремонт сантехнічних мереж приміщення СЗОШ №8 (в тому числі виготовлення проєктно-кошторисної документації) </t>
  </si>
  <si>
    <t xml:space="preserve">Капітальний ремонт сантехнічних мереж приміщення СЗОШ №14 (в тому числі виготовлення проєктно-кошторисної документації) </t>
  </si>
  <si>
    <t>Виготовлення проєктно-кошторисної документації на реконструкцію спортивного майданчика під мультифункціональний  майданчик для занять ігровими видами спорту на території Хмельницької середньої загальноосвітньої школи №18 І-ІІІ ступенів ім.В.Чорновола за адресою: м.Хмельницький, вул. Купріна, 12</t>
  </si>
  <si>
    <t>Виготовлення проєктно-кошторисної документації на реконструкцію плоского покриття з улаштуванням шатрового даху над приміщеннями спортивного залу та їдальні Хмельницької середньої загальноосвітньої школи І-ІІІ ступенів №21 за адресою: м.Хмельницький, просп. Миру, 76/5</t>
  </si>
  <si>
    <t>Реконструкція будівлі Шаровечківської ЗОШ І-ІІІ ст. за адресою: с. Шаровечка, вул. Шкільна, 10 Хмельницького району Хмельницької  області</t>
  </si>
  <si>
    <t xml:space="preserve">Капітальний ремонт сантехнічних мереж приміщення НВК №2 (в тому числі виготовлення проєктно-кошторисної документації) </t>
  </si>
  <si>
    <t xml:space="preserve">Капітальний ремонт ігрового майданчика СЗОШ №32 (в тому числі виготовлення проєктно-кошторисної документації) 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</si>
  <si>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</si>
  <si>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</si>
  <si>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</si>
  <si>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</si>
  <si>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</si>
  <si>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</si>
  <si>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Перший корпус</t>
  </si>
  <si>
    <t>Другий корпус</t>
  </si>
  <si>
    <t>Капітальний ремонт пожежної сигналізації на об'єкті: Спеціалізована загальноосвітня школа І-ІІІ ступенів № 29 м.Хмельницького, що знаходиться за адресою: Хмельницька область, м.Хмельницький, вул. Вокзальна, 16 (в тому числі виготовлення проєктно-кошторисної документації)</t>
  </si>
  <si>
    <t xml:space="preserve">Капітальний ремонт сантехнічних мереж приміщення Хмельницького колегіуму імені Володимира Козубняка (в тому числі виготовлення проєктно-кошторисної документації) </t>
  </si>
  <si>
    <t xml:space="preserve">Капітальний ремонт сантехнічних мереж приміщення НВО №28 (в тому числі виготовлення проєктно-кошторисної документації) </t>
  </si>
  <si>
    <t>Капітальний ремонт утеплення фасаду та сходового майданчика перед палацом творчості дітей та юнацтва по вул. Свободи, 2/1 в м.Хмельницькому, 1 та 2 черга</t>
  </si>
  <si>
    <t>Капітальний ремонт системи пожежної сигналізації, оповіщення про пожежу та управління евакуацією людей, устаткування передавання тривожних сповіщень на об'єкті: корпус №1 Хмельницького навчально-виховного комплексу №4, що знаходиться за адресою: Хмельницька область, м.Хмельницький, вул. Перемоги, 9 (в тому числі виготовлення проєктно-кошторисної документації)</t>
  </si>
  <si>
    <t>Капітальний ремонт системи пожежної сигналізації, оповіщення про пожежу та управління евакуацією людей, устаткування передавання тривожних сповіщень на об'єкті: корпус №2 Хмельницького навчально-виховного комплексу №4, що знаходиться за адресою: Хмельницька область, м.Хмельницький, вул. Перемоги, 9 (в тому числі виготовлення проєктно-кошторисної документації)</t>
  </si>
  <si>
    <t>Капітальний ремонт інженерних систем, улаштування дашків та відмостки в ДНЗ №54 "Пізнайко" по просп. Миру, 51/2 в м.Хмельницькому (в тому числі виготовлення проєктно-кошторисної документації)</t>
  </si>
  <si>
    <t>Капітальний ремонт огорожі дошкільного навчального закладу №55 "Сонечко" по пров. Козацькому, 47/2 в м.Хмельницькому  (в тому числі виготовлення проєктно-кошторисної документації)</t>
  </si>
  <si>
    <t>Виготовлення проєктно-кошторисної документації на утеплення дошкільного навчального закладу №55 "Сонечко" по пров. Козацькому, 47/2 в м.Хмельницькому</t>
  </si>
  <si>
    <t>Капітальний ремонт існуючих приміщень корпусу №1 ДНЗ №25 "Калинонька", по провулку Маяковського, 17 в м.Хмельницькому</t>
  </si>
  <si>
    <t>Внески до статутного капіталу ХКП "Міськсвітло" (Капітальний ремонт мереж зовнішнього освітлення)</t>
  </si>
  <si>
    <t>Внески до статутного капіталу ХКП "Спецкомунтранс" (Нове будівництво самопливного каналізаційного колектора Хмельницького полігону ТПВ  за адресою м.Хмельницький проспект Миру,7)</t>
  </si>
  <si>
    <t xml:space="preserve">Капітальний ремонт стадіону Спеціалізованої загальноосвітньої школи №12 за адресою: вулиця Довженка, буд.6, м. Хмельницький (в тому числі виготовлення проєктно-кошторисної документації) </t>
  </si>
  <si>
    <t>Внески до статутного капіталу ХКП "Спецкомунтранс" (розробка проекту: Нове будівництво самопливного каналізаційного колектора Хмельницького полігону ТПВ  за адресою м. Хмельницький проспект Миру,7)</t>
  </si>
  <si>
    <t>Капітальний ремонт з теплоізоляції (термомодернізації) цоколя Хмельницької середньої загальноосвітньої школи І-ІІІ ступенів №14 за адресою: вул. Спортивна, 17, в м.Хмельницькому (в тому числі виготовлення проєктно-кошторисної документації)</t>
  </si>
  <si>
    <t xml:space="preserve">Капітальний ремонт спортивного майданчика на території Пироговецького ліцею Хмельницької районної ради Хмельницької області, за адресою: вул. Центральна, 29 в с.Пирогівці Хмельницького району Хмельницької області (в тому числі виготовлення проєктно-кошторисної документації) </t>
  </si>
  <si>
    <t>Реконструкція спортивного майданчика під мультифункціональний  майданчик для занять ігровими видами спорту на території Хмельницького навчально-виховного комплексу №31 за адресою вул.Миколи Мазура, 17 в м. Хмельницькому</t>
  </si>
  <si>
    <t>Капітальний ремонт приміщення Хмельницької середньої загальноосвітньої школи №18 І-ІІІ ступенів ім. В.Чорновола по вул. Купріна, 12 в м. Хмельницький</t>
  </si>
  <si>
    <t>Реконструкція існуючого приміщення Хмельницького НВК №4 по вул.Перемоги, 9 під спортивну залу для початкових класів та шкільний буфет (в тому числі виготовлення проєктно-кошторисної документації)</t>
  </si>
  <si>
    <t>Реконструкція будівлі №45/312 (контрольно-технічний пункт), військового містечка №45 військової частини А0661</t>
  </si>
  <si>
    <t>Програма шефської допомоги військовим частинам Збройних Сил України, Національної гвардії України, які розташовані на території м. Хмельницького на 2020– 2021 роки</t>
  </si>
  <si>
    <t>Рішення 42-ї сесії Хмельницької міської ради від 17.06.2020 року №8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</si>
  <si>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</si>
  <si>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</t>
  </si>
  <si>
    <t>Рішення 4-ї сесії Хмельницької міської ради від 17.02.2021 року №2</t>
  </si>
  <si>
    <r>
      <t>Проєкт</t>
    </r>
    <r>
      <rPr>
        <b/>
        <sz val="36"/>
        <rFont val="Times New Roman"/>
        <family val="1"/>
        <charset val="204"/>
      </rPr>
      <t xml:space="preserve"> </t>
    </r>
    <r>
      <rPr>
        <sz val="36"/>
        <rFont val="Times New Roman"/>
        <family val="1"/>
        <charset val="204"/>
      </rPr>
      <t xml:space="preserve">Програми національно-патріотичного виховання мешканців Хмельницької міської територіальної громади на 2021 – 2022 роки  </t>
    </r>
  </si>
  <si>
    <t xml:space="preserve">Проєкт Програми забезпечення антитерористичного та протидиверсійного захисту важливих державних об'єктів, місць масового перебування людей, об'єктів критичної та транспортної інфраструктури Хмельницької територіальної громади на 2021-2022 роки </t>
  </si>
  <si>
    <t>Проєкт Програми розвитку та фінансової підтримки комунального підприємства "Чайка" Хмельницької міської ради на 2021-2022 роки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</si>
  <si>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</si>
  <si>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</si>
  <si>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 xml:space="preserve">Проєкт Програми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2021- 2022 роки </t>
  </si>
  <si>
    <t>РІЗНИЦЯ</t>
  </si>
  <si>
    <t>Проєкт Програми організаційно-практичних заходів щодо комплексної підтримки Хмельницькою міською територіальною громадою державної установи «Хмельницький слідчий ізолятор» на 2021 – 2025 роки</t>
  </si>
  <si>
    <t xml:space="preserve">до рішення  №    від             .2021 року </t>
  </si>
  <si>
    <t>Додаток 4
до рішення  №          від                     2021 року</t>
  </si>
  <si>
    <t>до рішення №     від        2021 року</t>
  </si>
  <si>
    <t xml:space="preserve">Додаток 6
до рішення №       від             2021 року
</t>
  </si>
  <si>
    <t xml:space="preserve">до рішення  №        від             .2021 року </t>
  </si>
  <si>
    <t xml:space="preserve">Керуючий справами </t>
  </si>
  <si>
    <t xml:space="preserve">Ю. САБІЙ </t>
  </si>
  <si>
    <t xml:space="preserve"> Виготовлення проєктно-кошторисної документації на капітальний ремонт приміщення  НВК №10 м.Хмельницького (приміщення тиру)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</si>
  <si>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(Реконструкція кабінету №9 під санвузол для МГН Поліклініки №2 КП "Хмельницький міський лікувально-діагностичний центр" Хмельницької міської ради по проспекту Миру, 61 в м.Хмельницькому)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</si>
  <si>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</si>
  <si>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>Виготовлення проєктно-кошторисної документації на капітальний ремонт системи освітлення футбольного поля на території  СК "Поділля" ДЮСШ №1 по вул. Проскурівській, 81 в м.Хмельницькому</t>
  </si>
  <si>
    <t>Внески до статутного капіталу КП "Елеватор" (придбання лічильників)</t>
  </si>
  <si>
    <t>Внески до статутного капіталу МКП "Хмельницькводоканал" (Реконструкція ділянки самопливного каналізаійного колектора по вул. Заводська в м.Хмельницький)</t>
  </si>
  <si>
    <t>Внески до статутного капіталу МКП "Хмельницькводоканал" (Реконструкція сомопливної каналізаційної мережі через вул. Шевченка до КНС-1 в м.Хмельницький)</t>
  </si>
  <si>
    <t>Внески до статутного капіталу МКП "Хмельницькводоканал" (Будівництво вуличного водопроводу по вул. Достоєвського від вул. Київська до прв.Достоєвського в м. Хмельницький)</t>
  </si>
  <si>
    <t>Внески до статутного капіталу МКП "Хмельницьктеплокомуненерго" (Реконструкція теплової мережі по вул.Зарічанській, 24, м. Хмельницький)</t>
  </si>
  <si>
    <t>Внески до статутного капіталу МКП "Хмельницьктеплокомуненерго" (Реконструкція теплової мережі по вул.Перемоги, 12, м Хмельницький)</t>
  </si>
  <si>
    <t xml:space="preserve">Реконструкція приміщень НВО №1 по вул. Старокостянтинівське шосе, 3Б в м.Хмельницькому 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</si>
  <si>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</si>
  <si>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 xml:space="preserve"> Реконструкція з добудовою приміщень Хмельницького ліцею №17 під спортивну залу на вул. Героїв Майдану, 5 в м.Хмельницькому</t>
  </si>
  <si>
    <t>Будівництво внутрішньоквартального проїзду між земельними ділянками по вул Старокостянтинівське шосе, 2/1 "З" в м.Хмельницькому</t>
  </si>
  <si>
    <t>Будівництво навчально-виховного комплексу на вул. Залізняка, 32 в м.Хмельницькому (ІІ черга)</t>
  </si>
  <si>
    <t>Нове будівництво закладу загальної середньої освіти на вул. Січових стрільців, 8-А в м. Хмельницькому, в тому числі виготовлення проєктно-кошторисної документації</t>
  </si>
  <si>
    <t xml:space="preserve">Нове будівництво  вулиці Лісогринівецької (від вул. Степана Бандери до Старокостянтинівського шосе) в м. Хмельницькому,  в тому числі виготовлення проєктно-кошторисної документації </t>
  </si>
  <si>
    <t xml:space="preserve"> Нове будівництво вулиці від вулиці Степана Бандери до вулиці Західно-Окружної в м. Хмельницькому,  в тому числі виготовлення проєктно-кошторисної документації </t>
  </si>
  <si>
    <t>Нове будівництво зовнішніх  мереж газопостачання індустріального парку  "Хмельницький" по вул. Вінницьке шосе, 18 в м. Хмельницькому,  в тому числі виготовлення проєктно-кошторисної документації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</si>
  <si>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м.Хмельницькому, в тому числі  виготовлення проєктно-кошторисної документації </t>
  </si>
  <si>
    <t xml:space="preserve"> Нове будівництво зовнішніх мереж  водовідведення індустріального парку  "Хмельницький" по  вул. Вінницьке шосе, 18 в м.Хмельницькому, в тому числі  виготовлення проєктно-кошторисної документації </t>
  </si>
  <si>
    <t>2017 - 2025 роки</t>
  </si>
  <si>
    <t>2020 - 2025 роки</t>
  </si>
  <si>
    <t>2015 - 2025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</si>
</sst>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,##0.00000"/>
    <numFmt numFmtId="167" formatCode="#,##0.0000"/>
  </numFmts>
  <fonts count="172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3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8"/>
      <name val="Bookman Old Style"/>
      <family val="1"/>
      <charset val="204"/>
    </font>
    <font>
      <sz val="8"/>
      <name val="Bookman Old Style"/>
      <family val="1"/>
      <charset val="204"/>
    </font>
    <font>
      <b/>
      <i/>
      <sz val="9"/>
      <color indexed="62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22"/>
      <name val="Times New Roman Cyr"/>
      <family val="1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72"/>
      <name val="Arial Cyr"/>
      <charset val="204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u/>
      <sz val="9"/>
      <color indexed="8"/>
      <name val="Times New Roman"/>
      <family val="1"/>
      <charset val="204"/>
    </font>
    <font>
      <u/>
      <sz val="9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u/>
      <sz val="10"/>
      <color indexed="8"/>
      <name val="Times New Roman"/>
      <family val="1"/>
      <charset val="204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10"/>
      <name val="Times New Roman CYR"/>
      <charset val="204"/>
    </font>
    <font>
      <b/>
      <sz val="10"/>
      <color rgb="FFFF0000"/>
      <name val="Times New Roman"/>
      <family val="1"/>
      <charset val="204"/>
    </font>
    <font>
      <i/>
      <sz val="36"/>
      <color rgb="FFFF0000"/>
      <name val="Arial Cyr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sz val="48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b/>
      <i/>
      <sz val="37"/>
      <color rgb="FFFF0000"/>
      <name val="Arial Cyr"/>
      <charset val="204"/>
    </font>
    <font>
      <sz val="28"/>
      <color rgb="FFFF0000"/>
      <name val="Arial Cyr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i/>
      <sz val="37"/>
      <name val="Arial Cyr"/>
      <charset val="204"/>
    </font>
    <font>
      <b/>
      <sz val="72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22"/>
      <name val="Arial Cyr"/>
      <charset val="204"/>
    </font>
    <font>
      <sz val="36"/>
      <color rgb="FF000099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000099"/>
      <name val="Arial Cyr"/>
      <charset val="204"/>
    </font>
    <font>
      <sz val="48"/>
      <name val="Times New Roman Cyr"/>
      <family val="1"/>
      <charset val="204"/>
    </font>
    <font>
      <sz val="37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36"/>
      <color theme="1"/>
      <name val="Arial Cyr"/>
      <charset val="204"/>
    </font>
    <font>
      <b/>
      <vertAlign val="superscript"/>
      <sz val="36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Arial Cyr"/>
      <charset val="204"/>
    </font>
    <font>
      <i/>
      <sz val="36"/>
      <color theme="1"/>
      <name val="Times New Roman"/>
      <family val="1"/>
      <charset val="204"/>
    </font>
    <font>
      <b/>
      <i/>
      <sz val="10"/>
      <color rgb="FFFF0000"/>
      <name val="Arial Cyr"/>
      <charset val="204"/>
    </font>
    <font>
      <b/>
      <i/>
      <sz val="36"/>
      <color rgb="FFFF0000"/>
      <name val="Arial Cyr"/>
      <charset val="204"/>
    </font>
    <font>
      <b/>
      <vertAlign val="superscript"/>
      <sz val="11"/>
      <name val="Times New Roman"/>
      <family val="1"/>
      <charset val="204"/>
    </font>
    <font>
      <i/>
      <sz val="36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37"/>
      <color theme="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5"/>
      <name val="Times New Roman"/>
      <family val="1"/>
      <charset val="204"/>
    </font>
    <font>
      <sz val="34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gradientFill degree="90">
        <stop position="0">
          <color theme="0"/>
        </stop>
        <stop position="1">
          <color rgb="FFCC99FF"/>
        </stop>
      </gradientFill>
    </fill>
    <fill>
      <gradientFill type="path" left="0.5" right="0.5" top="0.5" bottom="0.5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CC"/>
        <bgColor indexed="64"/>
      </patternFill>
    </fill>
    <fill>
      <gradientFill degree="270">
        <stop position="0">
          <color theme="0"/>
        </stop>
        <stop position="1">
          <color rgb="FFFFFFCC"/>
        </stop>
      </gradient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8" fillId="0" borderId="0"/>
    <xf numFmtId="0" fontId="21" fillId="2" borderId="1" applyNumberFormat="0" applyAlignment="0" applyProtection="0"/>
    <xf numFmtId="0" fontId="29" fillId="3" borderId="0" applyNumberFormat="0" applyBorder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50" fillId="0" borderId="0"/>
    <xf numFmtId="0" fontId="31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0" borderId="0">
      <alignment vertical="top"/>
    </xf>
    <xf numFmtId="0" fontId="25" fillId="5" borderId="5" applyNumberFormat="0" applyAlignment="0" applyProtection="0"/>
    <xf numFmtId="0" fontId="26" fillId="0" borderId="0" applyNumberFormat="0" applyFill="0" applyBorder="0" applyAlignment="0" applyProtection="0"/>
    <xf numFmtId="0" fontId="8" fillId="0" borderId="0"/>
    <xf numFmtId="0" fontId="50" fillId="0" borderId="0"/>
    <xf numFmtId="0" fontId="10" fillId="0" borderId="0"/>
    <xf numFmtId="0" fontId="63" fillId="0" borderId="0" applyNumberFormat="0" applyFont="0" applyFill="0" applyBorder="0" applyAlignment="0" applyProtection="0">
      <alignment vertical="top"/>
    </xf>
    <xf numFmtId="0" fontId="30" fillId="0" borderId="0"/>
    <xf numFmtId="0" fontId="9" fillId="0" borderId="0" applyNumberFormat="0" applyFont="0" applyFill="0" applyBorder="0" applyAlignment="0" applyProtection="0">
      <alignment vertical="top"/>
    </xf>
    <xf numFmtId="0" fontId="10" fillId="0" borderId="0"/>
    <xf numFmtId="0" fontId="30" fillId="0" borderId="0"/>
    <xf numFmtId="0" fontId="27" fillId="0" borderId="6" applyNumberFormat="0" applyFill="0" applyAlignment="0" applyProtection="0"/>
    <xf numFmtId="0" fontId="32" fillId="4" borderId="0" applyNumberFormat="0" applyBorder="0" applyAlignment="0" applyProtection="0"/>
    <xf numFmtId="0" fontId="30" fillId="0" borderId="0"/>
    <xf numFmtId="0" fontId="28" fillId="0" borderId="0" applyNumberFormat="0" applyFill="0" applyBorder="0" applyAlignment="0" applyProtection="0"/>
    <xf numFmtId="0" fontId="8" fillId="0" borderId="0"/>
    <xf numFmtId="0" fontId="74" fillId="7" borderId="0" applyNumberFormat="0" applyBorder="0" applyAlignment="0" applyProtection="0"/>
    <xf numFmtId="0" fontId="74" fillId="8" borderId="0" applyNumberFormat="0" applyBorder="0" applyAlignment="0" applyProtection="0"/>
    <xf numFmtId="0" fontId="74" fillId="9" borderId="0" applyNumberFormat="0" applyBorder="0" applyAlignment="0" applyProtection="0"/>
    <xf numFmtId="0" fontId="74" fillId="10" borderId="0" applyNumberFormat="0" applyBorder="0" applyAlignment="0" applyProtection="0"/>
    <xf numFmtId="0" fontId="74" fillId="3" borderId="0" applyNumberFormat="0" applyBorder="0" applyAlignment="0" applyProtection="0"/>
    <xf numFmtId="0" fontId="74" fillId="2" borderId="0" applyNumberFormat="0" applyBorder="0" applyAlignment="0" applyProtection="0"/>
    <xf numFmtId="0" fontId="74" fillId="11" borderId="0" applyNumberFormat="0" applyBorder="0" applyAlignment="0" applyProtection="0"/>
    <xf numFmtId="0" fontId="74" fillId="12" borderId="0" applyNumberFormat="0" applyBorder="0" applyAlignment="0" applyProtection="0"/>
    <xf numFmtId="0" fontId="74" fillId="13" borderId="0" applyNumberFormat="0" applyBorder="0" applyAlignment="0" applyProtection="0"/>
    <xf numFmtId="0" fontId="74" fillId="10" borderId="0" applyNumberFormat="0" applyBorder="0" applyAlignment="0" applyProtection="0"/>
    <xf numFmtId="0" fontId="74" fillId="11" borderId="0" applyNumberFormat="0" applyBorder="0" applyAlignment="0" applyProtection="0"/>
    <xf numFmtId="0" fontId="74" fillId="14" borderId="0" applyNumberFormat="0" applyBorder="0" applyAlignment="0" applyProtection="0"/>
    <xf numFmtId="0" fontId="75" fillId="15" borderId="0" applyNumberFormat="0" applyBorder="0" applyAlignment="0" applyProtection="0"/>
    <xf numFmtId="0" fontId="75" fillId="12" borderId="0" applyNumberFormat="0" applyBorder="0" applyAlignment="0" applyProtection="0"/>
    <xf numFmtId="0" fontId="75" fillId="13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75" fillId="18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75" fillId="22" borderId="0" applyNumberFormat="0" applyBorder="0" applyAlignment="0" applyProtection="0"/>
    <xf numFmtId="0" fontId="21" fillId="2" borderId="1" applyNumberFormat="0" applyAlignment="0" applyProtection="0"/>
    <xf numFmtId="0" fontId="76" fillId="23" borderId="18" applyNumberFormat="0" applyAlignment="0" applyProtection="0"/>
    <xf numFmtId="0" fontId="77" fillId="23" borderId="1" applyNumberForma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8" fillId="0" borderId="19" applyNumberFormat="0" applyFill="0" applyAlignment="0" applyProtection="0"/>
    <xf numFmtId="0" fontId="25" fillId="5" borderId="5" applyNumberFormat="0" applyAlignment="0" applyProtection="0"/>
    <xf numFmtId="0" fontId="26" fillId="0" borderId="0" applyNumberFormat="0" applyFill="0" applyBorder="0" applyAlignment="0" applyProtection="0"/>
    <xf numFmtId="0" fontId="79" fillId="4" borderId="0" applyNumberFormat="0" applyBorder="0" applyAlignment="0" applyProtection="0"/>
    <xf numFmtId="0" fontId="80" fillId="8" borderId="0" applyNumberFormat="0" applyBorder="0" applyAlignment="0" applyProtection="0"/>
    <xf numFmtId="0" fontId="81" fillId="0" borderId="0" applyNumberFormat="0" applyFill="0" applyBorder="0" applyAlignment="0" applyProtection="0"/>
    <xf numFmtId="0" fontId="74" fillId="24" borderId="20" applyNumberFormat="0" applyFont="0" applyAlignment="0" applyProtection="0"/>
    <xf numFmtId="0" fontId="27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9" borderId="0" applyNumberFormat="0" applyBorder="0" applyAlignment="0" applyProtection="0"/>
    <xf numFmtId="0" fontId="90" fillId="0" borderId="0"/>
    <xf numFmtId="0" fontId="8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10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990">
    <xf numFmtId="0" fontId="0" fillId="0" borderId="0" xfId="0"/>
    <xf numFmtId="0" fontId="11" fillId="0" borderId="0" xfId="0" applyFont="1" applyAlignment="1">
      <alignment vertical="center"/>
    </xf>
    <xf numFmtId="0" fontId="13" fillId="0" borderId="0" xfId="0" applyFont="1"/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43" fillId="0" borderId="0" xfId="0" applyFont="1" applyAlignment="1">
      <alignment horizontal="right" vertical="center"/>
    </xf>
    <xf numFmtId="0" fontId="14" fillId="0" borderId="0" xfId="35" applyFont="1"/>
    <xf numFmtId="0" fontId="10" fillId="0" borderId="0" xfId="35"/>
    <xf numFmtId="4" fontId="54" fillId="0" borderId="0" xfId="0" applyNumberFormat="1" applyFont="1" applyAlignment="1">
      <alignment vertical="center"/>
    </xf>
    <xf numFmtId="0" fontId="54" fillId="0" borderId="0" xfId="0" applyFont="1" applyAlignment="1">
      <alignment vertical="center"/>
    </xf>
    <xf numFmtId="0" fontId="10" fillId="0" borderId="0" xfId="39"/>
    <xf numFmtId="0" fontId="33" fillId="0" borderId="0" xfId="39" applyFont="1" applyAlignment="1">
      <alignment horizontal="center" vertical="center"/>
    </xf>
    <xf numFmtId="0" fontId="19" fillId="0" borderId="11" xfId="39" applyFont="1" applyBorder="1" applyAlignment="1">
      <alignment vertical="center"/>
    </xf>
    <xf numFmtId="0" fontId="10" fillId="0" borderId="0" xfId="39" applyAlignment="1">
      <alignment vertical="center" wrapText="1"/>
    </xf>
    <xf numFmtId="0" fontId="18" fillId="0" borderId="7" xfId="39" applyFont="1" applyBorder="1" applyAlignment="1">
      <alignment horizontal="center" vertical="center" wrapText="1"/>
    </xf>
    <xf numFmtId="0" fontId="33" fillId="0" borderId="0" xfId="39" applyFont="1" applyAlignment="1">
      <alignment wrapText="1"/>
    </xf>
    <xf numFmtId="0" fontId="34" fillId="0" borderId="7" xfId="39" applyFont="1" applyBorder="1" applyAlignment="1">
      <alignment horizontal="center" vertical="center" wrapText="1"/>
    </xf>
    <xf numFmtId="0" fontId="34" fillId="0" borderId="7" xfId="39" applyFont="1" applyBorder="1" applyAlignment="1">
      <alignment horizontal="left" vertical="center" wrapText="1"/>
    </xf>
    <xf numFmtId="4" fontId="35" fillId="0" borderId="7" xfId="39" applyNumberFormat="1" applyFont="1" applyBorder="1" applyAlignment="1">
      <alignment vertical="center" wrapText="1"/>
    </xf>
    <xf numFmtId="0" fontId="34" fillId="0" borderId="0" xfId="39" applyFont="1" applyAlignment="1">
      <alignment wrapText="1"/>
    </xf>
    <xf numFmtId="0" fontId="33" fillId="0" borderId="7" xfId="39" applyFont="1" applyBorder="1" applyAlignment="1">
      <alignment horizontal="center" vertical="center" wrapText="1"/>
    </xf>
    <xf numFmtId="0" fontId="18" fillId="0" borderId="7" xfId="39" applyFont="1" applyBorder="1" applyAlignment="1">
      <alignment vertical="center" wrapText="1"/>
    </xf>
    <xf numFmtId="4" fontId="20" fillId="0" borderId="7" xfId="39" applyNumberFormat="1" applyFont="1" applyBorder="1" applyAlignment="1">
      <alignment vertical="center" wrapText="1"/>
    </xf>
    <xf numFmtId="4" fontId="36" fillId="0" borderId="7" xfId="39" applyNumberFormat="1" applyFont="1" applyBorder="1" applyAlignment="1">
      <alignment vertical="center" wrapText="1"/>
    </xf>
    <xf numFmtId="0" fontId="56" fillId="0" borderId="0" xfId="39" applyFont="1" applyAlignment="1">
      <alignment wrapText="1"/>
    </xf>
    <xf numFmtId="0" fontId="39" fillId="0" borderId="7" xfId="39" applyFont="1" applyBorder="1" applyAlignment="1">
      <alignment vertical="center" wrapText="1"/>
    </xf>
    <xf numFmtId="4" fontId="40" fillId="0" borderId="7" xfId="39" applyNumberFormat="1" applyFont="1" applyBorder="1" applyAlignment="1">
      <alignment vertical="center" wrapText="1"/>
    </xf>
    <xf numFmtId="0" fontId="56" fillId="0" borderId="7" xfId="39" applyFont="1" applyBorder="1" applyAlignment="1">
      <alignment horizontal="center" vertical="center" wrapText="1"/>
    </xf>
    <xf numFmtId="0" fontId="56" fillId="0" borderId="7" xfId="39" applyFont="1" applyBorder="1" applyAlignment="1">
      <alignment vertical="center" wrapText="1"/>
    </xf>
    <xf numFmtId="4" fontId="38" fillId="0" borderId="7" xfId="39" applyNumberFormat="1" applyFont="1" applyBorder="1" applyAlignment="1">
      <alignment vertical="center" wrapText="1"/>
    </xf>
    <xf numFmtId="4" fontId="34" fillId="0" borderId="7" xfId="39" applyNumberFormat="1" applyFont="1" applyBorder="1" applyAlignment="1">
      <alignment horizontal="right" vertical="center" wrapText="1"/>
    </xf>
    <xf numFmtId="4" fontId="33" fillId="0" borderId="7" xfId="39" applyNumberFormat="1" applyFont="1" applyBorder="1" applyAlignment="1">
      <alignment horizontal="right" vertical="center" wrapText="1"/>
    </xf>
    <xf numFmtId="0" fontId="56" fillId="0" borderId="7" xfId="37" applyFont="1" applyBorder="1" applyAlignment="1">
      <alignment horizontal="justify" vertical="top" wrapText="1"/>
    </xf>
    <xf numFmtId="4" fontId="33" fillId="0" borderId="7" xfId="39" applyNumberFormat="1" applyFont="1" applyBorder="1" applyAlignment="1">
      <alignment vertical="center" wrapText="1"/>
    </xf>
    <xf numFmtId="4" fontId="41" fillId="0" borderId="7" xfId="39" applyNumberFormat="1" applyFont="1" applyBorder="1" applyAlignment="1">
      <alignment vertical="center" wrapText="1"/>
    </xf>
    <xf numFmtId="0" fontId="10" fillId="0" borderId="0" xfId="39" applyAlignment="1">
      <alignment wrapText="1"/>
    </xf>
    <xf numFmtId="0" fontId="34" fillId="0" borderId="7" xfId="39" applyFont="1" applyBorder="1" applyAlignment="1">
      <alignment vertical="center" wrapText="1"/>
    </xf>
    <xf numFmtId="0" fontId="35" fillId="0" borderId="7" xfId="37" applyFont="1" applyBorder="1" applyAlignment="1">
      <alignment horizontal="justify" vertical="top" wrapText="1"/>
    </xf>
    <xf numFmtId="4" fontId="37" fillId="0" borderId="7" xfId="39" applyNumberFormat="1" applyFont="1" applyBorder="1" applyAlignment="1">
      <alignment vertical="center" wrapText="1"/>
    </xf>
    <xf numFmtId="0" fontId="38" fillId="0" borderId="7" xfId="37" applyFont="1" applyBorder="1" applyAlignment="1">
      <alignment horizontal="justify" vertical="top" wrapText="1"/>
    </xf>
    <xf numFmtId="0" fontId="56" fillId="0" borderId="13" xfId="37" applyFont="1" applyBorder="1" applyAlignment="1">
      <alignment horizontal="justify" vertical="top" wrapText="1"/>
    </xf>
    <xf numFmtId="0" fontId="57" fillId="0" borderId="7" xfId="37" applyFont="1" applyBorder="1" applyAlignment="1">
      <alignment horizontal="justify" vertical="top" wrapText="1"/>
    </xf>
    <xf numFmtId="0" fontId="58" fillId="0" borderId="7" xfId="37" applyFont="1" applyBorder="1" applyAlignment="1">
      <alignment horizontal="justify" vertical="top" wrapText="1"/>
    </xf>
    <xf numFmtId="0" fontId="39" fillId="0" borderId="7" xfId="39" applyFont="1" applyBorder="1" applyAlignment="1">
      <alignment horizontal="center" vertical="center" wrapText="1"/>
    </xf>
    <xf numFmtId="0" fontId="40" fillId="0" borderId="7" xfId="37" applyFont="1" applyBorder="1" applyAlignment="1">
      <alignment horizontal="justify" vertical="top" wrapText="1"/>
    </xf>
    <xf numFmtId="0" fontId="38" fillId="0" borderId="7" xfId="37" applyFont="1" applyBorder="1" applyAlignment="1">
      <alignment vertical="top" wrapText="1"/>
    </xf>
    <xf numFmtId="0" fontId="10" fillId="0" borderId="7" xfId="39" applyBorder="1" applyAlignment="1">
      <alignment vertical="center" wrapText="1"/>
    </xf>
    <xf numFmtId="0" fontId="58" fillId="0" borderId="7" xfId="39" applyFont="1" applyBorder="1" applyAlignment="1">
      <alignment horizontal="center" vertical="center" wrapText="1"/>
    </xf>
    <xf numFmtId="0" fontId="57" fillId="0" borderId="7" xfId="37" applyFont="1" applyBorder="1" applyAlignment="1">
      <alignment vertical="top" wrapText="1"/>
    </xf>
    <xf numFmtId="4" fontId="59" fillId="0" borderId="7" xfId="39" applyNumberFormat="1" applyFont="1" applyBorder="1" applyAlignment="1">
      <alignment vertical="center" wrapText="1"/>
    </xf>
    <xf numFmtId="0" fontId="60" fillId="0" borderId="7" xfId="37" applyFont="1" applyBorder="1" applyAlignment="1">
      <alignment horizontal="justify" vertical="top" wrapText="1"/>
    </xf>
    <xf numFmtId="0" fontId="61" fillId="0" borderId="7" xfId="37" applyFont="1" applyBorder="1" applyAlignment="1">
      <alignment horizontal="justify" vertical="top" wrapText="1"/>
    </xf>
    <xf numFmtId="0" fontId="33" fillId="0" borderId="7" xfId="39" applyFont="1" applyBorder="1" applyAlignment="1">
      <alignment vertical="center" wrapText="1"/>
    </xf>
    <xf numFmtId="0" fontId="62" fillId="0" borderId="7" xfId="37" applyFont="1" applyBorder="1" applyAlignment="1">
      <alignment horizontal="justify" vertical="top" wrapText="1"/>
    </xf>
    <xf numFmtId="0" fontId="18" fillId="0" borderId="7" xfId="37" applyFont="1" applyBorder="1" applyAlignment="1">
      <alignment horizontal="justify" vertical="top" wrapText="1"/>
    </xf>
    <xf numFmtId="0" fontId="16" fillId="0" borderId="7" xfId="37" applyFont="1" applyBorder="1" applyAlignment="1">
      <alignment horizontal="justify" vertical="top" wrapText="1"/>
    </xf>
    <xf numFmtId="0" fontId="10" fillId="0" borderId="7" xfId="39" applyBorder="1" applyAlignment="1">
      <alignment horizontal="center" vertical="center" wrapText="1"/>
    </xf>
    <xf numFmtId="0" fontId="55" fillId="0" borderId="7" xfId="39" applyFont="1" applyBorder="1" applyAlignment="1">
      <alignment vertical="center" wrapText="1"/>
    </xf>
    <xf numFmtId="0" fontId="15" fillId="0" borderId="0" xfId="39" applyFont="1"/>
    <xf numFmtId="0" fontId="20" fillId="0" borderId="0" xfId="0" applyFont="1"/>
    <xf numFmtId="0" fontId="19" fillId="0" borderId="7" xfId="0" applyFont="1" applyBorder="1" applyAlignment="1">
      <alignment horizontal="center" vertical="top" wrapText="1"/>
    </xf>
    <xf numFmtId="4" fontId="18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65" fillId="0" borderId="0" xfId="35" applyFont="1"/>
    <xf numFmtId="0" fontId="16" fillId="0" borderId="0" xfId="35" applyFont="1" applyAlignment="1">
      <alignment horizontal="center" vertical="center" wrapText="1"/>
    </xf>
    <xf numFmtId="0" fontId="19" fillId="0" borderId="0" xfId="35" applyFont="1" applyAlignment="1">
      <alignment horizontal="center" vertical="center" wrapText="1"/>
    </xf>
    <xf numFmtId="0" fontId="16" fillId="0" borderId="0" xfId="35" applyFont="1" applyAlignment="1">
      <alignment horizontal="center"/>
    </xf>
    <xf numFmtId="0" fontId="65" fillId="0" borderId="0" xfId="35" applyFont="1" applyAlignment="1">
      <alignment horizontal="center"/>
    </xf>
    <xf numFmtId="0" fontId="19" fillId="0" borderId="0" xfId="35" applyFont="1" applyAlignment="1">
      <alignment horizontal="right"/>
    </xf>
    <xf numFmtId="0" fontId="65" fillId="0" borderId="15" xfId="35" applyFont="1" applyBorder="1"/>
    <xf numFmtId="0" fontId="65" fillId="0" borderId="16" xfId="35" applyFont="1" applyBorder="1"/>
    <xf numFmtId="0" fontId="56" fillId="0" borderId="0" xfId="35" applyFont="1"/>
    <xf numFmtId="0" fontId="66" fillId="0" borderId="0" xfId="35" applyFont="1"/>
    <xf numFmtId="0" fontId="63" fillId="0" borderId="0" xfId="36">
      <alignment vertical="top"/>
    </xf>
    <xf numFmtId="0" fontId="15" fillId="0" borderId="0" xfId="36" applyFont="1" applyAlignment="1">
      <alignment horizontal="center" vertical="top"/>
    </xf>
    <xf numFmtId="2" fontId="63" fillId="0" borderId="0" xfId="36" applyNumberFormat="1" applyAlignment="1">
      <alignment horizontal="center" vertical="top"/>
    </xf>
    <xf numFmtId="0" fontId="69" fillId="0" borderId="0" xfId="36" applyFont="1" applyAlignment="1">
      <alignment horizontal="center" vertical="top" wrapText="1"/>
    </xf>
    <xf numFmtId="2" fontId="69" fillId="0" borderId="0" xfId="36" applyNumberFormat="1" applyFont="1" applyAlignment="1">
      <alignment horizontal="center" vertical="top" wrapText="1"/>
    </xf>
    <xf numFmtId="165" fontId="14" fillId="0" borderId="0" xfId="36" applyNumberFormat="1" applyFont="1" applyAlignment="1">
      <alignment horizontal="center" vertical="top"/>
    </xf>
    <xf numFmtId="0" fontId="71" fillId="0" borderId="0" xfId="38" applyFont="1" applyAlignment="1" applyProtection="1">
      <alignment horizontal="left" vertical="center" wrapText="1"/>
      <protection locked="0"/>
    </xf>
    <xf numFmtId="0" fontId="69" fillId="0" borderId="0" xfId="36" applyFont="1" applyAlignment="1">
      <alignment horizontal="left" vertical="top" wrapText="1"/>
    </xf>
    <xf numFmtId="0" fontId="18" fillId="0" borderId="7" xfId="0" applyFont="1" applyBorder="1" applyAlignment="1">
      <alignment horizontal="left" vertical="center" wrapText="1"/>
    </xf>
    <xf numFmtId="4" fontId="83" fillId="0" borderId="0" xfId="0" applyNumberFormat="1" applyFont="1" applyAlignment="1">
      <alignment vertical="center"/>
    </xf>
    <xf numFmtId="0" fontId="52" fillId="0" borderId="0" xfId="0" applyFont="1"/>
    <xf numFmtId="0" fontId="10" fillId="0" borderId="0" xfId="0" applyFont="1"/>
    <xf numFmtId="0" fontId="14" fillId="0" borderId="0" xfId="0" applyFont="1"/>
    <xf numFmtId="2" fontId="14" fillId="0" borderId="0" xfId="36" applyNumberFormat="1" applyFont="1">
      <alignment vertical="top"/>
    </xf>
    <xf numFmtId="0" fontId="87" fillId="0" borderId="0" xfId="0" applyFont="1" applyAlignment="1">
      <alignment horizontal="center" vertical="center"/>
    </xf>
    <xf numFmtId="4" fontId="87" fillId="0" borderId="0" xfId="0" applyNumberFormat="1" applyFont="1" applyAlignment="1">
      <alignment horizontal="center" vertical="center"/>
    </xf>
    <xf numFmtId="4" fontId="91" fillId="0" borderId="0" xfId="0" applyNumberFormat="1" applyFont="1" applyAlignment="1">
      <alignment vertical="center"/>
    </xf>
    <xf numFmtId="0" fontId="15" fillId="0" borderId="7" xfId="37" applyFont="1" applyBorder="1" applyAlignment="1">
      <alignment horizontal="justify" vertical="top" wrapText="1"/>
    </xf>
    <xf numFmtId="0" fontId="18" fillId="0" borderId="7" xfId="0" applyFont="1" applyBorder="1" applyAlignment="1">
      <alignment horizontal="center" vertical="center" wrapText="1"/>
    </xf>
    <xf numFmtId="4" fontId="13" fillId="0" borderId="0" xfId="0" applyNumberFormat="1" applyFont="1"/>
    <xf numFmtId="0" fontId="92" fillId="0" borderId="0" xfId="35" applyFont="1"/>
    <xf numFmtId="4" fontId="43" fillId="0" borderId="0" xfId="0" applyNumberFormat="1" applyFont="1" applyAlignment="1">
      <alignment horizontal="left" vertical="center"/>
    </xf>
    <xf numFmtId="0" fontId="49" fillId="0" borderId="7" xfId="39" applyFont="1" applyBorder="1" applyAlignment="1">
      <alignment horizontal="center" vertical="center" wrapText="1"/>
    </xf>
    <xf numFmtId="0" fontId="49" fillId="0" borderId="0" xfId="39" applyFont="1" applyAlignment="1">
      <alignment wrapText="1"/>
    </xf>
    <xf numFmtId="0" fontId="93" fillId="0" borderId="0" xfId="0" applyFont="1"/>
    <xf numFmtId="0" fontId="45" fillId="0" borderId="0" xfId="0" applyFont="1"/>
    <xf numFmtId="0" fontId="33" fillId="0" borderId="0" xfId="35" applyFont="1" applyAlignment="1">
      <alignment horizontal="center" vertical="center" wrapText="1"/>
    </xf>
    <xf numFmtId="4" fontId="34" fillId="0" borderId="0" xfId="35" applyNumberFormat="1" applyFont="1" applyAlignment="1">
      <alignment horizontal="center" vertical="center"/>
    </xf>
    <xf numFmtId="0" fontId="94" fillId="0" borderId="0" xfId="0" applyFont="1" applyAlignment="1">
      <alignment vertical="center"/>
    </xf>
    <xf numFmtId="4" fontId="95" fillId="0" borderId="0" xfId="0" applyNumberFormat="1" applyFont="1" applyAlignment="1">
      <alignment vertical="center"/>
    </xf>
    <xf numFmtId="4" fontId="96" fillId="0" borderId="0" xfId="0" applyNumberFormat="1" applyFont="1" applyAlignment="1">
      <alignment vertical="center"/>
    </xf>
    <xf numFmtId="0" fontId="96" fillId="0" borderId="0" xfId="0" applyFont="1" applyAlignment="1">
      <alignment vertical="center"/>
    </xf>
    <xf numFmtId="4" fontId="94" fillId="0" borderId="0" xfId="0" applyNumberFormat="1" applyFont="1" applyAlignment="1">
      <alignment vertical="center"/>
    </xf>
    <xf numFmtId="0" fontId="95" fillId="0" borderId="0" xfId="0" applyFont="1" applyAlignment="1">
      <alignment vertical="center"/>
    </xf>
    <xf numFmtId="0" fontId="51" fillId="0" borderId="0" xfId="35" applyFont="1"/>
    <xf numFmtId="0" fontId="88" fillId="0" borderId="0" xfId="0" applyFont="1" applyAlignment="1">
      <alignment horizontal="center" vertical="center"/>
    </xf>
    <xf numFmtId="4" fontId="88" fillId="0" borderId="0" xfId="0" applyNumberFormat="1" applyFont="1" applyAlignment="1">
      <alignment horizontal="center" vertical="center"/>
    </xf>
    <xf numFmtId="4" fontId="88" fillId="0" borderId="0" xfId="0" applyNumberFormat="1" applyFont="1" applyAlignment="1">
      <alignment horizontal="left" vertical="center"/>
    </xf>
    <xf numFmtId="2" fontId="17" fillId="0" borderId="0" xfId="36" applyNumberFormat="1" applyFont="1">
      <alignment vertical="top"/>
    </xf>
    <xf numFmtId="0" fontId="17" fillId="0" borderId="0" xfId="36" applyFont="1">
      <alignment vertical="top"/>
    </xf>
    <xf numFmtId="0" fontId="14" fillId="0" borderId="0" xfId="39" applyFont="1"/>
    <xf numFmtId="0" fontId="58" fillId="0" borderId="7" xfId="39" applyFont="1" applyBorder="1" applyAlignment="1">
      <alignment vertical="center" wrapText="1"/>
    </xf>
    <xf numFmtId="0" fontId="41" fillId="0" borderId="0" xfId="0" applyFont="1" applyAlignment="1">
      <alignment horizontal="right"/>
    </xf>
    <xf numFmtId="0" fontId="91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/>
    <xf numFmtId="4" fontId="8" fillId="0" borderId="0" xfId="0" applyNumberFormat="1" applyFont="1"/>
    <xf numFmtId="4" fontId="10" fillId="0" borderId="7" xfId="0" applyNumberFormat="1" applyFont="1" applyBorder="1" applyAlignment="1">
      <alignment horizontal="center" vertical="center" wrapText="1"/>
    </xf>
    <xf numFmtId="0" fontId="99" fillId="0" borderId="0" xfId="0" applyFont="1"/>
    <xf numFmtId="0" fontId="99" fillId="0" borderId="0" xfId="36" applyFont="1">
      <alignment vertical="top"/>
    </xf>
    <xf numFmtId="0" fontId="99" fillId="0" borderId="0" xfId="35" applyFont="1"/>
    <xf numFmtId="0" fontId="45" fillId="0" borderId="0" xfId="36" applyFont="1">
      <alignment vertical="top"/>
    </xf>
    <xf numFmtId="0" fontId="45" fillId="0" borderId="0" xfId="35" applyFont="1"/>
    <xf numFmtId="0" fontId="63" fillId="0" borderId="0" xfId="36" applyAlignment="1">
      <alignment vertical="center"/>
    </xf>
    <xf numFmtId="0" fontId="14" fillId="0" borderId="0" xfId="36" applyFont="1" applyAlignment="1">
      <alignment horizontal="right" vertical="center"/>
    </xf>
    <xf numFmtId="4" fontId="18" fillId="0" borderId="7" xfId="39" applyNumberFormat="1" applyFont="1" applyBorder="1" applyAlignment="1">
      <alignment horizontal="right" vertical="center" wrapText="1"/>
    </xf>
    <xf numFmtId="4" fontId="42" fillId="30" borderId="7" xfId="36" applyNumberFormat="1" applyFont="1" applyFill="1" applyBorder="1" applyAlignment="1">
      <alignment horizontal="center" vertical="center" wrapText="1"/>
    </xf>
    <xf numFmtId="0" fontId="0" fillId="0" borderId="0" xfId="0" applyFont="1"/>
    <xf numFmtId="0" fontId="15" fillId="0" borderId="0" xfId="39" applyFont="1" applyAlignment="1">
      <alignment horizontal="center" vertical="center"/>
    </xf>
    <xf numFmtId="0" fontId="0" fillId="0" borderId="0" xfId="0" applyAlignment="1">
      <alignment vertical="center"/>
    </xf>
    <xf numFmtId="0" fontId="65" fillId="0" borderId="0" xfId="35" applyFont="1"/>
    <xf numFmtId="0" fontId="16" fillId="0" borderId="0" xfId="35" applyFont="1" applyAlignment="1">
      <alignment horizontal="center" vertical="center" wrapText="1"/>
    </xf>
    <xf numFmtId="0" fontId="67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63" fillId="0" borderId="0" xfId="36">
      <alignment vertical="top"/>
    </xf>
    <xf numFmtId="0" fontId="67" fillId="0" borderId="0" xfId="36" applyFont="1" applyAlignment="1">
      <alignment horizontal="center" vertical="center"/>
    </xf>
    <xf numFmtId="0" fontId="8" fillId="0" borderId="0" xfId="0" applyFont="1" applyAlignment="1">
      <alignment horizontal="left"/>
    </xf>
    <xf numFmtId="0" fontId="10" fillId="0" borderId="0" xfId="35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107" fillId="0" borderId="0" xfId="0" applyFont="1" applyBorder="1" applyAlignment="1">
      <alignment horizontal="center" vertical="center"/>
    </xf>
    <xf numFmtId="0" fontId="106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 vertical="top"/>
    </xf>
    <xf numFmtId="2" fontId="14" fillId="0" borderId="22" xfId="36" applyNumberFormat="1" applyFont="1" applyFill="1" applyBorder="1" applyAlignment="1">
      <alignment horizontal="center" vertical="center" wrapText="1"/>
    </xf>
    <xf numFmtId="4" fontId="14" fillId="0" borderId="22" xfId="36" applyNumberFormat="1" applyFont="1" applyFill="1" applyBorder="1" applyAlignment="1">
      <alignment horizontal="center" vertical="center"/>
    </xf>
    <xf numFmtId="4" fontId="70" fillId="0" borderId="22" xfId="36" applyNumberFormat="1" applyFont="1" applyFill="1" applyBorder="1" applyAlignment="1">
      <alignment horizontal="center" vertical="center" wrapText="1"/>
    </xf>
    <xf numFmtId="4" fontId="67" fillId="29" borderId="22" xfId="36" applyNumberFormat="1" applyFont="1" applyFill="1" applyBorder="1" applyAlignment="1">
      <alignment horizontal="center" vertical="center" wrapText="1"/>
    </xf>
    <xf numFmtId="0" fontId="67" fillId="29" borderId="22" xfId="0" applyFont="1" applyFill="1" applyBorder="1" applyAlignment="1">
      <alignment horizontal="center" vertical="center"/>
    </xf>
    <xf numFmtId="4" fontId="87" fillId="0" borderId="7" xfId="39" applyNumberFormat="1" applyFont="1" applyBorder="1" applyAlignment="1">
      <alignment vertical="center" wrapText="1"/>
    </xf>
    <xf numFmtId="4" fontId="15" fillId="0" borderId="7" xfId="39" applyNumberFormat="1" applyFont="1" applyBorder="1" applyAlignment="1">
      <alignment horizontal="right" vertical="center" wrapText="1"/>
    </xf>
    <xf numFmtId="0" fontId="0" fillId="31" borderId="0" xfId="0" applyFill="1"/>
    <xf numFmtId="0" fontId="65" fillId="0" borderId="0" xfId="35" applyFont="1"/>
    <xf numFmtId="0" fontId="34" fillId="0" borderId="22" xfId="0" applyFont="1" applyBorder="1" applyAlignment="1">
      <alignment horizontal="center" vertical="center" wrapText="1"/>
    </xf>
    <xf numFmtId="4" fontId="42" fillId="30" borderId="0" xfId="36" applyNumberFormat="1" applyFont="1" applyFill="1" applyBorder="1" applyAlignment="1">
      <alignment horizontal="center" vertical="center" wrapText="1"/>
    </xf>
    <xf numFmtId="10" fontId="54" fillId="0" borderId="0" xfId="0" applyNumberFormat="1" applyFont="1" applyAlignment="1">
      <alignment vertical="center"/>
    </xf>
    <xf numFmtId="0" fontId="34" fillId="0" borderId="22" xfId="0" applyFont="1" applyBorder="1" applyAlignment="1">
      <alignment horizontal="center" vertical="top" wrapText="1"/>
    </xf>
    <xf numFmtId="0" fontId="34" fillId="0" borderId="22" xfId="35" applyFont="1" applyBorder="1" applyAlignment="1">
      <alignment horizontal="center" vertical="top" wrapText="1"/>
    </xf>
    <xf numFmtId="0" fontId="45" fillId="31" borderId="0" xfId="35" applyFont="1" applyFill="1" applyAlignment="1">
      <alignment horizontal="center" vertical="center"/>
    </xf>
    <xf numFmtId="0" fontId="10" fillId="0" borderId="0" xfId="35" applyFill="1"/>
    <xf numFmtId="2" fontId="14" fillId="0" borderId="22" xfId="36" applyNumberFormat="1" applyFont="1" applyFill="1" applyBorder="1" applyAlignment="1">
      <alignment horizontal="center" vertical="center" wrapText="1"/>
    </xf>
    <xf numFmtId="0" fontId="0" fillId="0" borderId="0" xfId="0"/>
    <xf numFmtId="0" fontId="4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0" fillId="0" borderId="7" xfId="37" applyFont="1" applyBorder="1" applyAlignment="1">
      <alignment horizontal="justify" vertical="top" wrapText="1"/>
    </xf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0" fontId="65" fillId="0" borderId="0" xfId="35" applyFont="1" applyFill="1"/>
    <xf numFmtId="0" fontId="67" fillId="0" borderId="0" xfId="0" applyFont="1" applyFill="1" applyBorder="1" applyAlignment="1">
      <alignment horizontal="center" vertical="center"/>
    </xf>
    <xf numFmtId="2" fontId="67" fillId="0" borderId="0" xfId="36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4" fontId="67" fillId="0" borderId="0" xfId="36" applyNumberFormat="1" applyFont="1" applyFill="1" applyBorder="1" applyAlignment="1">
      <alignment horizontal="center" vertical="center" wrapText="1"/>
    </xf>
    <xf numFmtId="2" fontId="63" fillId="0" borderId="0" xfId="36" applyNumberFormat="1" applyFill="1" applyAlignment="1">
      <alignment horizontal="center" vertical="top"/>
    </xf>
    <xf numFmtId="0" fontId="33" fillId="0" borderId="0" xfId="35" applyFont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4" fontId="33" fillId="0" borderId="0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4" fontId="42" fillId="0" borderId="0" xfId="0" applyNumberFormat="1" applyFont="1" applyAlignment="1">
      <alignment horizontal="left" vertical="center"/>
    </xf>
    <xf numFmtId="4" fontId="44" fillId="0" borderId="0" xfId="0" applyNumberFormat="1" applyFont="1" applyAlignment="1">
      <alignment horizontal="center" vertical="center" wrapText="1"/>
    </xf>
    <xf numFmtId="167" fontId="91" fillId="0" borderId="0" xfId="0" applyNumberFormat="1" applyFont="1" applyAlignment="1">
      <alignment vertical="center"/>
    </xf>
    <xf numFmtId="0" fontId="82" fillId="0" borderId="0" xfId="0" applyFont="1" applyAlignment="1">
      <alignment vertical="center"/>
    </xf>
    <xf numFmtId="2" fontId="97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166" fontId="54" fillId="0" borderId="0" xfId="0" applyNumberFormat="1" applyFont="1" applyAlignment="1">
      <alignment vertical="center"/>
    </xf>
    <xf numFmtId="0" fontId="42" fillId="0" borderId="0" xfId="0" applyFont="1" applyAlignment="1">
      <alignment horizontal="right" vertical="center"/>
    </xf>
    <xf numFmtId="0" fontId="0" fillId="0" borderId="0" xfId="0"/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84" fillId="0" borderId="0" xfId="0" applyFont="1" applyAlignment="1">
      <alignment horizontal="left" vertical="center"/>
    </xf>
    <xf numFmtId="0" fontId="86" fillId="0" borderId="0" xfId="0" applyFont="1" applyAlignment="1">
      <alignment horizontal="left" vertical="center"/>
    </xf>
    <xf numFmtId="4" fontId="108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4" fontId="33" fillId="0" borderId="0" xfId="0" applyNumberFormat="1" applyFont="1" applyAlignment="1">
      <alignment horizontal="center" vertical="center"/>
    </xf>
    <xf numFmtId="0" fontId="0" fillId="0" borderId="0" xfId="0"/>
    <xf numFmtId="0" fontId="84" fillId="0" borderId="0" xfId="0" applyFont="1" applyAlignment="1">
      <alignment horizontal="left" vertical="center"/>
    </xf>
    <xf numFmtId="0" fontId="86" fillId="0" borderId="0" xfId="0" applyFont="1" applyAlignment="1">
      <alignment horizontal="left" vertical="center"/>
    </xf>
    <xf numFmtId="0" fontId="88" fillId="0" borderId="0" xfId="0" applyFont="1" applyAlignment="1">
      <alignment horizontal="right" vertical="center"/>
    </xf>
    <xf numFmtId="0" fontId="43" fillId="0" borderId="0" xfId="39" applyFont="1"/>
    <xf numFmtId="0" fontId="33" fillId="0" borderId="0" xfId="39" applyFont="1"/>
    <xf numFmtId="0" fontId="53" fillId="0" borderId="0" xfId="0" applyFont="1"/>
    <xf numFmtId="0" fontId="33" fillId="0" borderId="0" xfId="39" applyFont="1" applyFill="1"/>
    <xf numFmtId="0" fontId="33" fillId="0" borderId="0" xfId="0" applyFont="1" applyFill="1" applyAlignment="1">
      <alignment horizontal="left" vertical="center"/>
    </xf>
    <xf numFmtId="0" fontId="10" fillId="0" borderId="0" xfId="35" applyFill="1" applyAlignment="1">
      <alignment horizontal="center" vertical="center"/>
    </xf>
    <xf numFmtId="0" fontId="53" fillId="0" borderId="0" xfId="0" applyFont="1" applyFill="1"/>
    <xf numFmtId="0" fontId="69" fillId="0" borderId="0" xfId="35" applyFont="1" applyAlignment="1">
      <alignment horizontal="center" vertical="center"/>
    </xf>
    <xf numFmtId="0" fontId="69" fillId="0" borderId="0" xfId="35" applyFont="1" applyFill="1" applyAlignment="1">
      <alignment horizontal="center" vertical="center"/>
    </xf>
    <xf numFmtId="0" fontId="14" fillId="0" borderId="0" xfId="39" applyFont="1" applyFill="1"/>
    <xf numFmtId="0" fontId="55" fillId="0" borderId="0" xfId="39" applyFont="1" applyAlignment="1">
      <alignment vertical="center"/>
    </xf>
    <xf numFmtId="4" fontId="15" fillId="0" borderId="7" xfId="39" applyNumberFormat="1" applyFont="1" applyBorder="1" applyAlignment="1">
      <alignment vertical="center" wrapText="1"/>
    </xf>
    <xf numFmtId="0" fontId="18" fillId="33" borderId="7" xfId="39" applyFont="1" applyFill="1" applyBorder="1" applyAlignment="1">
      <alignment horizontal="center" vertical="center" wrapText="1"/>
    </xf>
    <xf numFmtId="0" fontId="18" fillId="33" borderId="7" xfId="39" applyFont="1" applyFill="1" applyBorder="1" applyAlignment="1">
      <alignment vertical="center" wrapText="1"/>
    </xf>
    <xf numFmtId="4" fontId="20" fillId="33" borderId="7" xfId="39" applyNumberFormat="1" applyFont="1" applyFill="1" applyBorder="1" applyAlignment="1">
      <alignment vertical="center" wrapText="1"/>
    </xf>
    <xf numFmtId="4" fontId="41" fillId="33" borderId="7" xfId="39" applyNumberFormat="1" applyFont="1" applyFill="1" applyBorder="1" applyAlignment="1">
      <alignment vertical="center" wrapText="1"/>
    </xf>
    <xf numFmtId="0" fontId="33" fillId="33" borderId="7" xfId="39" applyFont="1" applyFill="1" applyBorder="1" applyAlignment="1">
      <alignment horizontal="center" vertical="center" wrapText="1"/>
    </xf>
    <xf numFmtId="0" fontId="38" fillId="33" borderId="7" xfId="37" applyFont="1" applyFill="1" applyBorder="1" applyAlignment="1">
      <alignment horizontal="justify" vertical="top" wrapText="1"/>
    </xf>
    <xf numFmtId="4" fontId="36" fillId="33" borderId="7" xfId="39" applyNumberFormat="1" applyFont="1" applyFill="1" applyBorder="1" applyAlignment="1">
      <alignment vertical="center" wrapText="1"/>
    </xf>
    <xf numFmtId="0" fontId="34" fillId="33" borderId="0" xfId="39" applyFont="1" applyFill="1" applyAlignment="1">
      <alignment wrapText="1"/>
    </xf>
    <xf numFmtId="0" fontId="34" fillId="33" borderId="7" xfId="39" applyFont="1" applyFill="1" applyBorder="1" applyAlignment="1">
      <alignment horizontal="center" vertical="center" wrapText="1"/>
    </xf>
    <xf numFmtId="0" fontId="34" fillId="33" borderId="7" xfId="39" applyFont="1" applyFill="1" applyBorder="1" applyAlignment="1">
      <alignment horizontal="left" vertical="center" wrapText="1"/>
    </xf>
    <xf numFmtId="4" fontId="35" fillId="33" borderId="7" xfId="39" applyNumberFormat="1" applyFont="1" applyFill="1" applyBorder="1" applyAlignment="1">
      <alignment vertical="center" wrapText="1"/>
    </xf>
    <xf numFmtId="0" fontId="58" fillId="33" borderId="7" xfId="37" applyFont="1" applyFill="1" applyBorder="1" applyAlignment="1">
      <alignment horizontal="justify" vertical="top" wrapText="1"/>
    </xf>
    <xf numFmtId="4" fontId="39" fillId="33" borderId="7" xfId="39" applyNumberFormat="1" applyFont="1" applyFill="1" applyBorder="1" applyAlignment="1">
      <alignment vertical="center" wrapText="1"/>
    </xf>
    <xf numFmtId="0" fontId="39" fillId="33" borderId="7" xfId="39" applyFont="1" applyFill="1" applyBorder="1" applyAlignment="1">
      <alignment vertical="center" wrapText="1"/>
    </xf>
    <xf numFmtId="4" fontId="40" fillId="33" borderId="7" xfId="39" applyNumberFormat="1" applyFont="1" applyFill="1" applyBorder="1" applyAlignment="1">
      <alignment vertical="center" wrapText="1"/>
    </xf>
    <xf numFmtId="2" fontId="14" fillId="0" borderId="22" xfId="36" applyNumberFormat="1" applyFont="1" applyFill="1" applyBorder="1" applyAlignment="1">
      <alignment horizontal="center" vertical="center" wrapText="1"/>
    </xf>
    <xf numFmtId="4" fontId="112" fillId="32" borderId="22" xfId="38" applyNumberFormat="1" applyFont="1" applyFill="1" applyBorder="1" applyAlignment="1" applyProtection="1">
      <alignment horizontal="center" vertical="center" wrapText="1"/>
      <protection locked="0"/>
    </xf>
    <xf numFmtId="4" fontId="118" fillId="25" borderId="22" xfId="0" applyNumberFormat="1" applyFont="1" applyFill="1" applyBorder="1" applyAlignment="1">
      <alignment horizontal="center" vertical="center" wrapText="1"/>
    </xf>
    <xf numFmtId="49" fontId="113" fillId="25" borderId="22" xfId="0" applyNumberFormat="1" applyFont="1" applyFill="1" applyBorder="1" applyAlignment="1">
      <alignment horizontal="center" vertical="center" wrapText="1"/>
    </xf>
    <xf numFmtId="4" fontId="114" fillId="25" borderId="22" xfId="0" applyNumberFormat="1" applyFont="1" applyFill="1" applyBorder="1" applyAlignment="1">
      <alignment horizontal="center" vertical="center" wrapText="1"/>
    </xf>
    <xf numFmtId="4" fontId="114" fillId="25" borderId="22" xfId="0" applyNumberFormat="1" applyFont="1" applyFill="1" applyBorder="1" applyAlignment="1">
      <alignment horizontal="center" vertical="center"/>
    </xf>
    <xf numFmtId="0" fontId="0" fillId="0" borderId="0" xfId="0"/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5" fillId="0" borderId="0" xfId="35" applyFont="1"/>
    <xf numFmtId="0" fontId="6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3" fillId="0" borderId="0" xfId="36">
      <alignment vertical="top"/>
    </xf>
    <xf numFmtId="0" fontId="42" fillId="0" borderId="0" xfId="0" applyFont="1" applyAlignment="1">
      <alignment horizontal="center" vertical="center"/>
    </xf>
    <xf numFmtId="4" fontId="113" fillId="0" borderId="22" xfId="0" applyNumberFormat="1" applyFont="1" applyBorder="1" applyAlignment="1">
      <alignment horizontal="center" vertical="center" wrapText="1"/>
    </xf>
    <xf numFmtId="0" fontId="0" fillId="0" borderId="0" xfId="0"/>
    <xf numFmtId="4" fontId="45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5" fillId="0" borderId="22" xfId="38" applyNumberFormat="1" applyFont="1" applyFill="1" applyBorder="1" applyAlignment="1">
      <alignment horizontal="center" vertical="center" wrapText="1"/>
    </xf>
    <xf numFmtId="164" fontId="43" fillId="0" borderId="22" xfId="30" applyNumberFormat="1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top" wrapText="1"/>
    </xf>
    <xf numFmtId="49" fontId="42" fillId="0" borderId="22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top" wrapText="1"/>
    </xf>
    <xf numFmtId="0" fontId="15" fillId="0" borderId="22" xfId="35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/>
    </xf>
    <xf numFmtId="2" fontId="67" fillId="0" borderId="22" xfId="36" applyNumberFormat="1" applyFont="1" applyBorder="1" applyAlignment="1">
      <alignment horizontal="center" vertical="center" wrapText="1"/>
    </xf>
    <xf numFmtId="0" fontId="120" fillId="0" borderId="22" xfId="35" applyFont="1" applyBorder="1" applyAlignment="1">
      <alignment horizontal="center" vertical="top" wrapText="1"/>
    </xf>
    <xf numFmtId="0" fontId="18" fillId="0" borderId="22" xfId="35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5" fillId="29" borderId="22" xfId="0" applyFont="1" applyFill="1" applyBorder="1" applyAlignment="1">
      <alignment horizontal="center" vertical="center"/>
    </xf>
    <xf numFmtId="2" fontId="15" fillId="29" borderId="22" xfId="36" applyNumberFormat="1" applyFont="1" applyFill="1" applyBorder="1" applyAlignment="1">
      <alignment horizontal="left" vertical="center" wrapText="1"/>
    </xf>
    <xf numFmtId="4" fontId="15" fillId="29" borderId="22" xfId="36" applyNumberFormat="1" applyFont="1" applyFill="1" applyBorder="1" applyAlignment="1">
      <alignment horizontal="center" vertical="center" wrapText="1"/>
    </xf>
    <xf numFmtId="0" fontId="0" fillId="0" borderId="0" xfId="0"/>
    <xf numFmtId="49" fontId="113" fillId="0" borderId="22" xfId="0" applyNumberFormat="1" applyFont="1" applyBorder="1" applyAlignment="1">
      <alignment horizontal="center" vertical="center" wrapText="1"/>
    </xf>
    <xf numFmtId="4" fontId="44" fillId="0" borderId="22" xfId="38" applyNumberFormat="1" applyFont="1" applyFill="1" applyBorder="1" applyAlignment="1">
      <alignment horizontal="center" vertical="center" wrapText="1"/>
    </xf>
    <xf numFmtId="0" fontId="110" fillId="0" borderId="0" xfId="0" applyFont="1"/>
    <xf numFmtId="49" fontId="113" fillId="0" borderId="0" xfId="0" applyNumberFormat="1" applyFont="1" applyAlignment="1">
      <alignment horizontal="center" vertical="center" wrapText="1"/>
    </xf>
    <xf numFmtId="0" fontId="113" fillId="0" borderId="0" xfId="38" applyFont="1" applyFill="1" applyBorder="1" applyAlignment="1" applyProtection="1">
      <alignment horizontal="center" vertical="center" wrapText="1"/>
      <protection locked="0"/>
    </xf>
    <xf numFmtId="0" fontId="111" fillId="0" borderId="0" xfId="0" applyFont="1"/>
    <xf numFmtId="4" fontId="109" fillId="0" borderId="0" xfId="0" applyNumberFormat="1" applyFont="1" applyAlignment="1">
      <alignment horizontal="left" vertical="center"/>
    </xf>
    <xf numFmtId="0" fontId="121" fillId="0" borderId="0" xfId="0" applyFont="1"/>
    <xf numFmtId="4" fontId="122" fillId="0" borderId="0" xfId="0" applyNumberFormat="1" applyFont="1" applyAlignment="1">
      <alignment horizontal="center" vertical="center"/>
    </xf>
    <xf numFmtId="0" fontId="123" fillId="0" borderId="0" xfId="0" applyFont="1"/>
    <xf numFmtId="4" fontId="124" fillId="0" borderId="0" xfId="0" applyNumberFormat="1" applyFont="1"/>
    <xf numFmtId="4" fontId="125" fillId="0" borderId="0" xfId="0" applyNumberFormat="1" applyFont="1" applyAlignment="1">
      <alignment horizontal="left" vertical="center"/>
    </xf>
    <xf numFmtId="4" fontId="118" fillId="0" borderId="0" xfId="0" applyNumberFormat="1" applyFont="1" applyAlignment="1">
      <alignment horizontal="center" vertical="center" wrapText="1"/>
    </xf>
    <xf numFmtId="4" fontId="118" fillId="0" borderId="0" xfId="0" applyNumberFormat="1" applyFont="1" applyAlignment="1">
      <alignment horizontal="left" vertical="center" wrapText="1"/>
    </xf>
    <xf numFmtId="4" fontId="126" fillId="0" borderId="0" xfId="0" applyNumberFormat="1" applyFont="1" applyAlignment="1">
      <alignment vertical="center"/>
    </xf>
    <xf numFmtId="0" fontId="115" fillId="0" borderId="0" xfId="0" applyFont="1"/>
    <xf numFmtId="0" fontId="110" fillId="31" borderId="0" xfId="0" applyFont="1" applyFill="1"/>
    <xf numFmtId="4" fontId="127" fillId="0" borderId="0" xfId="0" applyNumberFormat="1" applyFont="1" applyAlignment="1">
      <alignment vertical="center"/>
    </xf>
    <xf numFmtId="4" fontId="113" fillId="0" borderId="0" xfId="0" applyNumberFormat="1" applyFont="1" applyAlignment="1">
      <alignment horizontal="center" vertical="center"/>
    </xf>
    <xf numFmtId="0" fontId="124" fillId="0" borderId="0" xfId="0" applyFont="1"/>
    <xf numFmtId="4" fontId="128" fillId="0" borderId="0" xfId="0" applyNumberFormat="1" applyFont="1" applyAlignment="1">
      <alignment horizontal="left" vertical="center"/>
    </xf>
    <xf numFmtId="0" fontId="131" fillId="0" borderId="0" xfId="35" applyFont="1"/>
    <xf numFmtId="0" fontId="132" fillId="0" borderId="0" xfId="35" applyFont="1" applyAlignment="1">
      <alignment horizontal="center" vertical="center"/>
    </xf>
    <xf numFmtId="0" fontId="131" fillId="0" borderId="0" xfId="35" applyFont="1" applyFill="1"/>
    <xf numFmtId="0" fontId="110" fillId="0" borderId="0" xfId="0" applyFont="1"/>
    <xf numFmtId="0" fontId="114" fillId="0" borderId="0" xfId="0" applyFont="1"/>
    <xf numFmtId="0" fontId="133" fillId="0" borderId="0" xfId="36" applyFont="1">
      <alignment vertical="top"/>
    </xf>
    <xf numFmtId="0" fontId="134" fillId="0" borderId="0" xfId="36" applyFont="1">
      <alignment vertical="top"/>
    </xf>
    <xf numFmtId="0" fontId="116" fillId="0" borderId="0" xfId="36" applyFont="1" applyAlignment="1">
      <alignment horizontal="center"/>
    </xf>
    <xf numFmtId="0" fontId="116" fillId="0" borderId="0" xfId="0" applyFont="1" applyAlignment="1">
      <alignment horizontal="center"/>
    </xf>
    <xf numFmtId="0" fontId="116" fillId="0" borderId="0" xfId="36" applyFont="1" applyAlignment="1">
      <alignment horizontal="center" vertical="top"/>
    </xf>
    <xf numFmtId="2" fontId="134" fillId="0" borderId="0" xfId="36" applyNumberFormat="1" applyFont="1" applyAlignment="1">
      <alignment horizontal="center" vertical="top"/>
    </xf>
    <xf numFmtId="2" fontId="135" fillId="0" borderId="0" xfId="36" applyNumberFormat="1" applyFont="1" applyFill="1" applyAlignment="1">
      <alignment horizontal="center" vertical="top"/>
    </xf>
    <xf numFmtId="0" fontId="117" fillId="0" borderId="0" xfId="39" applyFont="1" applyFill="1"/>
    <xf numFmtId="0" fontId="129" fillId="0" borderId="0" xfId="35" applyFont="1" applyFill="1" applyAlignment="1">
      <alignment horizontal="center" vertical="center"/>
    </xf>
    <xf numFmtId="0" fontId="114" fillId="0" borderId="0" xfId="36" applyFont="1">
      <alignment vertical="top"/>
    </xf>
    <xf numFmtId="4" fontId="136" fillId="27" borderId="21" xfId="0" applyNumberFormat="1" applyFont="1" applyFill="1" applyBorder="1" applyAlignment="1">
      <alignment horizontal="center" vertical="center" wrapText="1"/>
    </xf>
    <xf numFmtId="4" fontId="137" fillId="0" borderId="0" xfId="0" applyNumberFormat="1" applyFont="1" applyAlignment="1">
      <alignment horizontal="center" vertical="center" wrapText="1"/>
    </xf>
    <xf numFmtId="4" fontId="114" fillId="0" borderId="0" xfId="0" applyNumberFormat="1" applyFont="1" applyAlignment="1">
      <alignment horizontal="center" vertical="center" wrapText="1"/>
    </xf>
    <xf numFmtId="4" fontId="136" fillId="27" borderId="9" xfId="0" applyNumberFormat="1" applyFont="1" applyFill="1" applyBorder="1" applyAlignment="1">
      <alignment horizontal="center" vertical="center" wrapText="1"/>
    </xf>
    <xf numFmtId="0" fontId="138" fillId="0" borderId="0" xfId="0" applyFont="1" applyAlignment="1">
      <alignment horizontal="center" vertical="center"/>
    </xf>
    <xf numFmtId="4" fontId="118" fillId="26" borderId="0" xfId="0" applyNumberFormat="1" applyFont="1" applyFill="1" applyAlignment="1">
      <alignment horizontal="center" vertical="center" wrapText="1"/>
    </xf>
    <xf numFmtId="0" fontId="139" fillId="0" borderId="0" xfId="0" applyFont="1" applyAlignment="1">
      <alignment horizontal="center" vertical="center"/>
    </xf>
    <xf numFmtId="49" fontId="140" fillId="0" borderId="22" xfId="0" applyNumberFormat="1" applyFont="1" applyBorder="1" applyAlignment="1">
      <alignment horizontal="center" vertical="center" wrapText="1"/>
    </xf>
    <xf numFmtId="4" fontId="140" fillId="0" borderId="22" xfId="0" applyNumberFormat="1" applyFont="1" applyBorder="1" applyAlignment="1">
      <alignment horizontal="center" vertical="center" wrapText="1"/>
    </xf>
    <xf numFmtId="0" fontId="0" fillId="0" borderId="0" xfId="0"/>
    <xf numFmtId="0" fontId="110" fillId="0" borderId="0" xfId="0" applyFont="1"/>
    <xf numFmtId="4" fontId="141" fillId="27" borderId="21" xfId="0" applyNumberFormat="1" applyFont="1" applyFill="1" applyBorder="1" applyAlignment="1">
      <alignment horizontal="center" vertical="center" wrapText="1"/>
    </xf>
    <xf numFmtId="4" fontId="141" fillId="27" borderId="9" xfId="0" applyNumberFormat="1" applyFont="1" applyFill="1" applyBorder="1" applyAlignment="1">
      <alignment horizontal="center" vertical="center" wrapText="1"/>
    </xf>
    <xf numFmtId="0" fontId="142" fillId="0" borderId="0" xfId="0" applyFont="1" applyAlignment="1">
      <alignment horizontal="center" vertical="center"/>
    </xf>
    <xf numFmtId="0" fontId="10" fillId="0" borderId="0" xfId="35" applyFont="1"/>
    <xf numFmtId="4" fontId="72" fillId="0" borderId="0" xfId="0" applyNumberFormat="1" applyFont="1"/>
    <xf numFmtId="0" fontId="0" fillId="0" borderId="0" xfId="0"/>
    <xf numFmtId="4" fontId="44" fillId="0" borderId="0" xfId="0" applyNumberFormat="1" applyFont="1" applyAlignment="1">
      <alignment horizontal="left" vertical="center" wrapText="1"/>
    </xf>
    <xf numFmtId="0" fontId="0" fillId="0" borderId="0" xfId="0"/>
    <xf numFmtId="0" fontId="110" fillId="0" borderId="0" xfId="0" applyFont="1"/>
    <xf numFmtId="0" fontId="0" fillId="0" borderId="0" xfId="0"/>
    <xf numFmtId="0" fontId="110" fillId="0" borderId="0" xfId="0" applyFont="1"/>
    <xf numFmtId="0" fontId="10" fillId="28" borderId="0" xfId="35" applyFont="1" applyFill="1"/>
    <xf numFmtId="4" fontId="112" fillId="32" borderId="0" xfId="38" applyNumberFormat="1" applyFont="1" applyFill="1" applyBorder="1" applyAlignment="1" applyProtection="1">
      <alignment horizontal="center" vertical="center" wrapText="1"/>
      <protection locked="0"/>
    </xf>
    <xf numFmtId="0" fontId="43" fillId="0" borderId="22" xfId="0" applyFont="1" applyBorder="1" applyAlignment="1">
      <alignment horizontal="center" vertical="top" wrapText="1"/>
    </xf>
    <xf numFmtId="0" fontId="42" fillId="29" borderId="22" xfId="0" applyFont="1" applyFill="1" applyBorder="1" applyAlignment="1">
      <alignment horizontal="center" vertical="center"/>
    </xf>
    <xf numFmtId="0" fontId="42" fillId="29" borderId="22" xfId="0" applyFont="1" applyFill="1" applyBorder="1" applyAlignment="1">
      <alignment horizontal="left" vertical="center"/>
    </xf>
    <xf numFmtId="4" fontId="42" fillId="29" borderId="22" xfId="0" applyNumberFormat="1" applyFont="1" applyFill="1" applyBorder="1" applyAlignment="1">
      <alignment horizontal="center" vertical="center"/>
    </xf>
    <xf numFmtId="4" fontId="34" fillId="29" borderId="22" xfId="0" applyNumberFormat="1" applyFont="1" applyFill="1" applyBorder="1" applyAlignment="1">
      <alignment horizontal="center" vertical="center"/>
    </xf>
    <xf numFmtId="49" fontId="33" fillId="0" borderId="22" xfId="35" applyNumberFormat="1" applyFont="1" applyFill="1" applyBorder="1" applyAlignment="1">
      <alignment horizontal="center" vertical="center" wrapText="1"/>
    </xf>
    <xf numFmtId="0" fontId="33" fillId="0" borderId="22" xfId="35" applyFont="1" applyFill="1" applyBorder="1" applyAlignment="1">
      <alignment horizontal="center" vertical="center" wrapText="1"/>
    </xf>
    <xf numFmtId="4" fontId="33" fillId="0" borderId="22" xfId="35" applyNumberFormat="1" applyFont="1" applyFill="1" applyBorder="1" applyAlignment="1">
      <alignment horizontal="center" vertical="center"/>
    </xf>
    <xf numFmtId="0" fontId="34" fillId="29" borderId="22" xfId="0" applyFont="1" applyFill="1" applyBorder="1" applyAlignment="1">
      <alignment horizontal="center" vertical="center"/>
    </xf>
    <xf numFmtId="0" fontId="34" fillId="29" borderId="22" xfId="0" applyFont="1" applyFill="1" applyBorder="1" applyAlignment="1">
      <alignment horizontal="left" vertical="center"/>
    </xf>
    <xf numFmtId="0" fontId="0" fillId="0" borderId="0" xfId="0"/>
    <xf numFmtId="0" fontId="110" fillId="0" borderId="0" xfId="0" applyFont="1"/>
    <xf numFmtId="4" fontId="144" fillId="0" borderId="0" xfId="0" applyNumberFormat="1" applyFont="1" applyAlignment="1">
      <alignment horizontal="center" vertical="center" wrapText="1"/>
    </xf>
    <xf numFmtId="4" fontId="44" fillId="31" borderId="0" xfId="0" applyNumberFormat="1" applyFont="1" applyFill="1" applyAlignment="1">
      <alignment horizontal="center" vertical="center" wrapText="1"/>
    </xf>
    <xf numFmtId="4" fontId="34" fillId="29" borderId="22" xfId="0" applyNumberFormat="1" applyFont="1" applyFill="1" applyBorder="1" applyAlignment="1">
      <alignment horizontal="left" vertical="center"/>
    </xf>
    <xf numFmtId="0" fontId="55" fillId="0" borderId="0" xfId="35" applyFont="1" applyAlignment="1">
      <alignment horizontal="left" vertical="center"/>
    </xf>
    <xf numFmtId="0" fontId="143" fillId="0" borderId="0" xfId="0" applyFont="1"/>
    <xf numFmtId="4" fontId="15" fillId="25" borderId="14" xfId="0" applyNumberFormat="1" applyFont="1" applyFill="1" applyBorder="1" applyAlignment="1">
      <alignment horizontal="center" vertical="center"/>
    </xf>
    <xf numFmtId="2" fontId="16" fillId="0" borderId="0" xfId="36" applyNumberFormat="1" applyFont="1" applyAlignment="1">
      <alignment horizontal="center" vertical="top"/>
    </xf>
    <xf numFmtId="4" fontId="145" fillId="0" borderId="0" xfId="0" applyNumberFormat="1" applyFont="1" applyAlignment="1">
      <alignment vertical="center"/>
    </xf>
    <xf numFmtId="0" fontId="56" fillId="0" borderId="0" xfId="0" applyFont="1" applyAlignment="1">
      <alignment horizontal="justify" vertical="center"/>
    </xf>
    <xf numFmtId="0" fontId="56" fillId="0" borderId="7" xfId="39" applyFont="1" applyBorder="1" applyAlignment="1">
      <alignment wrapText="1"/>
    </xf>
    <xf numFmtId="0" fontId="0" fillId="0" borderId="0" xfId="0"/>
    <xf numFmtId="0" fontId="43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84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center"/>
    </xf>
    <xf numFmtId="0" fontId="84" fillId="0" borderId="0" xfId="0" applyFont="1" applyAlignment="1">
      <alignment horizontal="left" vertical="center"/>
    </xf>
    <xf numFmtId="0" fontId="8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top"/>
    </xf>
    <xf numFmtId="4" fontId="43" fillId="0" borderId="22" xfId="0" applyNumberFormat="1" applyFont="1" applyBorder="1" applyAlignment="1">
      <alignment horizontal="center" vertical="center" wrapText="1"/>
    </xf>
    <xf numFmtId="4" fontId="42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97" fillId="0" borderId="0" xfId="0" applyFont="1" applyAlignment="1">
      <alignment vertical="center"/>
    </xf>
    <xf numFmtId="0" fontId="146" fillId="0" borderId="0" xfId="0" applyFont="1"/>
    <xf numFmtId="49" fontId="140" fillId="0" borderId="22" xfId="0" applyNumberFormat="1" applyFont="1" applyBorder="1" applyAlignment="1">
      <alignment horizontal="left" vertical="center" wrapText="1"/>
    </xf>
    <xf numFmtId="49" fontId="43" fillId="0" borderId="22" xfId="0" applyNumberFormat="1" applyFont="1" applyBorder="1" applyAlignment="1">
      <alignment horizontal="left" vertical="center" wrapText="1"/>
    </xf>
    <xf numFmtId="49" fontId="147" fillId="0" borderId="22" xfId="0" applyNumberFormat="1" applyFont="1" applyBorder="1" applyAlignment="1">
      <alignment horizontal="center" vertical="center" wrapText="1"/>
    </xf>
    <xf numFmtId="49" fontId="147" fillId="0" borderId="22" xfId="0" applyNumberFormat="1" applyFont="1" applyBorder="1" applyAlignment="1">
      <alignment horizontal="left" vertical="center" wrapText="1"/>
    </xf>
    <xf numFmtId="4" fontId="147" fillId="0" borderId="22" xfId="0" applyNumberFormat="1" applyFont="1" applyBorder="1" applyAlignment="1">
      <alignment horizontal="center" vertical="center" wrapText="1"/>
    </xf>
    <xf numFmtId="0" fontId="97" fillId="0" borderId="0" xfId="0" applyFont="1" applyAlignment="1">
      <alignment horizontal="center" vertical="center"/>
    </xf>
    <xf numFmtId="4" fontId="43" fillId="0" borderId="22" xfId="0" applyNumberFormat="1" applyFont="1" applyBorder="1" applyAlignment="1">
      <alignment horizontal="center" vertical="center" wrapText="1"/>
    </xf>
    <xf numFmtId="0" fontId="0" fillId="0" borderId="0" xfId="0"/>
    <xf numFmtId="0" fontId="110" fillId="0" borderId="0" xfId="0" applyFont="1"/>
    <xf numFmtId="0" fontId="148" fillId="0" borderId="0" xfId="0" applyFont="1" applyAlignment="1">
      <alignment vertical="center"/>
    </xf>
    <xf numFmtId="4" fontId="147" fillId="0" borderId="30" xfId="0" applyNumberFormat="1" applyFont="1" applyBorder="1" applyAlignment="1">
      <alignment horizontal="center" vertical="center" wrapText="1"/>
    </xf>
    <xf numFmtId="0" fontId="55" fillId="0" borderId="0" xfId="39" applyFont="1" applyAlignment="1">
      <alignment horizontal="center" vertical="center"/>
    </xf>
    <xf numFmtId="0" fontId="15" fillId="0" borderId="7" xfId="39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0" fontId="43" fillId="0" borderId="0" xfId="0" applyFont="1"/>
    <xf numFmtId="0" fontId="64" fillId="0" borderId="0" xfId="0" applyFont="1" applyAlignment="1">
      <alignment horizontal="center" vertical="center" wrapText="1"/>
    </xf>
    <xf numFmtId="0" fontId="150" fillId="0" borderId="0" xfId="0" applyFont="1" applyAlignment="1">
      <alignment vertical="center"/>
    </xf>
    <xf numFmtId="164" fontId="83" fillId="0" borderId="0" xfId="0" applyNumberFormat="1" applyFont="1" applyAlignment="1">
      <alignment horizontal="right" vertical="center" wrapText="1"/>
    </xf>
    <xf numFmtId="4" fontId="10" fillId="33" borderId="7" xfId="39" applyNumberFormat="1" applyFill="1" applyBorder="1" applyAlignment="1">
      <alignment vertical="center" wrapText="1"/>
    </xf>
    <xf numFmtId="4" fontId="10" fillId="0" borderId="7" xfId="39" applyNumberFormat="1" applyBorder="1" applyAlignment="1">
      <alignment horizontal="right" vertical="center" wrapText="1"/>
    </xf>
    <xf numFmtId="0" fontId="10" fillId="0" borderId="7" xfId="39" applyFont="1" applyBorder="1" applyAlignment="1">
      <alignment horizontal="center" vertical="center" wrapText="1"/>
    </xf>
    <xf numFmtId="0" fontId="0" fillId="0" borderId="0" xfId="0"/>
    <xf numFmtId="4" fontId="45" fillId="0" borderId="22" xfId="0" applyNumberFormat="1" applyFont="1" applyFill="1" applyBorder="1" applyAlignment="1">
      <alignment horizontal="center" vertical="center"/>
    </xf>
    <xf numFmtId="4" fontId="44" fillId="0" borderId="22" xfId="0" applyNumberFormat="1" applyFont="1" applyFill="1" applyBorder="1" applyAlignment="1">
      <alignment horizontal="center" vertical="center" wrapText="1"/>
    </xf>
    <xf numFmtId="49" fontId="43" fillId="0" borderId="22" xfId="0" applyNumberFormat="1" applyFont="1" applyFill="1" applyBorder="1" applyAlignment="1">
      <alignment horizontal="center" vertical="center" wrapText="1"/>
    </xf>
    <xf numFmtId="0" fontId="0" fillId="0" borderId="0" xfId="0"/>
    <xf numFmtId="0" fontId="110" fillId="0" borderId="0" xfId="0" applyFont="1"/>
    <xf numFmtId="4" fontId="118" fillId="0" borderId="22" xfId="0" applyNumberFormat="1" applyFont="1" applyBorder="1" applyAlignment="1">
      <alignment horizontal="center" vertical="center" wrapText="1"/>
    </xf>
    <xf numFmtId="4" fontId="114" fillId="0" borderId="22" xfId="0" applyNumberFormat="1" applyFont="1" applyBorder="1" applyAlignment="1">
      <alignment horizontal="center" vertical="center" wrapText="1"/>
    </xf>
    <xf numFmtId="4" fontId="114" fillId="0" borderId="22" xfId="0" applyNumberFormat="1" applyFont="1" applyBorder="1" applyAlignment="1">
      <alignment horizontal="center" vertical="center"/>
    </xf>
    <xf numFmtId="164" fontId="140" fillId="0" borderId="22" xfId="30" applyNumberFormat="1" applyFont="1" applyBorder="1" applyAlignment="1">
      <alignment horizontal="center" vertical="center" wrapText="1"/>
    </xf>
    <xf numFmtId="49" fontId="140" fillId="0" borderId="22" xfId="0" applyNumberFormat="1" applyFont="1" applyFill="1" applyBorder="1" applyAlignment="1">
      <alignment horizontal="center" vertical="center" wrapText="1"/>
    </xf>
    <xf numFmtId="4" fontId="144" fillId="0" borderId="22" xfId="0" applyNumberFormat="1" applyFont="1" applyFill="1" applyBorder="1" applyAlignment="1">
      <alignment horizontal="center" vertical="center" wrapText="1"/>
    </xf>
    <xf numFmtId="4" fontId="151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151" fillId="0" borderId="22" xfId="38" applyNumberFormat="1" applyFont="1" applyFill="1" applyBorder="1" applyAlignment="1">
      <alignment horizontal="center" vertical="center" wrapText="1"/>
    </xf>
    <xf numFmtId="4" fontId="144" fillId="0" borderId="22" xfId="38" applyNumberFormat="1" applyFont="1" applyFill="1" applyBorder="1" applyAlignment="1">
      <alignment horizontal="center" vertical="center" wrapText="1"/>
    </xf>
    <xf numFmtId="4" fontId="151" fillId="0" borderId="22" xfId="0" applyNumberFormat="1" applyFont="1" applyFill="1" applyBorder="1" applyAlignment="1">
      <alignment horizontal="center" vertical="center"/>
    </xf>
    <xf numFmtId="4" fontId="151" fillId="0" borderId="22" xfId="0" applyNumberFormat="1" applyFont="1" applyFill="1" applyBorder="1" applyAlignment="1">
      <alignment horizontal="center" vertical="center" wrapText="1"/>
    </xf>
    <xf numFmtId="4" fontId="140" fillId="0" borderId="22" xfId="38" applyNumberFormat="1" applyFont="1" applyFill="1" applyBorder="1" applyAlignment="1" applyProtection="1">
      <alignment horizontal="center" vertical="center" wrapText="1"/>
      <protection locked="0"/>
    </xf>
    <xf numFmtId="0" fontId="140" fillId="0" borderId="23" xfId="38" applyFont="1" applyFill="1" applyBorder="1" applyAlignment="1" applyProtection="1">
      <alignment horizontal="center" wrapText="1"/>
      <protection locked="0"/>
    </xf>
    <xf numFmtId="0" fontId="140" fillId="0" borderId="0" xfId="38" applyFont="1" applyFill="1" applyBorder="1" applyAlignment="1" applyProtection="1">
      <alignment horizontal="center" vertical="top" wrapText="1"/>
      <protection locked="0"/>
    </xf>
    <xf numFmtId="4" fontId="45" fillId="0" borderId="22" xfId="0" applyNumberFormat="1" applyFont="1" applyFill="1" applyBorder="1" applyAlignment="1">
      <alignment horizontal="center" vertical="center" wrapText="1"/>
    </xf>
    <xf numFmtId="4" fontId="43" fillId="0" borderId="22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4" fontId="151" fillId="0" borderId="22" xfId="0" applyNumberFormat="1" applyFont="1" applyFill="1" applyBorder="1" applyAlignment="1">
      <alignment horizontal="center" vertical="center"/>
    </xf>
    <xf numFmtId="49" fontId="140" fillId="0" borderId="22" xfId="0" applyNumberFormat="1" applyFont="1" applyFill="1" applyBorder="1" applyAlignment="1">
      <alignment horizontal="center" vertical="center" wrapText="1"/>
    </xf>
    <xf numFmtId="4" fontId="144" fillId="0" borderId="22" xfId="0" applyNumberFormat="1" applyFont="1" applyFill="1" applyBorder="1" applyAlignment="1">
      <alignment horizontal="center" vertical="center" wrapText="1"/>
    </xf>
    <xf numFmtId="0" fontId="110" fillId="0" borderId="0" xfId="0" applyFont="1"/>
    <xf numFmtId="0" fontId="0" fillId="0" borderId="0" xfId="0"/>
    <xf numFmtId="49" fontId="140" fillId="0" borderId="22" xfId="0" applyNumberFormat="1" applyFont="1" applyFill="1" applyBorder="1" applyAlignment="1">
      <alignment horizontal="center" vertical="center" wrapText="1"/>
    </xf>
    <xf numFmtId="0" fontId="110" fillId="0" borderId="0" xfId="0" applyFont="1"/>
    <xf numFmtId="4" fontId="44" fillId="0" borderId="22" xfId="0" applyNumberFormat="1" applyFont="1" applyBorder="1" applyAlignment="1">
      <alignment horizontal="center" vertical="center" wrapText="1"/>
    </xf>
    <xf numFmtId="4" fontId="45" fillId="0" borderId="22" xfId="0" applyNumberFormat="1" applyFont="1" applyBorder="1" applyAlignment="1">
      <alignment horizontal="center" vertical="center" wrapText="1"/>
    </xf>
    <xf numFmtId="4" fontId="45" fillId="0" borderId="22" xfId="0" applyNumberFormat="1" applyFont="1" applyBorder="1" applyAlignment="1">
      <alignment horizontal="center" vertical="center"/>
    </xf>
    <xf numFmtId="4" fontId="44" fillId="0" borderId="22" xfId="38" applyNumberFormat="1" applyFont="1" applyFill="1" applyBorder="1" applyAlignment="1" applyProtection="1">
      <alignment horizontal="center" vertical="center" wrapText="1"/>
      <protection locked="0"/>
    </xf>
    <xf numFmtId="49" fontId="43" fillId="0" borderId="22" xfId="0" applyNumberFormat="1" applyFont="1" applyFill="1" applyBorder="1" applyAlignment="1">
      <alignment horizontal="center" vertical="center" wrapText="1"/>
    </xf>
    <xf numFmtId="0" fontId="43" fillId="0" borderId="0" xfId="38" applyFont="1" applyFill="1" applyBorder="1" applyAlignment="1" applyProtection="1">
      <alignment horizontal="center" wrapText="1"/>
      <protection locked="0"/>
    </xf>
    <xf numFmtId="4" fontId="44" fillId="0" borderId="22" xfId="0" applyNumberFormat="1" applyFont="1" applyFill="1" applyBorder="1" applyAlignment="1">
      <alignment horizontal="center" vertical="center" wrapText="1"/>
    </xf>
    <xf numFmtId="4" fontId="43" fillId="0" borderId="22" xfId="0" applyNumberFormat="1" applyFont="1" applyFill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0" fontId="43" fillId="0" borderId="24" xfId="38" applyFont="1" applyFill="1" applyBorder="1" applyAlignment="1" applyProtection="1">
      <alignment horizontal="center" vertical="top" wrapText="1"/>
      <protection locked="0"/>
    </xf>
    <xf numFmtId="4" fontId="43" fillId="0" borderId="22" xfId="38" applyNumberFormat="1" applyFont="1" applyFill="1" applyBorder="1" applyAlignment="1">
      <alignment horizontal="center" vertical="center" wrapText="1"/>
    </xf>
    <xf numFmtId="4" fontId="44" fillId="0" borderId="22" xfId="0" applyNumberFormat="1" applyFont="1" applyFill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 wrapText="1"/>
    </xf>
    <xf numFmtId="164" fontId="43" fillId="0" borderId="22" xfId="30" applyNumberFormat="1" applyFont="1" applyFill="1" applyBorder="1" applyAlignment="1">
      <alignment horizontal="center" vertical="center" wrapText="1"/>
    </xf>
    <xf numFmtId="4" fontId="141" fillId="27" borderId="0" xfId="0" applyNumberFormat="1" applyFont="1" applyFill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 wrapText="1"/>
    </xf>
    <xf numFmtId="4" fontId="44" fillId="0" borderId="22" xfId="0" applyNumberFormat="1" applyFont="1" applyFill="1" applyBorder="1" applyAlignment="1">
      <alignment horizontal="center" vertical="center" wrapText="1"/>
    </xf>
    <xf numFmtId="0" fontId="43" fillId="0" borderId="22" xfId="38" applyFont="1" applyFill="1" applyBorder="1" applyAlignment="1" applyProtection="1">
      <alignment horizontal="center" vertical="center" wrapText="1"/>
      <protection locked="0"/>
    </xf>
    <xf numFmtId="4" fontId="44" fillId="0" borderId="23" xfId="0" applyNumberFormat="1" applyFont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4" fontId="44" fillId="29" borderId="22" xfId="0" applyNumberFormat="1" applyFont="1" applyFill="1" applyBorder="1" applyAlignment="1">
      <alignment horizontal="center" vertical="center"/>
    </xf>
    <xf numFmtId="0" fontId="0" fillId="0" borderId="0" xfId="0"/>
    <xf numFmtId="4" fontId="43" fillId="0" borderId="22" xfId="0" applyNumberFormat="1" applyFont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 wrapText="1"/>
    </xf>
    <xf numFmtId="4" fontId="44" fillId="0" borderId="22" xfId="0" applyNumberFormat="1" applyFont="1" applyFill="1" applyBorder="1" applyAlignment="1">
      <alignment horizontal="center" vertical="center" wrapText="1"/>
    </xf>
    <xf numFmtId="0" fontId="110" fillId="0" borderId="0" xfId="0" applyFont="1"/>
    <xf numFmtId="0" fontId="0" fillId="0" borderId="0" xfId="0"/>
    <xf numFmtId="4" fontId="44" fillId="0" borderId="22" xfId="0" applyNumberFormat="1" applyFont="1" applyFill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 wrapText="1"/>
    </xf>
    <xf numFmtId="4" fontId="43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Border="1" applyAlignment="1">
      <alignment horizontal="center" vertical="center" wrapText="1"/>
    </xf>
    <xf numFmtId="0" fontId="110" fillId="0" borderId="0" xfId="0" applyFont="1"/>
    <xf numFmtId="49" fontId="33" fillId="0" borderId="22" xfId="0" applyNumberFormat="1" applyFont="1" applyFill="1" applyBorder="1" applyAlignment="1">
      <alignment horizontal="center" vertical="center" wrapText="1"/>
    </xf>
    <xf numFmtId="0" fontId="33" fillId="0" borderId="22" xfId="18" applyFont="1" applyBorder="1" applyAlignment="1">
      <alignment horizontal="center" vertical="center" wrapText="1"/>
    </xf>
    <xf numFmtId="4" fontId="33" fillId="0" borderId="22" xfId="0" applyNumberFormat="1" applyFont="1" applyBorder="1" applyAlignment="1">
      <alignment horizontal="center" vertical="center" wrapText="1"/>
    </xf>
    <xf numFmtId="49" fontId="33" fillId="0" borderId="22" xfId="0" applyNumberFormat="1" applyFont="1" applyBorder="1" applyAlignment="1">
      <alignment horizontal="center" vertical="center" wrapText="1"/>
    </xf>
    <xf numFmtId="164" fontId="33" fillId="0" borderId="22" xfId="30" applyNumberFormat="1" applyFont="1" applyBorder="1" applyAlignment="1">
      <alignment horizontal="center" vertical="center"/>
    </xf>
    <xf numFmtId="4" fontId="33" fillId="0" borderId="22" xfId="30" applyNumberFormat="1" applyFont="1" applyBorder="1" applyAlignment="1">
      <alignment horizontal="center" vertical="center"/>
    </xf>
    <xf numFmtId="0" fontId="33" fillId="0" borderId="22" xfId="18" applyFont="1" applyFill="1" applyBorder="1" applyAlignment="1">
      <alignment horizontal="center" vertical="center" wrapText="1"/>
    </xf>
    <xf numFmtId="164" fontId="33" fillId="0" borderId="22" xfId="30" applyNumberFormat="1" applyFont="1" applyFill="1" applyBorder="1" applyAlignment="1">
      <alignment horizontal="center" vertical="center"/>
    </xf>
    <xf numFmtId="4" fontId="33" fillId="0" borderId="22" xfId="30" applyNumberFormat="1" applyFont="1" applyFill="1" applyBorder="1" applyAlignment="1">
      <alignment horizontal="center" vertical="center"/>
    </xf>
    <xf numFmtId="9" fontId="33" fillId="0" borderId="22" xfId="0" applyNumberFormat="1" applyFont="1" applyFill="1" applyBorder="1" applyAlignment="1">
      <alignment horizontal="center" vertical="center" wrapText="1"/>
    </xf>
    <xf numFmtId="4" fontId="33" fillId="0" borderId="22" xfId="0" applyNumberFormat="1" applyFont="1" applyFill="1" applyBorder="1" applyAlignment="1">
      <alignment horizontal="center" vertical="center" wrapText="1"/>
    </xf>
    <xf numFmtId="164" fontId="33" fillId="0" borderId="22" xfId="30" applyNumberFormat="1" applyFont="1" applyFill="1" applyBorder="1" applyAlignment="1">
      <alignment horizontal="center" vertical="center" wrapText="1"/>
    </xf>
    <xf numFmtId="9" fontId="33" fillId="0" borderId="22" xfId="0" applyNumberFormat="1" applyFont="1" applyBorder="1" applyAlignment="1">
      <alignment horizontal="center" vertical="center" wrapText="1"/>
    </xf>
    <xf numFmtId="49" fontId="156" fillId="0" borderId="22" xfId="0" applyNumberFormat="1" applyFont="1" applyFill="1" applyBorder="1" applyAlignment="1">
      <alignment horizontal="center" vertical="center" wrapText="1"/>
    </xf>
    <xf numFmtId="4" fontId="141" fillId="0" borderId="22" xfId="0" applyNumberFormat="1" applyFont="1" applyFill="1" applyBorder="1" applyAlignment="1">
      <alignment horizontal="center" vertical="center" wrapText="1"/>
    </xf>
    <xf numFmtId="4" fontId="157" fillId="0" borderId="22" xfId="0" applyNumberFormat="1" applyFont="1" applyFill="1" applyBorder="1" applyAlignment="1">
      <alignment horizontal="center" vertical="center" wrapText="1"/>
    </xf>
    <xf numFmtId="4" fontId="157" fillId="0" borderId="22" xfId="0" applyNumberFormat="1" applyFont="1" applyFill="1" applyBorder="1" applyAlignment="1">
      <alignment horizontal="center" vertical="center"/>
    </xf>
    <xf numFmtId="4" fontId="119" fillId="0" borderId="0" xfId="0" applyNumberFormat="1" applyFont="1" applyAlignment="1">
      <alignment horizontal="left" vertical="center"/>
    </xf>
    <xf numFmtId="4" fontId="158" fillId="0" borderId="22" xfId="0" applyNumberFormat="1" applyFont="1" applyBorder="1" applyAlignment="1">
      <alignment horizontal="center" vertical="center" wrapText="1"/>
    </xf>
    <xf numFmtId="4" fontId="44" fillId="0" borderId="22" xfId="0" applyNumberFormat="1" applyFont="1" applyFill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 wrapText="1"/>
    </xf>
    <xf numFmtId="4" fontId="43" fillId="0" borderId="22" xfId="0" applyNumberFormat="1" applyFont="1" applyBorder="1" applyAlignment="1">
      <alignment horizontal="center" vertical="center" wrapText="1"/>
    </xf>
    <xf numFmtId="0" fontId="0" fillId="0" borderId="0" xfId="0"/>
    <xf numFmtId="4" fontId="43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Fill="1" applyBorder="1" applyAlignment="1">
      <alignment horizontal="center" vertical="center" wrapText="1"/>
    </xf>
    <xf numFmtId="0" fontId="110" fillId="0" borderId="0" xfId="0" applyFont="1"/>
    <xf numFmtId="164" fontId="33" fillId="0" borderId="22" xfId="30" applyNumberFormat="1" applyFont="1" applyBorder="1" applyAlignment="1">
      <alignment horizontal="center" vertical="center" wrapText="1"/>
    </xf>
    <xf numFmtId="0" fontId="0" fillId="0" borderId="0" xfId="0"/>
    <xf numFmtId="49" fontId="43" fillId="0" borderId="22" xfId="0" applyNumberFormat="1" applyFont="1" applyFill="1" applyBorder="1" applyAlignment="1">
      <alignment horizontal="center" vertical="center" wrapText="1"/>
    </xf>
    <xf numFmtId="4" fontId="43" fillId="0" borderId="22" xfId="0" applyNumberFormat="1" applyFont="1" applyBorder="1" applyAlignment="1">
      <alignment horizontal="center" vertical="center" wrapText="1"/>
    </xf>
    <xf numFmtId="0" fontId="110" fillId="0" borderId="0" xfId="0" applyFont="1"/>
    <xf numFmtId="164" fontId="43" fillId="0" borderId="0" xfId="30" applyNumberFormat="1" applyFont="1" applyBorder="1" applyAlignment="1">
      <alignment horizontal="center" vertical="center" wrapText="1"/>
    </xf>
    <xf numFmtId="0" fontId="0" fillId="0" borderId="0" xfId="0"/>
    <xf numFmtId="4" fontId="43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Fill="1" applyBorder="1" applyAlignment="1">
      <alignment horizontal="center" vertical="center" wrapText="1"/>
    </xf>
    <xf numFmtId="4" fontId="43" fillId="0" borderId="22" xfId="0" applyNumberFormat="1" applyFont="1" applyFill="1" applyBorder="1" applyAlignment="1">
      <alignment horizontal="center" vertical="center" wrapText="1"/>
    </xf>
    <xf numFmtId="0" fontId="110" fillId="0" borderId="0" xfId="0" applyFont="1"/>
    <xf numFmtId="0" fontId="0" fillId="0" borderId="0" xfId="0"/>
    <xf numFmtId="4" fontId="44" fillId="0" borderId="22" xfId="0" applyNumberFormat="1" applyFont="1" applyFill="1" applyBorder="1" applyAlignment="1">
      <alignment horizontal="center" vertical="center" wrapText="1"/>
    </xf>
    <xf numFmtId="4" fontId="144" fillId="0" borderId="22" xfId="0" applyNumberFormat="1" applyFont="1" applyFill="1" applyBorder="1" applyAlignment="1">
      <alignment horizontal="center" vertical="center" wrapText="1"/>
    </xf>
    <xf numFmtId="4" fontId="44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Fill="1" applyBorder="1" applyAlignment="1">
      <alignment horizontal="center" vertical="center" wrapText="1"/>
    </xf>
    <xf numFmtId="0" fontId="110" fillId="0" borderId="0" xfId="0" applyFont="1"/>
    <xf numFmtId="4" fontId="44" fillId="27" borderId="21" xfId="0" applyNumberFormat="1" applyFont="1" applyFill="1" applyBorder="1" applyAlignment="1">
      <alignment horizontal="center" vertical="center" wrapText="1"/>
    </xf>
    <xf numFmtId="4" fontId="44" fillId="27" borderId="9" xfId="0" applyNumberFormat="1" applyFont="1" applyFill="1" applyBorder="1" applyAlignment="1">
      <alignment horizontal="center" vertical="center" wrapText="1"/>
    </xf>
    <xf numFmtId="49" fontId="43" fillId="0" borderId="22" xfId="0" applyNumberFormat="1" applyFont="1" applyBorder="1" applyAlignment="1">
      <alignment horizontal="center" vertical="center"/>
    </xf>
    <xf numFmtId="4" fontId="43" fillId="0" borderId="2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30" xfId="38" applyNumberFormat="1" applyFont="1" applyFill="1" applyBorder="1" applyAlignment="1" applyProtection="1">
      <alignment horizontal="center" vertical="center" wrapText="1"/>
      <protection locked="0"/>
    </xf>
    <xf numFmtId="0" fontId="43" fillId="0" borderId="27" xfId="0" applyFont="1" applyFill="1" applyBorder="1" applyAlignment="1">
      <alignment horizontal="center" vertical="center" wrapText="1"/>
    </xf>
    <xf numFmtId="0" fontId="43" fillId="0" borderId="23" xfId="38" applyFont="1" applyFill="1" applyBorder="1" applyAlignment="1" applyProtection="1">
      <alignment horizontal="center" wrapText="1"/>
      <protection locked="0"/>
    </xf>
    <xf numFmtId="0" fontId="43" fillId="0" borderId="0" xfId="38" applyFont="1" applyFill="1" applyBorder="1" applyAlignment="1" applyProtection="1">
      <alignment horizontal="center" vertical="top" wrapText="1"/>
      <protection locked="0"/>
    </xf>
    <xf numFmtId="0" fontId="159" fillId="0" borderId="0" xfId="0" applyFont="1"/>
    <xf numFmtId="49" fontId="160" fillId="0" borderId="22" xfId="0" applyNumberFormat="1" applyFont="1" applyFill="1" applyBorder="1" applyAlignment="1">
      <alignment horizontal="center" vertical="center" wrapText="1"/>
    </xf>
    <xf numFmtId="49" fontId="119" fillId="0" borderId="22" xfId="0" applyNumberFormat="1" applyFont="1" applyFill="1" applyBorder="1" applyAlignment="1">
      <alignment horizontal="center" vertical="center" wrapText="1"/>
    </xf>
    <xf numFmtId="49" fontId="152" fillId="0" borderId="22" xfId="0" applyNumberFormat="1" applyFont="1" applyFill="1" applyBorder="1" applyAlignment="1">
      <alignment horizontal="center" vertical="center" wrapText="1"/>
    </xf>
    <xf numFmtId="49" fontId="160" fillId="0" borderId="23" xfId="0" applyNumberFormat="1" applyFont="1" applyFill="1" applyBorder="1" applyAlignment="1">
      <alignment horizontal="center" vertical="center" wrapText="1"/>
    </xf>
    <xf numFmtId="0" fontId="161" fillId="0" borderId="0" xfId="0" applyFont="1"/>
    <xf numFmtId="0" fontId="129" fillId="0" borderId="0" xfId="0" applyFont="1"/>
    <xf numFmtId="4" fontId="113" fillId="0" borderId="0" xfId="0" applyNumberFormat="1" applyFont="1" applyAlignment="1">
      <alignment horizontal="left" vertical="center"/>
    </xf>
    <xf numFmtId="4" fontId="162" fillId="0" borderId="0" xfId="0" applyNumberFormat="1" applyFont="1" applyAlignment="1">
      <alignment horizontal="left" vertical="center"/>
    </xf>
    <xf numFmtId="0" fontId="33" fillId="0" borderId="22" xfId="100" applyFont="1" applyBorder="1" applyAlignment="1">
      <alignment horizontal="center" vertical="center" wrapText="1"/>
    </xf>
    <xf numFmtId="0" fontId="33" fillId="0" borderId="22" xfId="100" applyFont="1" applyFill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4" fontId="53" fillId="0" borderId="22" xfId="0" applyNumberFormat="1" applyFont="1" applyBorder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33" fillId="0" borderId="22" xfId="38" applyFont="1" applyFill="1" applyBorder="1" applyAlignment="1" applyProtection="1">
      <alignment horizontal="center" vertical="center" wrapText="1"/>
      <protection locked="0"/>
    </xf>
    <xf numFmtId="164" fontId="33" fillId="0" borderId="22" xfId="0" applyNumberFormat="1" applyFont="1" applyBorder="1" applyAlignment="1">
      <alignment horizontal="center" vertical="center" wrapText="1"/>
    </xf>
    <xf numFmtId="9" fontId="33" fillId="0" borderId="22" xfId="30" applyNumberFormat="1" applyFont="1" applyBorder="1" applyAlignment="1">
      <alignment horizontal="center" vertical="center"/>
    </xf>
    <xf numFmtId="49" fontId="33" fillId="0" borderId="22" xfId="0" applyNumberFormat="1" applyFont="1" applyFill="1" applyBorder="1" applyAlignment="1">
      <alignment horizontal="center" vertical="center"/>
    </xf>
    <xf numFmtId="49" fontId="158" fillId="0" borderId="22" xfId="0" applyNumberFormat="1" applyFont="1" applyBorder="1" applyAlignment="1">
      <alignment horizontal="center" vertical="center" wrapText="1"/>
    </xf>
    <xf numFmtId="0" fontId="158" fillId="0" borderId="22" xfId="0" applyFont="1" applyBorder="1" applyAlignment="1">
      <alignment horizontal="center" vertical="center" wrapText="1"/>
    </xf>
    <xf numFmtId="0" fontId="158" fillId="0" borderId="22" xfId="45" applyFont="1" applyBorder="1" applyAlignment="1">
      <alignment horizontal="center" vertical="center" wrapText="1"/>
    </xf>
    <xf numFmtId="49" fontId="34" fillId="0" borderId="22" xfId="0" applyNumberFormat="1" applyFont="1" applyBorder="1" applyAlignment="1">
      <alignment horizontal="center" vertical="center" wrapText="1"/>
    </xf>
    <xf numFmtId="4" fontId="33" fillId="0" borderId="27" xfId="30" applyNumberFormat="1" applyFont="1" applyBorder="1" applyAlignment="1">
      <alignment horizontal="center" vertical="center"/>
    </xf>
    <xf numFmtId="4" fontId="158" fillId="0" borderId="22" xfId="30" applyNumberFormat="1" applyFont="1" applyBorder="1" applyAlignment="1">
      <alignment horizontal="center" vertical="center"/>
    </xf>
    <xf numFmtId="4" fontId="33" fillId="0" borderId="28" xfId="30" applyNumberFormat="1" applyFont="1" applyBorder="1" applyAlignment="1">
      <alignment horizontal="center" vertical="center"/>
    </xf>
    <xf numFmtId="164" fontId="33" fillId="0" borderId="24" xfId="30" applyNumberFormat="1" applyFont="1" applyBorder="1" applyAlignment="1">
      <alignment horizontal="center" vertical="center"/>
    </xf>
    <xf numFmtId="4" fontId="33" fillId="0" borderId="24" xfId="30" applyNumberFormat="1" applyFont="1" applyBorder="1" applyAlignment="1">
      <alignment horizontal="center" vertical="center"/>
    </xf>
    <xf numFmtId="9" fontId="33" fillId="0" borderId="27" xfId="0" applyNumberFormat="1" applyFont="1" applyBorder="1" applyAlignment="1">
      <alignment horizontal="center" vertical="center" wrapText="1"/>
    </xf>
    <xf numFmtId="4" fontId="33" fillId="0" borderId="27" xfId="0" applyNumberFormat="1" applyFont="1" applyBorder="1" applyAlignment="1">
      <alignment horizontal="center" vertical="center" wrapText="1"/>
    </xf>
    <xf numFmtId="164" fontId="158" fillId="0" borderId="22" xfId="30" applyNumberFormat="1" applyFont="1" applyBorder="1" applyAlignment="1">
      <alignment horizontal="center" vertical="center"/>
    </xf>
    <xf numFmtId="0" fontId="158" fillId="0" borderId="22" xfId="100" applyFont="1" applyBorder="1" applyAlignment="1">
      <alignment horizontal="center" vertical="center" wrapText="1"/>
    </xf>
    <xf numFmtId="49" fontId="33" fillId="0" borderId="22" xfId="18" applyNumberFormat="1" applyFont="1" applyBorder="1" applyAlignment="1">
      <alignment horizontal="center" vertical="center" wrapText="1"/>
    </xf>
    <xf numFmtId="0" fontId="33" fillId="0" borderId="22" xfId="92" applyFont="1" applyBorder="1" applyAlignment="1">
      <alignment horizontal="center" vertical="center" wrapText="1"/>
    </xf>
    <xf numFmtId="0" fontId="33" fillId="0" borderId="22" xfId="40" applyFont="1" applyBorder="1" applyAlignment="1">
      <alignment horizontal="center" vertical="center" wrapText="1"/>
    </xf>
    <xf numFmtId="0" fontId="33" fillId="0" borderId="22" xfId="84" applyFont="1" applyFill="1" applyBorder="1" applyAlignment="1">
      <alignment horizontal="center" vertical="center" wrapText="1"/>
    </xf>
    <xf numFmtId="49" fontId="33" fillId="0" borderId="22" xfId="18" applyNumberFormat="1" applyFont="1" applyFill="1" applyBorder="1" applyAlignment="1">
      <alignment horizontal="center" vertical="center" wrapText="1"/>
    </xf>
    <xf numFmtId="9" fontId="33" fillId="0" borderId="22" xfId="30" applyNumberFormat="1" applyFont="1" applyFill="1" applyBorder="1" applyAlignment="1">
      <alignment horizontal="center" vertical="center"/>
    </xf>
    <xf numFmtId="0" fontId="34" fillId="0" borderId="22" xfId="35" applyFont="1" applyBorder="1" applyAlignment="1">
      <alignment horizontal="center" vertical="center" wrapText="1"/>
    </xf>
    <xf numFmtId="4" fontId="34" fillId="0" borderId="22" xfId="35" applyNumberFormat="1" applyFont="1" applyBorder="1" applyAlignment="1">
      <alignment horizontal="center" vertical="center" wrapText="1"/>
    </xf>
    <xf numFmtId="0" fontId="0" fillId="0" borderId="0" xfId="0"/>
    <xf numFmtId="49" fontId="43" fillId="0" borderId="22" xfId="0" applyNumberFormat="1" applyFont="1" applyBorder="1" applyAlignment="1">
      <alignment horizontal="center" vertical="center" wrapText="1"/>
    </xf>
    <xf numFmtId="4" fontId="44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Fill="1" applyBorder="1" applyAlignment="1">
      <alignment horizontal="center" vertical="center" wrapText="1"/>
    </xf>
    <xf numFmtId="4" fontId="44" fillId="0" borderId="22" xfId="0" applyNumberFormat="1" applyFont="1" applyFill="1" applyBorder="1" applyAlignment="1">
      <alignment horizontal="center" vertical="center" wrapText="1"/>
    </xf>
    <xf numFmtId="0" fontId="65" fillId="0" borderId="0" xfId="35" applyFont="1"/>
    <xf numFmtId="0" fontId="110" fillId="0" borderId="0" xfId="0" applyFont="1"/>
    <xf numFmtId="4" fontId="45" fillId="0" borderId="0" xfId="0" applyNumberFormat="1" applyFont="1" applyAlignment="1">
      <alignment horizontal="left" vertical="center" wrapText="1"/>
    </xf>
    <xf numFmtId="4" fontId="45" fillId="0" borderId="0" xfId="0" applyNumberFormat="1" applyFont="1" applyAlignment="1">
      <alignment horizontal="center" vertical="center" wrapText="1"/>
    </xf>
    <xf numFmtId="49" fontId="156" fillId="0" borderId="22" xfId="0" applyNumberFormat="1" applyFont="1" applyBorder="1" applyAlignment="1">
      <alignment horizontal="center" vertical="center" wrapText="1"/>
    </xf>
    <xf numFmtId="4" fontId="157" fillId="0" borderId="22" xfId="0" applyNumberFormat="1" applyFont="1" applyBorder="1" applyAlignment="1">
      <alignment horizontal="center" vertical="center" wrapText="1"/>
    </xf>
    <xf numFmtId="4" fontId="136" fillId="0" borderId="0" xfId="0" applyNumberFormat="1" applyFont="1" applyAlignment="1">
      <alignment horizontal="left" vertical="center" wrapText="1"/>
    </xf>
    <xf numFmtId="4" fontId="141" fillId="0" borderId="22" xfId="0" applyNumberFormat="1" applyFont="1" applyBorder="1" applyAlignment="1">
      <alignment horizontal="center" vertical="center" wrapText="1"/>
    </xf>
    <xf numFmtId="0" fontId="42" fillId="0" borderId="22" xfId="38" applyFont="1" applyFill="1" applyBorder="1" applyAlignment="1" applyProtection="1">
      <alignment horizontal="center" vertical="center" wrapText="1"/>
      <protection locked="0"/>
    </xf>
    <xf numFmtId="49" fontId="119" fillId="0" borderId="22" xfId="0" applyNumberFormat="1" applyFont="1" applyBorder="1" applyAlignment="1">
      <alignment horizontal="center" vertical="center" wrapText="1"/>
    </xf>
    <xf numFmtId="0" fontId="156" fillId="0" borderId="22" xfId="38" applyFont="1" applyFill="1" applyBorder="1" applyAlignment="1" applyProtection="1">
      <alignment horizontal="center" vertical="center" wrapText="1"/>
      <protection locked="0"/>
    </xf>
    <xf numFmtId="4" fontId="141" fillId="0" borderId="0" xfId="0" applyNumberFormat="1" applyFont="1" applyAlignment="1">
      <alignment horizontal="left" vertical="center" wrapText="1"/>
    </xf>
    <xf numFmtId="4" fontId="157" fillId="0" borderId="0" xfId="0" applyNumberFormat="1" applyFont="1" applyAlignment="1">
      <alignment horizontal="left" vertical="center" wrapText="1"/>
    </xf>
    <xf numFmtId="49" fontId="128" fillId="0" borderId="22" xfId="0" applyNumberFormat="1" applyFont="1" applyFill="1" applyBorder="1" applyAlignment="1">
      <alignment horizontal="center" vertical="center" wrapText="1"/>
    </xf>
    <xf numFmtId="49" fontId="42" fillId="0" borderId="22" xfId="0" applyNumberFormat="1" applyFont="1" applyFill="1" applyBorder="1" applyAlignment="1">
      <alignment horizontal="center" vertical="center" wrapText="1"/>
    </xf>
    <xf numFmtId="0" fontId="165" fillId="0" borderId="0" xfId="0" applyFont="1"/>
    <xf numFmtId="4" fontId="112" fillId="0" borderId="0" xfId="0" applyNumberFormat="1" applyFont="1" applyAlignment="1">
      <alignment horizontal="left" vertical="center"/>
    </xf>
    <xf numFmtId="0" fontId="130" fillId="0" borderId="0" xfId="0" applyFont="1"/>
    <xf numFmtId="4" fontId="164" fillId="0" borderId="0" xfId="0" applyNumberFormat="1" applyFont="1" applyAlignment="1">
      <alignment horizontal="left" vertical="center"/>
    </xf>
    <xf numFmtId="4" fontId="140" fillId="0" borderId="0" xfId="0" applyNumberFormat="1" applyFont="1" applyAlignment="1">
      <alignment horizontal="left" vertical="center"/>
    </xf>
    <xf numFmtId="4" fontId="157" fillId="0" borderId="0" xfId="0" applyNumberFormat="1" applyFont="1" applyAlignment="1">
      <alignment horizontal="center" vertical="center" wrapText="1"/>
    </xf>
    <xf numFmtId="4" fontId="156" fillId="33" borderId="22" xfId="38" applyNumberFormat="1" applyFont="1" applyFill="1" applyBorder="1" applyAlignment="1" applyProtection="1">
      <alignment horizontal="center" vertical="center" wrapText="1"/>
      <protection locked="0"/>
    </xf>
    <xf numFmtId="4" fontId="141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157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2" fillId="34" borderId="22" xfId="38" applyNumberFormat="1" applyFont="1" applyFill="1" applyBorder="1" applyAlignment="1" applyProtection="1">
      <alignment horizontal="center" vertical="center" wrapText="1"/>
      <protection locked="0"/>
    </xf>
    <xf numFmtId="49" fontId="156" fillId="0" borderId="22" xfId="0" applyNumberFormat="1" applyFont="1" applyFill="1" applyBorder="1" applyAlignment="1">
      <alignment horizontal="center" vertical="center"/>
    </xf>
    <xf numFmtId="4" fontId="166" fillId="0" borderId="22" xfId="0" applyNumberFormat="1" applyFont="1" applyFill="1" applyBorder="1" applyAlignment="1">
      <alignment horizontal="center" vertical="center" wrapText="1"/>
    </xf>
    <xf numFmtId="0" fontId="42" fillId="0" borderId="24" xfId="38" applyFont="1" applyFill="1" applyBorder="1" applyAlignment="1" applyProtection="1">
      <alignment horizontal="center" vertical="top" wrapText="1"/>
      <protection locked="0"/>
    </xf>
    <xf numFmtId="0" fontId="119" fillId="0" borderId="24" xfId="38" applyFont="1" applyFill="1" applyBorder="1" applyAlignment="1" applyProtection="1">
      <alignment horizontal="center" vertical="top" wrapText="1"/>
      <protection locked="0"/>
    </xf>
    <xf numFmtId="4" fontId="42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119" fillId="0" borderId="22" xfId="38" applyNumberFormat="1" applyFont="1" applyFill="1" applyBorder="1" applyAlignment="1" applyProtection="1">
      <alignment horizontal="center" vertical="center" wrapText="1"/>
      <protection locked="0"/>
    </xf>
    <xf numFmtId="0" fontId="119" fillId="0" borderId="22" xfId="0" applyFont="1" applyFill="1" applyBorder="1" applyAlignment="1">
      <alignment horizontal="center" vertical="center" wrapText="1"/>
    </xf>
    <xf numFmtId="4" fontId="141" fillId="0" borderId="22" xfId="0" applyNumberFormat="1" applyFont="1" applyFill="1" applyBorder="1" applyAlignment="1">
      <alignment horizontal="center" vertical="center"/>
    </xf>
    <xf numFmtId="0" fontId="49" fillId="0" borderId="22" xfId="38" applyFont="1" applyFill="1" applyBorder="1" applyAlignment="1" applyProtection="1">
      <alignment horizontal="center" vertical="center" wrapText="1"/>
      <protection locked="0"/>
    </xf>
    <xf numFmtId="0" fontId="158" fillId="0" borderId="22" xfId="38" applyFont="1" applyFill="1" applyBorder="1" applyAlignment="1" applyProtection="1">
      <alignment horizontal="center" vertical="center" wrapText="1"/>
      <protection locked="0"/>
    </xf>
    <xf numFmtId="49" fontId="158" fillId="0" borderId="22" xfId="0" applyNumberFormat="1" applyFont="1" applyFill="1" applyBorder="1" applyAlignment="1">
      <alignment horizontal="center" vertical="center" wrapText="1"/>
    </xf>
    <xf numFmtId="4" fontId="34" fillId="0" borderId="22" xfId="0" applyNumberFormat="1" applyFont="1" applyFill="1" applyBorder="1" applyAlignment="1">
      <alignment horizontal="center" vertical="center" wrapText="1"/>
    </xf>
    <xf numFmtId="4" fontId="158" fillId="0" borderId="22" xfId="0" applyNumberFormat="1" applyFont="1" applyFill="1" applyBorder="1" applyAlignment="1">
      <alignment horizontal="center" vertical="center" wrapText="1"/>
    </xf>
    <xf numFmtId="49" fontId="34" fillId="0" borderId="22" xfId="0" applyNumberFormat="1" applyFont="1" applyFill="1" applyBorder="1" applyAlignment="1">
      <alignment horizontal="center" vertical="center" wrapText="1"/>
    </xf>
    <xf numFmtId="0" fontId="34" fillId="0" borderId="22" xfId="38" applyFont="1" applyFill="1" applyBorder="1" applyAlignment="1" applyProtection="1">
      <alignment horizontal="center" vertical="center" wrapText="1"/>
      <protection locked="0"/>
    </xf>
    <xf numFmtId="49" fontId="49" fillId="0" borderId="22" xfId="0" applyNumberFormat="1" applyFont="1" applyFill="1" applyBorder="1" applyAlignment="1">
      <alignment horizontal="center" vertical="center" wrapText="1"/>
    </xf>
    <xf numFmtId="4" fontId="49" fillId="0" borderId="22" xfId="0" applyNumberFormat="1" applyFont="1" applyFill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" fontId="14" fillId="0" borderId="22" xfId="94" applyNumberFormat="1" applyFont="1" applyBorder="1" applyAlignment="1">
      <alignment horizontal="center" vertical="center"/>
    </xf>
    <xf numFmtId="4" fontId="43" fillId="0" borderId="22" xfId="0" applyNumberFormat="1" applyFont="1" applyFill="1" applyBorder="1" applyAlignment="1">
      <alignment horizontal="center" vertical="center" wrapText="1"/>
    </xf>
    <xf numFmtId="4" fontId="43" fillId="0" borderId="22" xfId="0" applyNumberFormat="1" applyFont="1" applyBorder="1" applyAlignment="1">
      <alignment horizontal="center" vertical="center" wrapText="1"/>
    </xf>
    <xf numFmtId="4" fontId="43" fillId="0" borderId="22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4" fontId="43" fillId="0" borderId="22" xfId="0" applyNumberFormat="1" applyFont="1" applyBorder="1" applyAlignment="1">
      <alignment horizontal="center" vertical="center" wrapText="1"/>
    </xf>
    <xf numFmtId="4" fontId="43" fillId="0" borderId="22" xfId="0" applyNumberFormat="1" applyFont="1" applyFill="1" applyBorder="1" applyAlignment="1">
      <alignment horizontal="center" vertical="center" wrapText="1"/>
    </xf>
    <xf numFmtId="4" fontId="43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22" xfId="38" applyNumberFormat="1" applyFont="1" applyFill="1" applyBorder="1" applyAlignment="1">
      <alignment horizontal="center" vertical="center" wrapText="1"/>
    </xf>
    <xf numFmtId="0" fontId="110" fillId="0" borderId="0" xfId="0" applyFont="1"/>
    <xf numFmtId="164" fontId="140" fillId="0" borderId="22" xfId="30" applyNumberFormat="1" applyFont="1" applyFill="1" applyBorder="1" applyAlignment="1">
      <alignment horizontal="center" vertical="center" wrapText="1"/>
    </xf>
    <xf numFmtId="4" fontId="43" fillId="0" borderId="22" xfId="0" applyNumberFormat="1" applyFont="1" applyBorder="1" applyAlignment="1">
      <alignment horizontal="center" vertical="center" wrapText="1"/>
    </xf>
    <xf numFmtId="4" fontId="43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4" fillId="0" borderId="22" xfId="0" applyNumberFormat="1" applyFont="1" applyFill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 wrapText="1"/>
    </xf>
    <xf numFmtId="49" fontId="43" fillId="0" borderId="22" xfId="0" applyNumberFormat="1" applyFont="1" applyBorder="1" applyAlignment="1">
      <alignment horizontal="center" vertical="center" wrapText="1"/>
    </xf>
    <xf numFmtId="4" fontId="44" fillId="0" borderId="22" xfId="0" applyNumberFormat="1" applyFont="1" applyBorder="1" applyAlignment="1">
      <alignment horizontal="center" vertical="center" wrapText="1"/>
    </xf>
    <xf numFmtId="4" fontId="45" fillId="0" borderId="22" xfId="0" applyNumberFormat="1" applyFont="1" applyBorder="1" applyAlignment="1">
      <alignment horizontal="center" vertical="center"/>
    </xf>
    <xf numFmtId="0" fontId="110" fillId="25" borderId="0" xfId="0" applyFont="1" applyFill="1"/>
    <xf numFmtId="4" fontId="118" fillId="25" borderId="0" xfId="0" applyNumberFormat="1" applyFont="1" applyFill="1" applyAlignment="1">
      <alignment horizontal="left" vertical="center" wrapText="1"/>
    </xf>
    <xf numFmtId="0" fontId="0" fillId="25" borderId="0" xfId="0" applyFill="1"/>
    <xf numFmtId="4" fontId="44" fillId="25" borderId="0" xfId="0" applyNumberFormat="1" applyFont="1" applyFill="1" applyAlignment="1">
      <alignment horizontal="left" vertical="center" wrapText="1"/>
    </xf>
    <xf numFmtId="0" fontId="110" fillId="0" borderId="0" xfId="0" applyFont="1" applyFill="1"/>
    <xf numFmtId="4" fontId="44" fillId="0" borderId="0" xfId="0" applyNumberFormat="1" applyFont="1" applyFill="1" applyAlignment="1">
      <alignment horizontal="left" vertical="center" wrapText="1"/>
    </xf>
    <xf numFmtId="0" fontId="0" fillId="0" borderId="0" xfId="0" applyFill="1"/>
    <xf numFmtId="0" fontId="0" fillId="0" borderId="0" xfId="0"/>
    <xf numFmtId="4" fontId="44" fillId="0" borderId="22" xfId="0" applyNumberFormat="1" applyFont="1" applyBorder="1" applyAlignment="1">
      <alignment horizontal="center" vertical="center" wrapText="1"/>
    </xf>
    <xf numFmtId="4" fontId="43" fillId="0" borderId="22" xfId="0" applyNumberFormat="1" applyFont="1" applyBorder="1" applyAlignment="1">
      <alignment horizontal="center" vertical="center" wrapText="1"/>
    </xf>
    <xf numFmtId="4" fontId="45" fillId="0" borderId="22" xfId="0" applyNumberFormat="1" applyFont="1" applyBorder="1" applyAlignment="1">
      <alignment horizontal="center" vertical="center"/>
    </xf>
    <xf numFmtId="49" fontId="43" fillId="0" borderId="22" xfId="0" applyNumberFormat="1" applyFont="1" applyBorder="1" applyAlignment="1">
      <alignment horizontal="center" vertical="center" wrapText="1"/>
    </xf>
    <xf numFmtId="0" fontId="110" fillId="0" borderId="0" xfId="0" applyFont="1"/>
    <xf numFmtId="49" fontId="43" fillId="31" borderId="22" xfId="0" applyNumberFormat="1" applyFont="1" applyFill="1" applyBorder="1" applyAlignment="1">
      <alignment horizontal="center" vertical="center" wrapText="1"/>
    </xf>
    <xf numFmtId="0" fontId="0" fillId="0" borderId="0" xfId="0"/>
    <xf numFmtId="0" fontId="15" fillId="0" borderId="0" xfId="0" applyFont="1" applyAlignment="1"/>
    <xf numFmtId="4" fontId="44" fillId="0" borderId="22" xfId="0" applyNumberFormat="1" applyFont="1" applyFill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 wrapText="1"/>
    </xf>
    <xf numFmtId="49" fontId="43" fillId="0" borderId="22" xfId="0" applyNumberFormat="1" applyFont="1" applyFill="1" applyBorder="1" applyAlignment="1">
      <alignment horizontal="center" vertical="center"/>
    </xf>
    <xf numFmtId="4" fontId="44" fillId="31" borderId="22" xfId="38" applyNumberFormat="1" applyFont="1" applyFill="1" applyBorder="1" applyAlignment="1" applyProtection="1">
      <alignment horizontal="center" vertical="center" wrapText="1"/>
      <protection locked="0"/>
    </xf>
    <xf numFmtId="4" fontId="45" fillId="31" borderId="22" xfId="38" applyNumberFormat="1" applyFont="1" applyFill="1" applyBorder="1" applyAlignment="1" applyProtection="1">
      <alignment horizontal="center" vertical="center" wrapText="1"/>
      <protection locked="0"/>
    </xf>
    <xf numFmtId="4" fontId="44" fillId="31" borderId="22" xfId="0" applyNumberFormat="1" applyFont="1" applyFill="1" applyBorder="1" applyAlignment="1">
      <alignment horizontal="center" vertical="center" wrapText="1"/>
    </xf>
    <xf numFmtId="4" fontId="45" fillId="31" borderId="22" xfId="0" applyNumberFormat="1" applyFont="1" applyFill="1" applyBorder="1" applyAlignment="1">
      <alignment horizontal="center" vertical="center" wrapText="1"/>
    </xf>
    <xf numFmtId="4" fontId="45" fillId="31" borderId="22" xfId="0" applyNumberFormat="1" applyFont="1" applyFill="1" applyBorder="1" applyAlignment="1">
      <alignment horizontal="center" vertical="center"/>
    </xf>
    <xf numFmtId="0" fontId="0" fillId="0" borderId="0" xfId="0"/>
    <xf numFmtId="4" fontId="44" fillId="0" borderId="22" xfId="0" applyNumberFormat="1" applyFont="1" applyFill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 wrapText="1"/>
    </xf>
    <xf numFmtId="4" fontId="43" fillId="0" borderId="22" xfId="0" applyNumberFormat="1" applyFont="1" applyBorder="1" applyAlignment="1">
      <alignment horizontal="center" vertical="center" wrapText="1"/>
    </xf>
    <xf numFmtId="4" fontId="43" fillId="0" borderId="22" xfId="38" applyNumberFormat="1" applyFont="1" applyFill="1" applyBorder="1" applyAlignment="1" applyProtection="1">
      <alignment horizontal="center" vertical="center" wrapText="1"/>
      <protection locked="0"/>
    </xf>
    <xf numFmtId="0" fontId="110" fillId="0" borderId="0" xfId="0" applyFont="1"/>
    <xf numFmtId="0" fontId="0" fillId="0" borderId="0" xfId="0"/>
    <xf numFmtId="4" fontId="43" fillId="0" borderId="22" xfId="0" applyNumberFormat="1" applyFont="1" applyBorder="1" applyAlignment="1">
      <alignment horizontal="center" vertical="center" wrapText="1"/>
    </xf>
    <xf numFmtId="4" fontId="42" fillId="0" borderId="22" xfId="0" applyNumberFormat="1" applyFont="1" applyBorder="1" applyAlignment="1">
      <alignment horizontal="center" vertical="center" wrapText="1"/>
    </xf>
    <xf numFmtId="49" fontId="140" fillId="0" borderId="22" xfId="0" applyNumberFormat="1" applyFont="1" applyFill="1" applyBorder="1" applyAlignment="1">
      <alignment horizontal="center" vertical="center" wrapText="1"/>
    </xf>
    <xf numFmtId="0" fontId="39" fillId="0" borderId="0" xfId="35" applyFont="1" applyAlignment="1">
      <alignment vertical="center"/>
    </xf>
    <xf numFmtId="49" fontId="147" fillId="0" borderId="22" xfId="0" applyNumberFormat="1" applyFont="1" applyFill="1" applyBorder="1" applyAlignment="1">
      <alignment horizontal="center" vertical="center" wrapText="1"/>
    </xf>
    <xf numFmtId="49" fontId="147" fillId="0" borderId="22" xfId="0" applyNumberFormat="1" applyFont="1" applyFill="1" applyBorder="1" applyAlignment="1">
      <alignment horizontal="left" vertical="center" wrapText="1"/>
    </xf>
    <xf numFmtId="4" fontId="147" fillId="0" borderId="22" xfId="0" applyNumberFormat="1" applyFont="1" applyFill="1" applyBorder="1" applyAlignment="1">
      <alignment horizontal="center" vertical="center" wrapText="1"/>
    </xf>
    <xf numFmtId="49" fontId="140" fillId="0" borderId="22" xfId="0" applyNumberFormat="1" applyFont="1" applyFill="1" applyBorder="1" applyAlignment="1">
      <alignment horizontal="left" vertical="center" wrapText="1"/>
    </xf>
    <xf numFmtId="4" fontId="140" fillId="0" borderId="22" xfId="0" applyNumberFormat="1" applyFont="1" applyFill="1" applyBorder="1" applyAlignment="1">
      <alignment horizontal="center" vertical="center" wrapText="1"/>
    </xf>
    <xf numFmtId="0" fontId="33" fillId="0" borderId="22" xfId="92" applyFont="1" applyFill="1" applyBorder="1" applyAlignment="1">
      <alignment horizontal="center" vertical="center" wrapText="1"/>
    </xf>
    <xf numFmtId="0" fontId="0" fillId="0" borderId="0" xfId="0"/>
    <xf numFmtId="4" fontId="43" fillId="0" borderId="22" xfId="0" applyNumberFormat="1" applyFont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 wrapText="1"/>
    </xf>
    <xf numFmtId="4" fontId="44" fillId="0" borderId="22" xfId="0" applyNumberFormat="1" applyFont="1" applyFill="1" applyBorder="1" applyAlignment="1">
      <alignment horizontal="center" vertical="center" wrapText="1"/>
    </xf>
    <xf numFmtId="4" fontId="43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22" xfId="38" applyNumberFormat="1" applyFont="1" applyFill="1" applyBorder="1" applyAlignment="1">
      <alignment horizontal="center" vertical="center" wrapText="1"/>
    </xf>
    <xf numFmtId="0" fontId="110" fillId="0" borderId="0" xfId="0" applyFont="1"/>
    <xf numFmtId="4" fontId="43" fillId="0" borderId="22" xfId="38" applyNumberFormat="1" applyFont="1" applyFill="1" applyBorder="1" applyAlignment="1">
      <alignment horizontal="center" vertical="center" wrapText="1"/>
    </xf>
    <xf numFmtId="0" fontId="33" fillId="0" borderId="7" xfId="40" applyFont="1" applyBorder="1" applyAlignment="1">
      <alignment horizontal="center" vertical="center" wrapText="1"/>
    </xf>
    <xf numFmtId="4" fontId="33" fillId="0" borderId="7" xfId="0" applyNumberFormat="1" applyFont="1" applyBorder="1" applyAlignment="1">
      <alignment horizontal="center" vertical="center" wrapText="1"/>
    </xf>
    <xf numFmtId="0" fontId="0" fillId="0" borderId="0" xfId="0"/>
    <xf numFmtId="4" fontId="43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Fill="1" applyBorder="1" applyAlignment="1">
      <alignment horizontal="center" vertical="center" wrapText="1"/>
    </xf>
    <xf numFmtId="4" fontId="144" fillId="0" borderId="22" xfId="0" applyNumberFormat="1" applyFont="1" applyFill="1" applyBorder="1" applyAlignment="1">
      <alignment horizontal="center" vertical="center" wrapText="1"/>
    </xf>
    <xf numFmtId="0" fontId="110" fillId="0" borderId="0" xfId="0" applyFont="1"/>
    <xf numFmtId="0" fontId="0" fillId="0" borderId="0" xfId="0"/>
    <xf numFmtId="4" fontId="44" fillId="0" borderId="22" xfId="0" applyNumberFormat="1" applyFont="1" applyFill="1" applyBorder="1" applyAlignment="1">
      <alignment horizontal="center" vertical="center" wrapText="1"/>
    </xf>
    <xf numFmtId="4" fontId="43" fillId="0" borderId="22" xfId="0" applyNumberFormat="1" applyFont="1" applyFill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 wrapText="1"/>
    </xf>
    <xf numFmtId="4" fontId="43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Border="1" applyAlignment="1">
      <alignment horizontal="center" vertical="center" wrapText="1"/>
    </xf>
    <xf numFmtId="4" fontId="43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22" xfId="38" applyNumberFormat="1" applyFont="1" applyFill="1" applyBorder="1" applyAlignment="1">
      <alignment horizontal="center" vertical="center" wrapText="1"/>
    </xf>
    <xf numFmtId="0" fontId="110" fillId="0" borderId="0" xfId="0" applyFont="1"/>
    <xf numFmtId="4" fontId="43" fillId="0" borderId="22" xfId="0" applyNumberFormat="1" applyFont="1" applyBorder="1" applyAlignment="1">
      <alignment horizontal="center" vertical="center" wrapText="1"/>
    </xf>
    <xf numFmtId="49" fontId="119" fillId="35" borderId="22" xfId="0" applyNumberFormat="1" applyFont="1" applyFill="1" applyBorder="1" applyAlignment="1">
      <alignment horizontal="center" vertical="center" wrapText="1"/>
    </xf>
    <xf numFmtId="0" fontId="119" fillId="35" borderId="22" xfId="38" applyFont="1" applyFill="1" applyBorder="1" applyAlignment="1" applyProtection="1">
      <alignment horizontal="center" vertical="center" wrapText="1"/>
      <protection locked="0"/>
    </xf>
    <xf numFmtId="4" fontId="119" fillId="35" borderId="22" xfId="38" applyNumberFormat="1" applyFont="1" applyFill="1" applyBorder="1" applyAlignment="1" applyProtection="1">
      <alignment horizontal="center" vertical="center" wrapText="1"/>
      <protection locked="0"/>
    </xf>
    <xf numFmtId="4" fontId="119" fillId="35" borderId="22" xfId="0" applyNumberFormat="1" applyFont="1" applyFill="1" applyBorder="1" applyAlignment="1">
      <alignment horizontal="center" vertical="center" wrapText="1"/>
    </xf>
    <xf numFmtId="49" fontId="42" fillId="36" borderId="22" xfId="0" applyNumberFormat="1" applyFont="1" applyFill="1" applyBorder="1" applyAlignment="1">
      <alignment horizontal="center" vertical="center" wrapText="1"/>
    </xf>
    <xf numFmtId="0" fontId="42" fillId="36" borderId="22" xfId="38" applyFont="1" applyFill="1" applyBorder="1" applyAlignment="1" applyProtection="1">
      <alignment horizontal="center" vertical="center" wrapText="1"/>
      <protection locked="0"/>
    </xf>
    <xf numFmtId="4" fontId="42" fillId="36" borderId="22" xfId="38" applyNumberFormat="1" applyFont="1" applyFill="1" applyBorder="1" applyAlignment="1" applyProtection="1">
      <alignment horizontal="center" vertical="center" wrapText="1"/>
      <protection locked="0"/>
    </xf>
    <xf numFmtId="4" fontId="42" fillId="36" borderId="22" xfId="0" applyNumberFormat="1" applyFont="1" applyFill="1" applyBorder="1" applyAlignment="1">
      <alignment horizontal="center" vertical="center" wrapText="1"/>
    </xf>
    <xf numFmtId="49" fontId="49" fillId="35" borderId="22" xfId="0" applyNumberFormat="1" applyFont="1" applyFill="1" applyBorder="1" applyAlignment="1">
      <alignment horizontal="center" vertical="center" wrapText="1"/>
    </xf>
    <xf numFmtId="0" fontId="49" fillId="35" borderId="22" xfId="38" applyFont="1" applyFill="1" applyBorder="1" applyAlignment="1" applyProtection="1">
      <alignment horizontal="center" vertical="center" wrapText="1"/>
      <protection locked="0"/>
    </xf>
    <xf numFmtId="4" fontId="49" fillId="35" borderId="22" xfId="0" applyNumberFormat="1" applyFont="1" applyFill="1" applyBorder="1" applyAlignment="1">
      <alignment horizontal="center" vertical="center" wrapText="1"/>
    </xf>
    <xf numFmtId="49" fontId="34" fillId="36" borderId="22" xfId="0" applyNumberFormat="1" applyFont="1" applyFill="1" applyBorder="1" applyAlignment="1">
      <alignment horizontal="center" vertical="center" wrapText="1"/>
    </xf>
    <xf numFmtId="0" fontId="34" fillId="36" borderId="22" xfId="38" applyFont="1" applyFill="1" applyBorder="1" applyAlignment="1" applyProtection="1">
      <alignment horizontal="center" vertical="center" wrapText="1"/>
      <protection locked="0"/>
    </xf>
    <xf numFmtId="4" fontId="34" fillId="36" borderId="22" xfId="0" applyNumberFormat="1" applyFont="1" applyFill="1" applyBorder="1" applyAlignment="1">
      <alignment horizontal="center" vertical="center" wrapText="1"/>
    </xf>
    <xf numFmtId="4" fontId="49" fillId="35" borderId="22" xfId="38" applyNumberFormat="1" applyFont="1" applyFill="1" applyBorder="1" applyAlignment="1" applyProtection="1">
      <alignment horizontal="center" vertical="center" wrapText="1"/>
      <protection locked="0"/>
    </xf>
    <xf numFmtId="4" fontId="34" fillId="36" borderId="22" xfId="38" applyNumberFormat="1" applyFont="1" applyFill="1" applyBorder="1" applyAlignment="1" applyProtection="1">
      <alignment horizontal="center" vertical="center" wrapText="1"/>
      <protection locked="0"/>
    </xf>
    <xf numFmtId="4" fontId="168" fillId="0" borderId="22" xfId="38" applyNumberFormat="1" applyFont="1" applyFill="1" applyBorder="1" applyAlignment="1" applyProtection="1">
      <alignment horizontal="center" vertical="center" wrapText="1"/>
      <protection locked="0"/>
    </xf>
    <xf numFmtId="164" fontId="168" fillId="0" borderId="22" xfId="30" applyNumberFormat="1" applyFont="1" applyBorder="1" applyAlignment="1">
      <alignment horizontal="center" vertical="center" wrapText="1"/>
    </xf>
    <xf numFmtId="0" fontId="158" fillId="0" borderId="22" xfId="45" applyFont="1" applyFill="1" applyBorder="1" applyAlignment="1">
      <alignment horizontal="center" vertical="center" wrapText="1"/>
    </xf>
    <xf numFmtId="0" fontId="0" fillId="0" borderId="0" xfId="0"/>
    <xf numFmtId="4" fontId="44" fillId="0" borderId="22" xfId="0" applyNumberFormat="1" applyFont="1" applyFill="1" applyBorder="1" applyAlignment="1">
      <alignment horizontal="center" vertical="center" wrapText="1"/>
    </xf>
    <xf numFmtId="4" fontId="44" fillId="0" borderId="22" xfId="0" applyNumberFormat="1" applyFont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 wrapText="1"/>
    </xf>
    <xf numFmtId="4" fontId="43" fillId="0" borderId="22" xfId="0" applyNumberFormat="1" applyFont="1" applyBorder="1" applyAlignment="1">
      <alignment horizontal="center" vertical="center" wrapText="1"/>
    </xf>
    <xf numFmtId="4" fontId="45" fillId="0" borderId="22" xfId="0" applyNumberFormat="1" applyFont="1" applyBorder="1" applyAlignment="1">
      <alignment horizontal="center" vertical="center"/>
    </xf>
    <xf numFmtId="49" fontId="43" fillId="0" borderId="22" xfId="0" applyNumberFormat="1" applyFont="1" applyBorder="1" applyAlignment="1">
      <alignment horizontal="center" vertical="center" wrapText="1"/>
    </xf>
    <xf numFmtId="4" fontId="43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22" xfId="38" applyNumberFormat="1" applyFont="1" applyFill="1" applyBorder="1" applyAlignment="1">
      <alignment horizontal="center" vertical="center" wrapText="1"/>
    </xf>
    <xf numFmtId="0" fontId="110" fillId="0" borderId="0" xfId="0" applyFont="1"/>
    <xf numFmtId="4" fontId="169" fillId="0" borderId="22" xfId="0" applyNumberFormat="1" applyFont="1" applyFill="1" applyBorder="1" applyAlignment="1">
      <alignment horizontal="center" vertical="center" wrapText="1"/>
    </xf>
    <xf numFmtId="0" fontId="0" fillId="0" borderId="0" xfId="0"/>
    <xf numFmtId="4" fontId="43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Border="1" applyAlignment="1">
      <alignment horizontal="center" vertical="center" wrapText="1"/>
    </xf>
    <xf numFmtId="4" fontId="44" fillId="0" borderId="22" xfId="0" applyNumberFormat="1" applyFont="1" applyBorder="1" applyAlignment="1">
      <alignment horizontal="center" vertical="center" wrapText="1"/>
    </xf>
    <xf numFmtId="4" fontId="45" fillId="0" borderId="22" xfId="0" applyNumberFormat="1" applyFont="1" applyBorder="1" applyAlignment="1">
      <alignment horizontal="center" vertical="center"/>
    </xf>
    <xf numFmtId="4" fontId="44" fillId="0" borderId="22" xfId="0" applyNumberFormat="1" applyFont="1" applyFill="1" applyBorder="1" applyAlignment="1">
      <alignment horizontal="center" vertical="center" wrapText="1"/>
    </xf>
    <xf numFmtId="49" fontId="140" fillId="0" borderId="22" xfId="0" applyNumberFormat="1" applyFont="1" applyFill="1" applyBorder="1" applyAlignment="1">
      <alignment horizontal="center" vertical="center" wrapText="1"/>
    </xf>
    <xf numFmtId="0" fontId="110" fillId="0" borderId="0" xfId="0" applyFont="1"/>
    <xf numFmtId="49" fontId="158" fillId="33" borderId="22" xfId="0" applyNumberFormat="1" applyFont="1" applyFill="1" applyBorder="1" applyAlignment="1">
      <alignment horizontal="center" vertical="center" wrapText="1"/>
    </xf>
    <xf numFmtId="0" fontId="158" fillId="33" borderId="22" xfId="45" applyFont="1" applyFill="1" applyBorder="1" applyAlignment="1">
      <alignment horizontal="center" vertical="center" wrapText="1"/>
    </xf>
    <xf numFmtId="164" fontId="33" fillId="33" borderId="22" xfId="30" applyNumberFormat="1" applyFont="1" applyFill="1" applyBorder="1" applyAlignment="1">
      <alignment horizontal="center" vertical="center"/>
    </xf>
    <xf numFmtId="4" fontId="33" fillId="33" borderId="22" xfId="30" applyNumberFormat="1" applyFont="1" applyFill="1" applyBorder="1" applyAlignment="1">
      <alignment horizontal="center" vertical="center"/>
    </xf>
    <xf numFmtId="9" fontId="33" fillId="33" borderId="22" xfId="30" applyNumberFormat="1" applyFont="1" applyFill="1" applyBorder="1" applyAlignment="1">
      <alignment horizontal="center" vertical="center"/>
    </xf>
    <xf numFmtId="4" fontId="158" fillId="33" borderId="22" xfId="30" applyNumberFormat="1" applyFont="1" applyFill="1" applyBorder="1" applyAlignment="1">
      <alignment horizontal="center" vertical="center"/>
    </xf>
    <xf numFmtId="0" fontId="0" fillId="0" borderId="0" xfId="0"/>
    <xf numFmtId="4" fontId="43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Border="1" applyAlignment="1">
      <alignment horizontal="center" vertical="center" wrapText="1"/>
    </xf>
    <xf numFmtId="4" fontId="44" fillId="0" borderId="22" xfId="0" applyNumberFormat="1" applyFont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4" fontId="45" fillId="0" borderId="22" xfId="0" applyNumberFormat="1" applyFont="1" applyBorder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 wrapText="1"/>
    </xf>
    <xf numFmtId="4" fontId="44" fillId="0" borderId="22" xfId="0" applyNumberFormat="1" applyFont="1" applyFill="1" applyBorder="1" applyAlignment="1">
      <alignment horizontal="center" vertical="center" wrapText="1"/>
    </xf>
    <xf numFmtId="49" fontId="140" fillId="0" borderId="22" xfId="0" applyNumberFormat="1" applyFont="1" applyFill="1" applyBorder="1" applyAlignment="1">
      <alignment horizontal="center" vertical="center" wrapText="1"/>
    </xf>
    <xf numFmtId="4" fontId="43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22" xfId="38" applyNumberFormat="1" applyFont="1" applyFill="1" applyBorder="1" applyAlignment="1">
      <alignment horizontal="center" vertical="center" wrapText="1"/>
    </xf>
    <xf numFmtId="4" fontId="43" fillId="0" borderId="23" xfId="0" applyNumberFormat="1" applyFont="1" applyBorder="1" applyAlignment="1">
      <alignment horizontal="center" vertical="center" wrapText="1"/>
    </xf>
    <xf numFmtId="0" fontId="110" fillId="0" borderId="0" xfId="0" applyFont="1"/>
    <xf numFmtId="49" fontId="156" fillId="0" borderId="0" xfId="0" applyNumberFormat="1" applyFont="1" applyFill="1" applyBorder="1" applyAlignment="1">
      <alignment horizontal="center" wrapText="1"/>
    </xf>
    <xf numFmtId="49" fontId="156" fillId="0" borderId="24" xfId="0" applyNumberFormat="1" applyFont="1" applyFill="1" applyBorder="1" applyAlignment="1">
      <alignment horizontal="center" vertical="top" wrapText="1"/>
    </xf>
    <xf numFmtId="4" fontId="43" fillId="0" borderId="0" xfId="30" applyNumberFormat="1" applyFont="1" applyBorder="1" applyAlignment="1">
      <alignment horizontal="center" vertical="center" wrapText="1"/>
    </xf>
    <xf numFmtId="0" fontId="0" fillId="0" borderId="0" xfId="0"/>
    <xf numFmtId="4" fontId="43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Border="1" applyAlignment="1">
      <alignment horizontal="center" vertical="center" wrapText="1"/>
    </xf>
    <xf numFmtId="4" fontId="42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Fill="1" applyBorder="1" applyAlignment="1">
      <alignment horizontal="center" vertical="center" wrapText="1"/>
    </xf>
    <xf numFmtId="4" fontId="44" fillId="0" borderId="22" xfId="0" applyNumberFormat="1" applyFont="1" applyFill="1" applyBorder="1" applyAlignment="1">
      <alignment horizontal="center" vertical="center" wrapText="1"/>
    </xf>
    <xf numFmtId="4" fontId="43" fillId="0" borderId="22" xfId="0" applyNumberFormat="1" applyFont="1" applyFill="1" applyBorder="1" applyAlignment="1">
      <alignment horizontal="center" vertical="center" wrapText="1"/>
    </xf>
    <xf numFmtId="4" fontId="43" fillId="0" borderId="22" xfId="38" applyNumberFormat="1" applyFont="1" applyFill="1" applyBorder="1" applyAlignment="1" applyProtection="1">
      <alignment horizontal="center" vertical="center" wrapText="1"/>
      <protection locked="0"/>
    </xf>
    <xf numFmtId="49" fontId="140" fillId="0" borderId="22" xfId="0" applyNumberFormat="1" applyFont="1" applyBorder="1" applyAlignment="1">
      <alignment horizontal="center" vertical="center" wrapText="1"/>
    </xf>
    <xf numFmtId="0" fontId="110" fillId="0" borderId="0" xfId="0" applyFont="1"/>
    <xf numFmtId="4" fontId="33" fillId="0" borderId="0" xfId="0" applyNumberFormat="1" applyFont="1" applyBorder="1" applyAlignment="1">
      <alignment horizontal="center" vertical="center" wrapText="1"/>
    </xf>
    <xf numFmtId="49" fontId="43" fillId="36" borderId="27" xfId="0" applyNumberFormat="1" applyFont="1" applyFill="1" applyBorder="1" applyAlignment="1">
      <alignment horizontal="center" vertical="center" wrapText="1"/>
    </xf>
    <xf numFmtId="4" fontId="43" fillId="36" borderId="27" xfId="0" applyNumberFormat="1" applyFont="1" applyFill="1" applyBorder="1" applyAlignment="1">
      <alignment horizontal="center" vertical="center" wrapText="1"/>
    </xf>
    <xf numFmtId="49" fontId="43" fillId="36" borderId="27" xfId="0" applyNumberFormat="1" applyFont="1" applyFill="1" applyBorder="1" applyAlignment="1">
      <alignment horizontal="left" vertical="center" wrapText="1"/>
    </xf>
    <xf numFmtId="4" fontId="151" fillId="0" borderId="22" xfId="0" applyNumberFormat="1" applyFont="1" applyBorder="1" applyAlignment="1">
      <alignment horizontal="center" vertical="center"/>
    </xf>
    <xf numFmtId="4" fontId="151" fillId="0" borderId="22" xfId="0" applyNumberFormat="1" applyFont="1" applyBorder="1" applyAlignment="1">
      <alignment horizontal="center" vertical="center" wrapText="1"/>
    </xf>
    <xf numFmtId="49" fontId="128" fillId="0" borderId="22" xfId="0" applyNumberFormat="1" applyFont="1" applyBorder="1" applyAlignment="1">
      <alignment horizontal="center" vertical="center" wrapText="1"/>
    </xf>
    <xf numFmtId="49" fontId="152" fillId="0" borderId="22" xfId="0" applyNumberFormat="1" applyFont="1" applyBorder="1" applyAlignment="1">
      <alignment horizontal="center" vertical="center" wrapText="1"/>
    </xf>
    <xf numFmtId="49" fontId="160" fillId="0" borderId="22" xfId="0" applyNumberFormat="1" applyFont="1" applyBorder="1" applyAlignment="1">
      <alignment horizontal="center" vertical="center" wrapText="1"/>
    </xf>
    <xf numFmtId="49" fontId="160" fillId="0" borderId="23" xfId="0" applyNumberFormat="1" applyFont="1" applyBorder="1" applyAlignment="1">
      <alignment horizontal="center" vertical="center" wrapText="1"/>
    </xf>
    <xf numFmtId="4" fontId="157" fillId="0" borderId="22" xfId="0" applyNumberFormat="1" applyFont="1" applyBorder="1" applyAlignment="1">
      <alignment horizontal="center" vertical="center"/>
    </xf>
    <xf numFmtId="49" fontId="156" fillId="0" borderId="22" xfId="0" applyNumberFormat="1" applyFont="1" applyBorder="1" applyAlignment="1">
      <alignment horizontal="center" vertical="center"/>
    </xf>
    <xf numFmtId="4" fontId="166" fillId="0" borderId="22" xfId="0" applyNumberFormat="1" applyFont="1" applyBorder="1" applyAlignment="1">
      <alignment horizontal="center" vertical="center" wrapText="1"/>
    </xf>
    <xf numFmtId="0" fontId="119" fillId="0" borderId="22" xfId="0" applyFont="1" applyBorder="1" applyAlignment="1">
      <alignment horizontal="center" vertical="center" wrapText="1"/>
    </xf>
    <xf numFmtId="4" fontId="141" fillId="0" borderId="22" xfId="0" applyNumberFormat="1" applyFont="1" applyBorder="1" applyAlignment="1">
      <alignment horizontal="center" vertical="center"/>
    </xf>
    <xf numFmtId="0" fontId="0" fillId="0" borderId="0" xfId="0"/>
    <xf numFmtId="4" fontId="43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Border="1" applyAlignment="1">
      <alignment horizontal="center" vertical="center" wrapText="1"/>
    </xf>
    <xf numFmtId="0" fontId="16" fillId="0" borderId="0" xfId="35" applyFont="1" applyAlignment="1">
      <alignment horizontal="center" vertical="center" wrapText="1"/>
    </xf>
    <xf numFmtId="0" fontId="33" fillId="0" borderId="0" xfId="35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47" fillId="0" borderId="0" xfId="35" applyFont="1" applyAlignment="1">
      <alignment horizontal="center" vertical="center" wrapText="1"/>
    </xf>
    <xf numFmtId="4" fontId="43" fillId="0" borderId="22" xfId="38" applyNumberFormat="1" applyFont="1" applyFill="1" applyBorder="1" applyAlignment="1" applyProtection="1">
      <alignment horizontal="center" vertical="center" wrapText="1"/>
      <protection locked="0"/>
    </xf>
    <xf numFmtId="0" fontId="110" fillId="0" borderId="0" xfId="0" applyFont="1"/>
    <xf numFmtId="0" fontId="88" fillId="0" borderId="0" xfId="0" applyFont="1" applyAlignment="1">
      <alignment horizontal="right" vertical="center"/>
    </xf>
    <xf numFmtId="0" fontId="10" fillId="0" borderId="0" xfId="35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6" borderId="0" xfId="35" applyFont="1" applyFill="1"/>
    <xf numFmtId="4" fontId="10" fillId="0" borderId="0" xfId="35" applyNumberFormat="1" applyFont="1"/>
    <xf numFmtId="0" fontId="10" fillId="0" borderId="0" xfId="35" applyFont="1" applyAlignment="1">
      <alignment horizontal="left" vertical="center"/>
    </xf>
    <xf numFmtId="4" fontId="10" fillId="0" borderId="0" xfId="35" applyNumberFormat="1" applyFont="1" applyAlignment="1">
      <alignment horizontal="left" vertical="center"/>
    </xf>
    <xf numFmtId="164" fontId="33" fillId="0" borderId="0" xfId="30" applyNumberFormat="1" applyFont="1" applyAlignment="1">
      <alignment horizontal="center" vertical="center" wrapText="1"/>
    </xf>
    <xf numFmtId="4" fontId="92" fillId="0" borderId="0" xfId="35" applyNumberFormat="1" applyFont="1"/>
    <xf numFmtId="0" fontId="171" fillId="0" borderId="0" xfId="35" applyFont="1" applyAlignment="1">
      <alignment vertical="center"/>
    </xf>
    <xf numFmtId="4" fontId="14" fillId="0" borderId="0" xfId="35" applyNumberFormat="1" applyFont="1" applyAlignment="1">
      <alignment horizontal="center" vertical="center"/>
    </xf>
    <xf numFmtId="0" fontId="10" fillId="27" borderId="0" xfId="35" applyFont="1" applyFill="1"/>
    <xf numFmtId="0" fontId="10" fillId="0" borderId="0" xfId="35" applyFont="1" applyFill="1" applyAlignment="1">
      <alignment horizontal="center" vertical="center"/>
    </xf>
    <xf numFmtId="0" fontId="10" fillId="31" borderId="0" xfId="35" applyFont="1" applyFill="1" applyAlignment="1">
      <alignment horizontal="center" vertical="center"/>
    </xf>
    <xf numFmtId="0" fontId="69" fillId="0" borderId="0" xfId="39" applyFont="1" applyAlignment="1">
      <alignment vertical="center"/>
    </xf>
    <xf numFmtId="0" fontId="69" fillId="0" borderId="0" xfId="39" applyFont="1" applyFill="1" applyAlignment="1">
      <alignment vertical="center"/>
    </xf>
    <xf numFmtId="0" fontId="69" fillId="0" borderId="0" xfId="0" applyFont="1" applyFill="1" applyAlignment="1">
      <alignment vertical="center"/>
    </xf>
    <xf numFmtId="0" fontId="0" fillId="0" borderId="0" xfId="0"/>
    <xf numFmtId="4" fontId="43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Border="1" applyAlignment="1">
      <alignment horizontal="center" vertical="center" wrapText="1"/>
    </xf>
    <xf numFmtId="4" fontId="44" fillId="0" borderId="22" xfId="0" applyNumberFormat="1" applyFont="1" applyBorder="1" applyAlignment="1">
      <alignment horizontal="center" vertical="center" wrapText="1"/>
    </xf>
    <xf numFmtId="4" fontId="45" fillId="0" borderId="22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2" fillId="0" borderId="22" xfId="0" applyFont="1" applyBorder="1" applyAlignment="1">
      <alignment horizontal="center" vertical="top" wrapText="1"/>
    </xf>
    <xf numFmtId="0" fontId="84" fillId="0" borderId="0" xfId="0" applyFont="1" applyAlignment="1">
      <alignment horizontal="left" vertical="center"/>
    </xf>
    <xf numFmtId="0" fontId="86" fillId="0" borderId="0" xfId="0" applyFont="1" applyAlignment="1">
      <alignment horizontal="left" vertical="center"/>
    </xf>
    <xf numFmtId="49" fontId="140" fillId="0" borderId="22" xfId="0" applyNumberFormat="1" applyFont="1" applyBorder="1" applyAlignment="1">
      <alignment horizontal="center" vertical="center" wrapText="1"/>
    </xf>
    <xf numFmtId="0" fontId="110" fillId="0" borderId="0" xfId="0" applyFont="1"/>
    <xf numFmtId="4" fontId="144" fillId="0" borderId="22" xfId="0" applyNumberFormat="1" applyFont="1" applyBorder="1" applyAlignment="1">
      <alignment horizontal="center" vertical="center" wrapText="1"/>
    </xf>
    <xf numFmtId="49" fontId="156" fillId="0" borderId="0" xfId="0" applyNumberFormat="1" applyFont="1" applyAlignment="1">
      <alignment horizontal="center" wrapText="1"/>
    </xf>
    <xf numFmtId="49" fontId="156" fillId="0" borderId="24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55" fillId="0" borderId="0" xfId="39" applyFont="1" applyAlignment="1">
      <alignment horizontal="center" vertical="center"/>
    </xf>
    <xf numFmtId="0" fontId="15" fillId="0" borderId="7" xfId="39" applyFont="1" applyBorder="1" applyAlignment="1">
      <alignment horizontal="center" vertical="center" wrapText="1"/>
    </xf>
    <xf numFmtId="0" fontId="43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wrapText="1"/>
    </xf>
    <xf numFmtId="0" fontId="64" fillId="0" borderId="0" xfId="0" applyFont="1" applyAlignment="1">
      <alignment horizontal="center" vertical="center" wrapText="1"/>
    </xf>
    <xf numFmtId="0" fontId="102" fillId="0" borderId="0" xfId="0" applyFont="1" applyAlignment="1">
      <alignment horizontal="center"/>
    </xf>
    <xf numFmtId="0" fontId="10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8" fillId="0" borderId="0" xfId="0" applyFont="1" applyAlignment="1">
      <alignment horizontal="center" vertical="top"/>
    </xf>
    <xf numFmtId="0" fontId="101" fillId="0" borderId="0" xfId="0" applyFont="1" applyAlignment="1">
      <alignment horizontal="center" vertical="top"/>
    </xf>
    <xf numFmtId="0" fontId="57" fillId="0" borderId="7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0" fillId="0" borderId="32" xfId="0" applyBorder="1" applyAlignment="1">
      <alignment wrapText="1"/>
    </xf>
    <xf numFmtId="0" fontId="0" fillId="0" borderId="14" xfId="0" applyBorder="1" applyAlignment="1">
      <alignment wrapText="1"/>
    </xf>
    <xf numFmtId="0" fontId="13" fillId="0" borderId="32" xfId="0" applyFont="1" applyBorder="1" applyAlignment="1">
      <alignment horizontal="left" vertical="center" wrapText="1"/>
    </xf>
    <xf numFmtId="0" fontId="0" fillId="0" borderId="3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84" fillId="0" borderId="0" xfId="0" applyFont="1" applyAlignment="1">
      <alignment horizontal="left" vertical="center"/>
    </xf>
    <xf numFmtId="0" fontId="86" fillId="0" borderId="0" xfId="0" applyFont="1" applyAlignment="1">
      <alignment horizontal="left" vertical="center"/>
    </xf>
    <xf numFmtId="4" fontId="140" fillId="0" borderId="23" xfId="0" applyNumberFormat="1" applyFont="1" applyFill="1" applyBorder="1" applyAlignment="1">
      <alignment horizontal="center" vertical="center" wrapText="1"/>
    </xf>
    <xf numFmtId="4" fontId="140" fillId="0" borderId="24" xfId="0" applyNumberFormat="1" applyFont="1" applyFill="1" applyBorder="1" applyAlignment="1">
      <alignment horizontal="center" vertical="center" wrapText="1"/>
    </xf>
    <xf numFmtId="4" fontId="151" fillId="0" borderId="23" xfId="0" applyNumberFormat="1" applyFont="1" applyFill="1" applyBorder="1" applyAlignment="1">
      <alignment horizontal="center" vertical="center"/>
    </xf>
    <xf numFmtId="4" fontId="151" fillId="0" borderId="24" xfId="0" applyNumberFormat="1" applyFont="1" applyFill="1" applyBorder="1" applyAlignment="1">
      <alignment horizontal="center" vertical="center"/>
    </xf>
    <xf numFmtId="4" fontId="128" fillId="0" borderId="23" xfId="0" applyNumberFormat="1" applyFont="1" applyFill="1" applyBorder="1" applyAlignment="1">
      <alignment horizontal="center" vertical="center" wrapText="1"/>
    </xf>
    <xf numFmtId="4" fontId="128" fillId="0" borderId="24" xfId="0" applyNumberFormat="1" applyFont="1" applyFill="1" applyBorder="1" applyAlignment="1">
      <alignment horizontal="center" vertical="center" wrapText="1"/>
    </xf>
    <xf numFmtId="4" fontId="44" fillId="0" borderId="22" xfId="0" applyNumberFormat="1" applyFont="1" applyFill="1" applyBorder="1" applyAlignment="1">
      <alignment horizontal="center" vertical="center" wrapText="1"/>
    </xf>
    <xf numFmtId="4" fontId="43" fillId="0" borderId="22" xfId="0" applyNumberFormat="1" applyFont="1" applyFill="1" applyBorder="1" applyAlignment="1">
      <alignment horizontal="center" vertical="center" wrapText="1"/>
    </xf>
    <xf numFmtId="49" fontId="140" fillId="0" borderId="22" xfId="0" applyNumberFormat="1" applyFont="1" applyFill="1" applyBorder="1" applyAlignment="1">
      <alignment horizontal="center" vertical="center" wrapText="1"/>
    </xf>
    <xf numFmtId="0" fontId="153" fillId="0" borderId="22" xfId="0" applyFont="1" applyFill="1" applyBorder="1" applyAlignment="1">
      <alignment horizontal="center" vertical="center" wrapText="1"/>
    </xf>
    <xf numFmtId="4" fontId="144" fillId="0" borderId="22" xfId="0" applyNumberFormat="1" applyFont="1" applyFill="1" applyBorder="1" applyAlignment="1">
      <alignment horizontal="center" vertical="center" wrapText="1"/>
    </xf>
    <xf numFmtId="0" fontId="154" fillId="0" borderId="22" xfId="0" applyFont="1" applyFill="1" applyBorder="1" applyAlignment="1">
      <alignment horizontal="center" vertical="center" wrapText="1"/>
    </xf>
    <xf numFmtId="4" fontId="144" fillId="0" borderId="23" xfId="0" applyNumberFormat="1" applyFont="1" applyFill="1" applyBorder="1" applyAlignment="1">
      <alignment horizontal="center" vertical="center" wrapText="1"/>
    </xf>
    <xf numFmtId="4" fontId="144" fillId="0" borderId="24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104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4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42" fillId="0" borderId="22" xfId="0" applyFont="1" applyBorder="1" applyAlignment="1">
      <alignment horizontal="center" vertical="top" wrapText="1"/>
    </xf>
    <xf numFmtId="0" fontId="98" fillId="0" borderId="0" xfId="0" applyFont="1" applyAlignment="1">
      <alignment horizontal="center" vertical="top"/>
    </xf>
    <xf numFmtId="0" fontId="46" fillId="0" borderId="0" xfId="0" applyFont="1" applyAlignment="1">
      <alignment horizontal="center" vertical="top"/>
    </xf>
    <xf numFmtId="0" fontId="13" fillId="0" borderId="22" xfId="0" applyFont="1" applyBorder="1" applyAlignment="1">
      <alignment horizontal="center" vertical="top"/>
    </xf>
    <xf numFmtId="49" fontId="43" fillId="0" borderId="22" xfId="0" applyNumberFormat="1" applyFont="1" applyFill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4" fontId="42" fillId="0" borderId="22" xfId="0" applyNumberFormat="1" applyFont="1" applyFill="1" applyBorder="1" applyAlignment="1">
      <alignment horizontal="center" vertical="center" wrapText="1"/>
    </xf>
    <xf numFmtId="4" fontId="44" fillId="0" borderId="22" xfId="0" applyNumberFormat="1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4" fontId="43" fillId="0" borderId="22" xfId="0" applyNumberFormat="1" applyFont="1" applyBorder="1" applyAlignment="1">
      <alignment horizontal="center" vertical="center" wrapText="1"/>
    </xf>
    <xf numFmtId="4" fontId="0" fillId="0" borderId="22" xfId="0" applyNumberFormat="1" applyFont="1" applyBorder="1" applyAlignment="1">
      <alignment horizontal="center" vertical="center" wrapText="1"/>
    </xf>
    <xf numFmtId="4" fontId="45" fillId="0" borderId="22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4" fontId="42" fillId="0" borderId="22" xfId="0" applyNumberFormat="1" applyFont="1" applyBorder="1" applyAlignment="1">
      <alignment horizontal="center" vertical="center" wrapText="1"/>
    </xf>
    <xf numFmtId="4" fontId="13" fillId="0" borderId="22" xfId="0" applyNumberFormat="1" applyFont="1" applyBorder="1" applyAlignment="1">
      <alignment horizontal="center" vertical="center" wrapText="1"/>
    </xf>
    <xf numFmtId="4" fontId="157" fillId="0" borderId="23" xfId="0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49" fontId="156" fillId="0" borderId="23" xfId="0" applyNumberFormat="1" applyFont="1" applyFill="1" applyBorder="1" applyAlignment="1">
      <alignment horizontal="center" vertical="center" wrapText="1"/>
    </xf>
    <xf numFmtId="49" fontId="43" fillId="0" borderId="22" xfId="0" applyNumberFormat="1" applyFont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/>
    </xf>
    <xf numFmtId="0" fontId="106" fillId="0" borderId="0" xfId="0" applyFont="1" applyBorder="1" applyAlignment="1">
      <alignment horizontal="center" vertical="center"/>
    </xf>
    <xf numFmtId="0" fontId="106" fillId="0" borderId="0" xfId="0" applyFont="1" applyBorder="1" applyAlignment="1">
      <alignment horizontal="center"/>
    </xf>
    <xf numFmtId="0" fontId="107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65" fillId="0" borderId="0" xfId="35" applyFont="1"/>
    <xf numFmtId="0" fontId="18" fillId="0" borderId="22" xfId="35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/>
    </xf>
    <xf numFmtId="0" fontId="120" fillId="0" borderId="22" xfId="35" applyFont="1" applyBorder="1" applyAlignment="1">
      <alignment horizontal="center" vertical="top" wrapText="1"/>
    </xf>
    <xf numFmtId="0" fontId="16" fillId="0" borderId="0" xfId="35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22" xfId="0" applyFont="1" applyBorder="1" applyAlignment="1">
      <alignment horizontal="center" vertical="top" wrapText="1"/>
    </xf>
    <xf numFmtId="0" fontId="33" fillId="0" borderId="0" xfId="0" applyFont="1"/>
    <xf numFmtId="0" fontId="33" fillId="0" borderId="0" xfId="35" applyFont="1" applyAlignment="1">
      <alignment horizontal="center" vertical="center" wrapText="1"/>
    </xf>
    <xf numFmtId="49" fontId="43" fillId="36" borderId="27" xfId="0" applyNumberFormat="1" applyFont="1" applyFill="1" applyBorder="1" applyAlignment="1">
      <alignment horizontal="center" vertical="center" wrapText="1"/>
    </xf>
    <xf numFmtId="0" fontId="0" fillId="36" borderId="29" xfId="0" applyFont="1" applyFill="1" applyBorder="1" applyAlignment="1">
      <alignment horizontal="center" vertical="center" wrapText="1"/>
    </xf>
    <xf numFmtId="0" fontId="0" fillId="36" borderId="30" xfId="0" applyFont="1" applyFill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9" fontId="43" fillId="0" borderId="27" xfId="0" applyNumberFormat="1" applyFont="1" applyBorder="1" applyAlignment="1">
      <alignment horizontal="center" vertical="center" wrapText="1"/>
    </xf>
    <xf numFmtId="49" fontId="147" fillId="0" borderId="27" xfId="0" applyNumberFormat="1" applyFont="1" applyBorder="1" applyAlignment="1">
      <alignment horizontal="left" vertical="center" wrapText="1"/>
    </xf>
    <xf numFmtId="49" fontId="147" fillId="0" borderId="30" xfId="0" applyNumberFormat="1" applyFont="1" applyBorder="1" applyAlignment="1">
      <alignment horizontal="left" vertical="center" wrapText="1"/>
    </xf>
    <xf numFmtId="0" fontId="149" fillId="0" borderId="30" xfId="0" applyFont="1" applyBorder="1" applyAlignment="1">
      <alignment horizontal="left" vertical="center" wrapText="1"/>
    </xf>
    <xf numFmtId="49" fontId="140" fillId="0" borderId="27" xfId="0" applyNumberFormat="1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49" fontId="43" fillId="36" borderId="27" xfId="0" applyNumberFormat="1" applyFont="1" applyFill="1" applyBorder="1" applyAlignment="1">
      <alignment horizontal="left" vertical="center" wrapText="1"/>
    </xf>
    <xf numFmtId="0" fontId="0" fillId="36" borderId="30" xfId="0" applyFill="1" applyBorder="1" applyAlignment="1">
      <alignment horizontal="left" vertical="center" wrapText="1"/>
    </xf>
    <xf numFmtId="0" fontId="8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4" fillId="0" borderId="0" xfId="35" applyFont="1" applyAlignment="1">
      <alignment horizontal="center" vertical="center"/>
    </xf>
    <xf numFmtId="0" fontId="47" fillId="0" borderId="0" xfId="35" applyFont="1" applyAlignment="1">
      <alignment horizontal="center" vertical="center" wrapText="1"/>
    </xf>
    <xf numFmtId="0" fontId="170" fillId="0" borderId="0" xfId="0" applyFont="1" applyAlignment="1">
      <alignment horizontal="center"/>
    </xf>
    <xf numFmtId="0" fontId="107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43" fillId="0" borderId="23" xfId="0" applyNumberFormat="1" applyFont="1" applyBorder="1" applyAlignment="1">
      <alignment horizontal="center" vertical="center" wrapText="1"/>
    </xf>
    <xf numFmtId="0" fontId="0" fillId="0" borderId="24" xfId="0" applyFont="1" applyBorder="1" applyAlignment="1"/>
    <xf numFmtId="0" fontId="46" fillId="0" borderId="24" xfId="0" applyFont="1" applyBorder="1" applyAlignment="1">
      <alignment horizontal="center" vertical="center" wrapText="1"/>
    </xf>
    <xf numFmtId="4" fontId="43" fillId="0" borderId="24" xfId="0" applyNumberFormat="1" applyFont="1" applyBorder="1" applyAlignment="1">
      <alignment horizontal="center" vertical="center" wrapText="1"/>
    </xf>
    <xf numFmtId="49" fontId="43" fillId="0" borderId="23" xfId="0" applyNumberFormat="1" applyFont="1" applyBorder="1" applyAlignment="1">
      <alignment horizontal="center" vertical="center" wrapText="1"/>
    </xf>
    <xf numFmtId="49" fontId="43" fillId="0" borderId="24" xfId="0" applyNumberFormat="1" applyFont="1" applyBorder="1" applyAlignment="1">
      <alignment horizontal="center" vertical="center" wrapText="1"/>
    </xf>
    <xf numFmtId="49" fontId="140" fillId="0" borderId="22" xfId="0" applyNumberFormat="1" applyFont="1" applyBorder="1" applyAlignment="1">
      <alignment horizontal="center" vertical="center" wrapText="1"/>
    </xf>
    <xf numFmtId="0" fontId="154" fillId="0" borderId="22" xfId="0" applyFont="1" applyBorder="1" applyAlignment="1">
      <alignment horizontal="center" vertical="center" wrapText="1"/>
    </xf>
    <xf numFmtId="4" fontId="140" fillId="0" borderId="23" xfId="0" applyNumberFormat="1" applyFont="1" applyBorder="1" applyAlignment="1">
      <alignment horizontal="center" vertical="center" wrapText="1"/>
    </xf>
    <xf numFmtId="0" fontId="154" fillId="0" borderId="24" xfId="0" applyFont="1" applyBorder="1" applyAlignment="1">
      <alignment horizontal="center" vertical="center" wrapText="1"/>
    </xf>
    <xf numFmtId="4" fontId="141" fillId="27" borderId="31" xfId="0" applyNumberFormat="1" applyFont="1" applyFill="1" applyBorder="1" applyAlignment="1">
      <alignment horizontal="center" vertical="center" wrapText="1"/>
    </xf>
    <xf numFmtId="0" fontId="0" fillId="0" borderId="31" xfId="0" applyBorder="1" applyAlignment="1"/>
    <xf numFmtId="49" fontId="43" fillId="0" borderId="25" xfId="0" applyNumberFormat="1" applyFont="1" applyBorder="1" applyAlignment="1">
      <alignment horizontal="center" vertical="center" wrapText="1"/>
    </xf>
    <xf numFmtId="4" fontId="46" fillId="0" borderId="22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4" fontId="43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22" xfId="38" applyNumberFormat="1" applyFont="1" applyFill="1" applyBorder="1" applyAlignment="1">
      <alignment horizontal="center" vertical="center" wrapText="1"/>
    </xf>
    <xf numFmtId="2" fontId="69" fillId="0" borderId="22" xfId="36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/>
    </xf>
    <xf numFmtId="0" fontId="67" fillId="0" borderId="0" xfId="0" applyFont="1" applyAlignment="1">
      <alignment horizontal="center" vertical="center"/>
    </xf>
    <xf numFmtId="0" fontId="67" fillId="0" borderId="0" xfId="36" applyFont="1" applyAlignment="1">
      <alignment horizontal="center" vertical="center"/>
    </xf>
    <xf numFmtId="0" fontId="134" fillId="0" borderId="0" xfId="36" applyFont="1">
      <alignment vertical="top"/>
    </xf>
    <xf numFmtId="0" fontId="110" fillId="0" borderId="0" xfId="0" applyFont="1"/>
    <xf numFmtId="0" fontId="14" fillId="0" borderId="0" xfId="36" applyFont="1" applyAlignment="1">
      <alignment horizontal="center" vertical="center" wrapText="1"/>
    </xf>
    <xf numFmtId="0" fontId="17" fillId="0" borderId="0" xfId="36" applyFont="1" applyAlignment="1">
      <alignment horizontal="left" vertical="top" wrapText="1"/>
    </xf>
    <xf numFmtId="2" fontId="67" fillId="0" borderId="22" xfId="36" applyNumberFormat="1" applyFont="1" applyFill="1" applyBorder="1" applyAlignment="1">
      <alignment horizontal="center" vertical="center" wrapText="1"/>
    </xf>
    <xf numFmtId="2" fontId="69" fillId="0" borderId="26" xfId="36" applyNumberFormat="1" applyFont="1" applyFill="1" applyBorder="1" applyAlignment="1">
      <alignment horizontal="center" vertical="top" wrapText="1"/>
    </xf>
    <xf numFmtId="0" fontId="8" fillId="0" borderId="24" xfId="0" applyFont="1" applyFill="1" applyBorder="1" applyAlignment="1">
      <alignment horizontal="center" vertical="top"/>
    </xf>
    <xf numFmtId="2" fontId="67" fillId="29" borderId="22" xfId="36" applyNumberFormat="1" applyFont="1" applyFill="1" applyBorder="1" applyAlignment="1">
      <alignment horizontal="left" vertical="center" wrapText="1"/>
    </xf>
    <xf numFmtId="0" fontId="0" fillId="29" borderId="22" xfId="0" applyFont="1" applyFill="1" applyBorder="1" applyAlignment="1">
      <alignment horizontal="left"/>
    </xf>
    <xf numFmtId="2" fontId="69" fillId="0" borderId="0" xfId="36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2" fontId="14" fillId="0" borderId="22" xfId="36" applyNumberFormat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4" fontId="14" fillId="0" borderId="22" xfId="36" applyNumberFormat="1" applyFont="1" applyFill="1" applyBorder="1" applyAlignment="1">
      <alignment horizontal="center" vertical="center" wrapText="1"/>
    </xf>
    <xf numFmtId="4" fontId="8" fillId="0" borderId="22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2" fontId="15" fillId="0" borderId="22" xfId="36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2" fontId="67" fillId="0" borderId="22" xfId="36" applyNumberFormat="1" applyFont="1" applyBorder="1" applyAlignment="1">
      <alignment horizontal="center" vertical="center"/>
    </xf>
    <xf numFmtId="0" fontId="0" fillId="29" borderId="22" xfId="0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68" fillId="0" borderId="0" xfId="0" applyFont="1" applyAlignment="1">
      <alignment horizontal="left" vertical="center"/>
    </xf>
    <xf numFmtId="0" fontId="67" fillId="0" borderId="0" xfId="36" applyFont="1" applyAlignment="1">
      <alignment horizontal="center"/>
    </xf>
    <xf numFmtId="0" fontId="67" fillId="0" borderId="0" xfId="0" applyFont="1" applyAlignment="1">
      <alignment horizontal="center"/>
    </xf>
    <xf numFmtId="0" fontId="67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88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36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06" fillId="0" borderId="0" xfId="0" applyFont="1" applyAlignment="1">
      <alignment horizontal="center"/>
    </xf>
    <xf numFmtId="0" fontId="4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Border="1" applyAlignment="1">
      <alignment horizontal="center" vertical="top"/>
    </xf>
    <xf numFmtId="4" fontId="140" fillId="0" borderId="24" xfId="0" applyNumberFormat="1" applyFont="1" applyBorder="1" applyAlignment="1">
      <alignment horizontal="center" vertical="center" wrapText="1"/>
    </xf>
    <xf numFmtId="4" fontId="151" fillId="0" borderId="23" xfId="0" applyNumberFormat="1" applyFont="1" applyBorder="1" applyAlignment="1">
      <alignment horizontal="center" vertical="center"/>
    </xf>
    <xf numFmtId="4" fontId="151" fillId="0" borderId="24" xfId="0" applyNumberFormat="1" applyFont="1" applyBorder="1" applyAlignment="1">
      <alignment horizontal="center" vertical="center"/>
    </xf>
    <xf numFmtId="4" fontId="128" fillId="0" borderId="23" xfId="0" applyNumberFormat="1" applyFont="1" applyBorder="1" applyAlignment="1">
      <alignment horizontal="center" vertical="center" wrapText="1"/>
    </xf>
    <xf numFmtId="4" fontId="128" fillId="0" borderId="24" xfId="0" applyNumberFormat="1" applyFont="1" applyBorder="1" applyAlignment="1">
      <alignment horizontal="center" vertical="center" wrapText="1"/>
    </xf>
    <xf numFmtId="0" fontId="153" fillId="0" borderId="22" xfId="0" applyFont="1" applyBorder="1" applyAlignment="1">
      <alignment horizontal="center" vertical="center" wrapText="1"/>
    </xf>
    <xf numFmtId="4" fontId="144" fillId="0" borderId="22" xfId="0" applyNumberFormat="1" applyFont="1" applyBorder="1" applyAlignment="1">
      <alignment horizontal="center" vertical="center" wrapText="1"/>
    </xf>
    <xf numFmtId="4" fontId="144" fillId="0" borderId="23" xfId="0" applyNumberFormat="1" applyFont="1" applyBorder="1" applyAlignment="1">
      <alignment horizontal="center" vertical="center" wrapText="1"/>
    </xf>
    <xf numFmtId="4" fontId="144" fillId="0" borderId="24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" fontId="0" fillId="0" borderId="22" xfId="0" applyNumberFormat="1" applyBorder="1" applyAlignment="1">
      <alignment horizontal="center" vertical="center" wrapText="1"/>
    </xf>
    <xf numFmtId="4" fontId="157" fillId="0" borderId="23" xfId="0" applyNumberFormat="1" applyFont="1" applyBorder="1" applyAlignment="1">
      <alignment horizontal="center" vertical="center" wrapText="1"/>
    </xf>
    <xf numFmtId="49" fontId="156" fillId="0" borderId="23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4" fontId="45" fillId="0" borderId="23" xfId="0" applyNumberFormat="1" applyFont="1" applyBorder="1" applyAlignment="1">
      <alignment horizontal="center" vertical="center" wrapText="1"/>
    </xf>
  </cellXfs>
  <cellStyles count="102">
    <cellStyle name="20% - Акцент1" xfId="46" xr:uid="{00000000-0005-0000-0000-000000000000}"/>
    <cellStyle name="20% - Акцент2" xfId="47" xr:uid="{00000000-0005-0000-0000-000001000000}"/>
    <cellStyle name="20% - Акцент3" xfId="48" xr:uid="{00000000-0005-0000-0000-000002000000}"/>
    <cellStyle name="20% - Акцент4" xfId="49" xr:uid="{00000000-0005-0000-0000-000003000000}"/>
    <cellStyle name="20% - Акцент5" xfId="50" xr:uid="{00000000-0005-0000-0000-000004000000}"/>
    <cellStyle name="20% - Акцент6" xfId="51" xr:uid="{00000000-0005-0000-0000-000005000000}"/>
    <cellStyle name="40% - Акцент1" xfId="52" xr:uid="{00000000-0005-0000-0000-000006000000}"/>
    <cellStyle name="40% - Акцент2" xfId="53" xr:uid="{00000000-0005-0000-0000-000007000000}"/>
    <cellStyle name="40% - Акцент3" xfId="54" xr:uid="{00000000-0005-0000-0000-000008000000}"/>
    <cellStyle name="40% - Акцент4" xfId="55" xr:uid="{00000000-0005-0000-0000-000009000000}"/>
    <cellStyle name="40% - Акцент5" xfId="56" xr:uid="{00000000-0005-0000-0000-00000A000000}"/>
    <cellStyle name="40% - Акцент6" xfId="57" xr:uid="{00000000-0005-0000-0000-00000B000000}"/>
    <cellStyle name="60% - Акцент1" xfId="58" xr:uid="{00000000-0005-0000-0000-00000C000000}"/>
    <cellStyle name="60% - Акцент2" xfId="59" xr:uid="{00000000-0005-0000-0000-00000D000000}"/>
    <cellStyle name="60% - Акцент3" xfId="60" xr:uid="{00000000-0005-0000-0000-00000E000000}"/>
    <cellStyle name="60% - Акцент4" xfId="61" xr:uid="{00000000-0005-0000-0000-00000F000000}"/>
    <cellStyle name="60% - Акцент5" xfId="62" xr:uid="{00000000-0005-0000-0000-000010000000}"/>
    <cellStyle name="60% - Акцент6" xfId="63" xr:uid="{00000000-0005-0000-0000-000011000000}"/>
    <cellStyle name="Excel Built-in Обычный_УКБ до бюджету 2016р ост" xfId="84" xr:uid="{00000000-0005-0000-0000-000012000000}"/>
    <cellStyle name="Normal_meresha_07" xfId="1" xr:uid="{00000000-0005-0000-0000-000013000000}"/>
    <cellStyle name="Акцент1" xfId="64" xr:uid="{00000000-0005-0000-0000-000014000000}"/>
    <cellStyle name="Акцент2" xfId="65" xr:uid="{00000000-0005-0000-0000-000015000000}"/>
    <cellStyle name="Акцент3" xfId="66" xr:uid="{00000000-0005-0000-0000-000016000000}"/>
    <cellStyle name="Акцент4" xfId="67" xr:uid="{00000000-0005-0000-0000-000017000000}"/>
    <cellStyle name="Акцент5" xfId="68" xr:uid="{00000000-0005-0000-0000-000018000000}"/>
    <cellStyle name="Акцент6" xfId="69" xr:uid="{00000000-0005-0000-0000-000019000000}"/>
    <cellStyle name="Ввід" xfId="2" xr:uid="{00000000-0005-0000-0000-00001A000000}"/>
    <cellStyle name="Ввод " xfId="70" xr:uid="{00000000-0005-0000-0000-00001B000000}"/>
    <cellStyle name="Вывод" xfId="71" xr:uid="{00000000-0005-0000-0000-00001C000000}"/>
    <cellStyle name="Вычисление" xfId="72" xr:uid="{00000000-0005-0000-0000-00001D000000}"/>
    <cellStyle name="Гіперпосилання 2" xfId="73" xr:uid="{00000000-0005-0000-0000-00001E000000}"/>
    <cellStyle name="Добре" xfId="3" xr:uid="{00000000-0005-0000-0000-00001F000000}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Звичайний" xfId="0" builtinId="0"/>
    <cellStyle name="Звичайний 10" xfId="8" xr:uid="{00000000-0005-0000-0000-000025000000}"/>
    <cellStyle name="Звичайний 11" xfId="9" xr:uid="{00000000-0005-0000-0000-000026000000}"/>
    <cellStyle name="Звичайний 12" xfId="10" xr:uid="{00000000-0005-0000-0000-000027000000}"/>
    <cellStyle name="Звичайний 13" xfId="11" xr:uid="{00000000-0005-0000-0000-000028000000}"/>
    <cellStyle name="Звичайний 14" xfId="12" xr:uid="{00000000-0005-0000-0000-000029000000}"/>
    <cellStyle name="Звичайний 15" xfId="13" xr:uid="{00000000-0005-0000-0000-00002A000000}"/>
    <cellStyle name="Звичайний 16" xfId="14" xr:uid="{00000000-0005-0000-0000-00002B000000}"/>
    <cellStyle name="Звичайний 17" xfId="15" xr:uid="{00000000-0005-0000-0000-00002C000000}"/>
    <cellStyle name="Звичайний 18" xfId="16" xr:uid="{00000000-0005-0000-0000-00002D000000}"/>
    <cellStyle name="Звичайний 19" xfId="17" xr:uid="{00000000-0005-0000-0000-00002E000000}"/>
    <cellStyle name="Звичайний 2" xfId="18" xr:uid="{00000000-0005-0000-0000-00002F000000}"/>
    <cellStyle name="Звичайний 2 2" xfId="19" xr:uid="{00000000-0005-0000-0000-000030000000}"/>
    <cellStyle name="Звичайний 2 2 2" xfId="88" xr:uid="{00000000-0005-0000-0000-000031000000}"/>
    <cellStyle name="Звичайний 2 3" xfId="94" xr:uid="{00000000-0005-0000-0000-000032000000}"/>
    <cellStyle name="Звичайний 20" xfId="20" xr:uid="{00000000-0005-0000-0000-000033000000}"/>
    <cellStyle name="Звичайний 21" xfId="86" xr:uid="{00000000-0005-0000-0000-000034000000}"/>
    <cellStyle name="Звичайний 21 2" xfId="93" xr:uid="{00000000-0005-0000-0000-000035000000}"/>
    <cellStyle name="Звичайний 21 2 2" xfId="96" xr:uid="{00000000-0005-0000-0000-000036000000}"/>
    <cellStyle name="Звичайний 21 2 3" xfId="98" xr:uid="{00000000-0005-0000-0000-000037000000}"/>
    <cellStyle name="Звичайний 21 2 3 2" xfId="100" xr:uid="{00000000-0005-0000-0000-000038000000}"/>
    <cellStyle name="Звичайний 27 3 2" xfId="87" xr:uid="{00000000-0005-0000-0000-000039000000}"/>
    <cellStyle name="Звичайний 3" xfId="21" xr:uid="{00000000-0005-0000-0000-00003A000000}"/>
    <cellStyle name="Звичайний 3 2" xfId="22" xr:uid="{00000000-0005-0000-0000-00003B000000}"/>
    <cellStyle name="Звичайний 3 2 2" xfId="89" xr:uid="{00000000-0005-0000-0000-00003C000000}"/>
    <cellStyle name="Звичайний 30 2" xfId="95" xr:uid="{00000000-0005-0000-0000-00003D000000}"/>
    <cellStyle name="Звичайний 30 2 2" xfId="97" xr:uid="{00000000-0005-0000-0000-00003E000000}"/>
    <cellStyle name="Звичайний 30 2 3" xfId="99" xr:uid="{00000000-0005-0000-0000-00003F000000}"/>
    <cellStyle name="Звичайний 30 2 3 2" xfId="101" xr:uid="{00000000-0005-0000-0000-000040000000}"/>
    <cellStyle name="Звичайний 4" xfId="23" xr:uid="{00000000-0005-0000-0000-000041000000}"/>
    <cellStyle name="Звичайний 4 2" xfId="24" xr:uid="{00000000-0005-0000-0000-000042000000}"/>
    <cellStyle name="Звичайний 4 2 2" xfId="90" xr:uid="{00000000-0005-0000-0000-000043000000}"/>
    <cellStyle name="Звичайний 5" xfId="25" xr:uid="{00000000-0005-0000-0000-000044000000}"/>
    <cellStyle name="Звичайний 6" xfId="26" xr:uid="{00000000-0005-0000-0000-000045000000}"/>
    <cellStyle name="Звичайний 7" xfId="27" xr:uid="{00000000-0005-0000-0000-000046000000}"/>
    <cellStyle name="Звичайний 8" xfId="28" xr:uid="{00000000-0005-0000-0000-000047000000}"/>
    <cellStyle name="Звичайний 9" xfId="29" xr:uid="{00000000-0005-0000-0000-000048000000}"/>
    <cellStyle name="Звичайний_Додаток _ 3 зм_ни 4575" xfId="30" xr:uid="{00000000-0005-0000-0000-000049000000}"/>
    <cellStyle name="Зв'язана клітинка" xfId="41" xr:uid="{00000000-0005-0000-0000-00004A000000}"/>
    <cellStyle name="Итог" xfId="74" xr:uid="{00000000-0005-0000-0000-00004B000000}"/>
    <cellStyle name="Контрольна клітинка" xfId="31" xr:uid="{00000000-0005-0000-0000-00004C000000}"/>
    <cellStyle name="Контрольная ячейка" xfId="75" xr:uid="{00000000-0005-0000-0000-00004D000000}"/>
    <cellStyle name="Назва" xfId="32" xr:uid="{00000000-0005-0000-0000-00004E000000}"/>
    <cellStyle name="Название" xfId="76" xr:uid="{00000000-0005-0000-0000-00004F000000}"/>
    <cellStyle name="Нейтральный" xfId="77" xr:uid="{00000000-0005-0000-0000-000050000000}"/>
    <cellStyle name="Обычный 2" xfId="33" xr:uid="{00000000-0005-0000-0000-000051000000}"/>
    <cellStyle name="Обычный 2 2" xfId="34" xr:uid="{00000000-0005-0000-0000-000052000000}"/>
    <cellStyle name="Обычный 2 2 2" xfId="91" xr:uid="{00000000-0005-0000-0000-000053000000}"/>
    <cellStyle name="Обычный 3" xfId="35" xr:uid="{00000000-0005-0000-0000-000054000000}"/>
    <cellStyle name="Обычный 4 3" xfId="85" xr:uid="{00000000-0005-0000-0000-000055000000}"/>
    <cellStyle name="Обычный_Plan_kapbud_2006 уточн." xfId="36" xr:uid="{00000000-0005-0000-0000-000056000000}"/>
    <cellStyle name="Обычный_дод.1" xfId="37" xr:uid="{00000000-0005-0000-0000-000057000000}"/>
    <cellStyle name="Обычный_Додаток 2 до бюджету 2000 року" xfId="38" xr:uid="{00000000-0005-0000-0000-000058000000}"/>
    <cellStyle name="Обычный_Додаток №1" xfId="39" xr:uid="{00000000-0005-0000-0000-000059000000}"/>
    <cellStyle name="Обычный_КАПІТАЛЬНІ  ВКЛАДЕННЯ 2015 2 2" xfId="45" xr:uid="{00000000-0005-0000-0000-00005A000000}"/>
    <cellStyle name="Обычный_УЖКГ бюджет 2016 Після Ямчука 2" xfId="40" xr:uid="{00000000-0005-0000-0000-00005B000000}"/>
    <cellStyle name="Обычный_УКБ до бюджету 2016р ост 2" xfId="92" xr:uid="{00000000-0005-0000-0000-00005C000000}"/>
    <cellStyle name="Плохой" xfId="78" xr:uid="{00000000-0005-0000-0000-00005D000000}"/>
    <cellStyle name="Пояснение" xfId="79" xr:uid="{00000000-0005-0000-0000-00005E000000}"/>
    <cellStyle name="Примечание" xfId="80" xr:uid="{00000000-0005-0000-0000-00005F000000}"/>
    <cellStyle name="Связанная ячейка" xfId="81" xr:uid="{00000000-0005-0000-0000-000060000000}"/>
    <cellStyle name="Середній" xfId="42" xr:uid="{00000000-0005-0000-0000-000061000000}"/>
    <cellStyle name="Стиль 1" xfId="43" xr:uid="{00000000-0005-0000-0000-000062000000}"/>
    <cellStyle name="Текст попередження" xfId="44" xr:uid="{00000000-0005-0000-0000-000063000000}"/>
    <cellStyle name="Текст предупреждения" xfId="82" xr:uid="{00000000-0005-0000-0000-000064000000}"/>
    <cellStyle name="Хороший" xfId="83" xr:uid="{00000000-0005-0000-0000-000065000000}"/>
  </cellStyles>
  <dxfs count="0"/>
  <tableStyles count="0" defaultTableStyle="TableStyleMedium2" defaultPivotStyle="PivotStyleLight16"/>
  <colors>
    <mruColors>
      <color rgb="FFFFFFCC"/>
      <color rgb="FF99FF99"/>
      <color rgb="FFFFFF99"/>
      <color rgb="FF000099"/>
      <color rgb="FF3366CC"/>
      <color rgb="FF66FFFF"/>
      <color rgb="FF66FF99"/>
      <color rgb="FF66FFCC"/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6"/>
  <sheetViews>
    <sheetView showZeros="0" view="pageBreakPreview" topLeftCell="A100" zoomScaleSheetLayoutView="100" workbookViewId="0">
      <selection activeCell="K109" sqref="K109"/>
    </sheetView>
  </sheetViews>
  <sheetFormatPr defaultColWidth="6.85546875" defaultRowHeight="12.75" x14ac:dyDescent="0.2"/>
  <cols>
    <col min="1" max="1" width="10.140625" style="11" customWidth="1"/>
    <col min="2" max="2" width="40.42578125" style="11" customWidth="1"/>
    <col min="3" max="4" width="17.28515625" style="11" customWidth="1"/>
    <col min="5" max="5" width="15.7109375" style="11" customWidth="1"/>
    <col min="6" max="6" width="14.5703125" style="11" customWidth="1"/>
    <col min="7" max="252" width="7.85546875" style="11" customWidth="1"/>
    <col min="253" max="16384" width="6.85546875" style="11"/>
  </cols>
  <sheetData>
    <row r="1" spans="1:7" ht="15.75" x14ac:dyDescent="0.2">
      <c r="D1" s="809" t="s">
        <v>62</v>
      </c>
      <c r="E1" s="810"/>
      <c r="F1" s="810"/>
      <c r="G1" s="810"/>
    </row>
    <row r="2" spans="1:7" ht="15.75" x14ac:dyDescent="0.2">
      <c r="C2" s="12"/>
      <c r="D2" s="809" t="s">
        <v>1137</v>
      </c>
      <c r="E2" s="811"/>
      <c r="F2" s="811"/>
      <c r="G2" s="811"/>
    </row>
    <row r="3" spans="1:7" ht="6" customHeight="1" x14ac:dyDescent="0.2">
      <c r="C3" s="12"/>
      <c r="D3" s="809"/>
      <c r="E3" s="811"/>
      <c r="F3" s="811"/>
      <c r="G3" s="811"/>
    </row>
    <row r="4" spans="1:7" ht="12.75" customHeight="1" x14ac:dyDescent="0.2">
      <c r="A4" s="812"/>
      <c r="B4" s="812"/>
      <c r="C4" s="812"/>
      <c r="D4" s="812"/>
      <c r="E4" s="812"/>
    </row>
    <row r="5" spans="1:7" ht="20.25" x14ac:dyDescent="0.2">
      <c r="A5" s="212" t="s">
        <v>632</v>
      </c>
      <c r="B5" s="212"/>
      <c r="C5" s="212"/>
      <c r="D5" s="212"/>
      <c r="E5" s="212"/>
    </row>
    <row r="6" spans="1:7" ht="20.25" x14ac:dyDescent="0.2">
      <c r="A6" s="375"/>
      <c r="B6" s="133" t="s">
        <v>649</v>
      </c>
      <c r="C6" s="375"/>
      <c r="D6" s="375"/>
      <c r="E6" s="375"/>
    </row>
    <row r="7" spans="1:7" x14ac:dyDescent="0.2">
      <c r="B7" s="13"/>
      <c r="C7" s="13"/>
      <c r="D7" s="13"/>
      <c r="E7" s="13"/>
      <c r="F7" s="13" t="s">
        <v>63</v>
      </c>
    </row>
    <row r="8" spans="1:7" ht="15.75" x14ac:dyDescent="0.2">
      <c r="A8" s="813" t="s">
        <v>64</v>
      </c>
      <c r="B8" s="813" t="s">
        <v>65</v>
      </c>
      <c r="C8" s="813" t="s">
        <v>420</v>
      </c>
      <c r="D8" s="813" t="s">
        <v>12</v>
      </c>
      <c r="E8" s="813" t="s">
        <v>57</v>
      </c>
      <c r="F8" s="813"/>
      <c r="G8" s="14"/>
    </row>
    <row r="9" spans="1:7" ht="38.25" x14ac:dyDescent="0.25">
      <c r="A9" s="813"/>
      <c r="B9" s="813"/>
      <c r="C9" s="813"/>
      <c r="D9" s="813"/>
      <c r="E9" s="376" t="s">
        <v>420</v>
      </c>
      <c r="F9" s="15" t="s">
        <v>464</v>
      </c>
      <c r="G9" s="16"/>
    </row>
    <row r="10" spans="1:7" ht="15.75" x14ac:dyDescent="0.25">
      <c r="A10" s="376">
        <v>1</v>
      </c>
      <c r="B10" s="376">
        <v>2</v>
      </c>
      <c r="C10" s="376">
        <v>3</v>
      </c>
      <c r="D10" s="376">
        <v>4</v>
      </c>
      <c r="E10" s="376">
        <v>5</v>
      </c>
      <c r="F10" s="15">
        <v>6</v>
      </c>
      <c r="G10" s="16"/>
    </row>
    <row r="11" spans="1:7" ht="14.25" x14ac:dyDescent="0.2">
      <c r="A11" s="17">
        <v>10000000</v>
      </c>
      <c r="B11" s="18" t="s">
        <v>66</v>
      </c>
      <c r="C11" s="19">
        <f>SUM(D11,E11)</f>
        <v>2191912175</v>
      </c>
      <c r="D11" s="19">
        <f>SUM(D12,D25,D31,D51,D20)</f>
        <v>2191281275</v>
      </c>
      <c r="E11" s="19">
        <f>SUM(E12:E50)</f>
        <v>630900</v>
      </c>
      <c r="F11" s="19"/>
      <c r="G11" s="20"/>
    </row>
    <row r="12" spans="1:7" ht="25.5" x14ac:dyDescent="0.2">
      <c r="A12" s="21">
        <v>11000000</v>
      </c>
      <c r="B12" s="22" t="s">
        <v>67</v>
      </c>
      <c r="C12" s="23">
        <f t="shared" ref="C12:C92" si="0">SUM(D12,E12)</f>
        <v>1473989035</v>
      </c>
      <c r="D12" s="23">
        <f>SUM(D13,D18)</f>
        <v>1473989035</v>
      </c>
      <c r="E12" s="24"/>
      <c r="F12" s="24"/>
      <c r="G12" s="25"/>
    </row>
    <row r="13" spans="1:7" ht="14.25" x14ac:dyDescent="0.2">
      <c r="A13" s="17">
        <v>11010000</v>
      </c>
      <c r="B13" s="26" t="s">
        <v>68</v>
      </c>
      <c r="C13" s="23">
        <f t="shared" si="0"/>
        <v>1472487035</v>
      </c>
      <c r="D13" s="27">
        <f>SUM(D14:D17)</f>
        <v>1472487035</v>
      </c>
      <c r="E13" s="19"/>
      <c r="F13" s="19"/>
      <c r="G13" s="25"/>
    </row>
    <row r="14" spans="1:7" ht="36" x14ac:dyDescent="0.2">
      <c r="A14" s="28">
        <v>11010100</v>
      </c>
      <c r="B14" s="29" t="s">
        <v>69</v>
      </c>
      <c r="C14" s="23">
        <f t="shared" si="0"/>
        <v>1216888305</v>
      </c>
      <c r="D14" s="35">
        <v>1216888305</v>
      </c>
      <c r="E14" s="30"/>
      <c r="F14" s="30"/>
      <c r="G14" s="25"/>
    </row>
    <row r="15" spans="1:7" ht="60" x14ac:dyDescent="0.2">
      <c r="A15" s="28">
        <v>11010200</v>
      </c>
      <c r="B15" s="29" t="s">
        <v>70</v>
      </c>
      <c r="C15" s="23">
        <f t="shared" si="0"/>
        <v>202378000</v>
      </c>
      <c r="D15" s="35">
        <v>202378000</v>
      </c>
      <c r="E15" s="30"/>
      <c r="F15" s="30"/>
      <c r="G15" s="25"/>
    </row>
    <row r="16" spans="1:7" ht="36" x14ac:dyDescent="0.2">
      <c r="A16" s="28">
        <v>11010400</v>
      </c>
      <c r="B16" s="29" t="s">
        <v>71</v>
      </c>
      <c r="C16" s="23">
        <f t="shared" si="0"/>
        <v>31686300</v>
      </c>
      <c r="D16" s="35">
        <v>31686300</v>
      </c>
      <c r="E16" s="30"/>
      <c r="F16" s="30"/>
      <c r="G16" s="25"/>
    </row>
    <row r="17" spans="1:7" ht="36" x14ac:dyDescent="0.25">
      <c r="A17" s="28">
        <v>11010500</v>
      </c>
      <c r="B17" s="29" t="s">
        <v>72</v>
      </c>
      <c r="C17" s="23">
        <f t="shared" si="0"/>
        <v>21534430</v>
      </c>
      <c r="D17" s="35">
        <v>21534430</v>
      </c>
      <c r="E17" s="30"/>
      <c r="F17" s="30"/>
      <c r="G17" s="16"/>
    </row>
    <row r="18" spans="1:7" ht="15" x14ac:dyDescent="0.2">
      <c r="A18" s="21">
        <v>11020000</v>
      </c>
      <c r="B18" s="26" t="s">
        <v>73</v>
      </c>
      <c r="C18" s="23">
        <f t="shared" si="0"/>
        <v>1502000</v>
      </c>
      <c r="D18" s="130">
        <v>1502000</v>
      </c>
      <c r="E18" s="32"/>
      <c r="F18" s="32"/>
      <c r="G18" s="20"/>
    </row>
    <row r="19" spans="1:7" ht="24" x14ac:dyDescent="0.25">
      <c r="A19" s="28">
        <v>11020200</v>
      </c>
      <c r="B19" s="33" t="s">
        <v>74</v>
      </c>
      <c r="C19" s="23">
        <f t="shared" si="0"/>
        <v>1502000</v>
      </c>
      <c r="D19" s="35">
        <v>1502000</v>
      </c>
      <c r="E19" s="34"/>
      <c r="F19" s="24"/>
      <c r="G19" s="16"/>
    </row>
    <row r="20" spans="1:7" ht="24" x14ac:dyDescent="0.25">
      <c r="A20" s="48">
        <v>13000000</v>
      </c>
      <c r="B20" s="43" t="s">
        <v>633</v>
      </c>
      <c r="C20" s="23">
        <f>D20+E20</f>
        <v>431120</v>
      </c>
      <c r="D20" s="23">
        <f>SUM(D21,D23)</f>
        <v>431120</v>
      </c>
      <c r="E20" s="34"/>
      <c r="F20" s="24"/>
      <c r="G20" s="16"/>
    </row>
    <row r="21" spans="1:7" ht="24" x14ac:dyDescent="0.25">
      <c r="A21" s="28">
        <v>13010000</v>
      </c>
      <c r="B21" s="33" t="s">
        <v>634</v>
      </c>
      <c r="C21" s="23">
        <f t="shared" ref="C21:C25" si="1">D21+E21</f>
        <v>430520</v>
      </c>
      <c r="D21" s="35">
        <f>SUM(D22)</f>
        <v>430520</v>
      </c>
      <c r="E21" s="34"/>
      <c r="F21" s="24"/>
      <c r="G21" s="16"/>
    </row>
    <row r="22" spans="1:7" ht="48" x14ac:dyDescent="0.25">
      <c r="A22" s="28">
        <v>13010200</v>
      </c>
      <c r="B22" s="33" t="s">
        <v>635</v>
      </c>
      <c r="C22" s="23">
        <f t="shared" si="1"/>
        <v>430520</v>
      </c>
      <c r="D22" s="35">
        <v>430520</v>
      </c>
      <c r="E22" s="34"/>
      <c r="F22" s="24"/>
      <c r="G22" s="16"/>
    </row>
    <row r="23" spans="1:7" ht="15" x14ac:dyDescent="0.25">
      <c r="A23" s="28">
        <v>13030000</v>
      </c>
      <c r="B23" s="33" t="s">
        <v>636</v>
      </c>
      <c r="C23" s="23">
        <f t="shared" si="1"/>
        <v>600</v>
      </c>
      <c r="D23" s="35">
        <f>SUM(D24)</f>
        <v>600</v>
      </c>
      <c r="E23" s="34"/>
      <c r="F23" s="24"/>
      <c r="G23" s="16"/>
    </row>
    <row r="24" spans="1:7" ht="36" x14ac:dyDescent="0.25">
      <c r="A24" s="28">
        <v>13030100</v>
      </c>
      <c r="B24" s="33" t="s">
        <v>637</v>
      </c>
      <c r="C24" s="23">
        <f t="shared" si="1"/>
        <v>600</v>
      </c>
      <c r="D24" s="35">
        <v>600</v>
      </c>
      <c r="E24" s="34"/>
      <c r="F24" s="24"/>
      <c r="G24" s="16"/>
    </row>
    <row r="25" spans="1:7" ht="31.5" x14ac:dyDescent="0.25">
      <c r="A25" s="376">
        <v>14000000</v>
      </c>
      <c r="B25" s="92" t="s">
        <v>640</v>
      </c>
      <c r="C25" s="23">
        <f t="shared" si="1"/>
        <v>168785920</v>
      </c>
      <c r="D25" s="216">
        <f>SUM(D26,D28,D30)</f>
        <v>168785920</v>
      </c>
      <c r="E25" s="213"/>
      <c r="F25" s="24"/>
      <c r="G25" s="16"/>
    </row>
    <row r="26" spans="1:7" ht="30" customHeight="1" x14ac:dyDescent="0.25">
      <c r="A26" s="15">
        <v>14020000</v>
      </c>
      <c r="B26" s="55" t="s">
        <v>812</v>
      </c>
      <c r="C26" s="23">
        <f>SUM(D26,E26)</f>
        <v>17500000</v>
      </c>
      <c r="D26" s="216">
        <f>SUM(D27,E27)</f>
        <v>17500000</v>
      </c>
      <c r="E26" s="213"/>
      <c r="F26" s="24"/>
      <c r="G26" s="16"/>
    </row>
    <row r="27" spans="1:7" ht="15.75" x14ac:dyDescent="0.25">
      <c r="A27" s="384">
        <v>14021900</v>
      </c>
      <c r="B27" s="167" t="s">
        <v>811</v>
      </c>
      <c r="C27" s="35">
        <f>SUM(D27,E27)</f>
        <v>17500000</v>
      </c>
      <c r="D27" s="217">
        <v>17500000</v>
      </c>
      <c r="E27" s="213"/>
      <c r="F27" s="24"/>
      <c r="G27" s="16"/>
    </row>
    <row r="28" spans="1:7" ht="38.25" x14ac:dyDescent="0.25">
      <c r="A28" s="15">
        <v>14030000</v>
      </c>
      <c r="B28" s="55" t="s">
        <v>813</v>
      </c>
      <c r="C28" s="23">
        <f>SUM(D28,E28)</f>
        <v>65500000</v>
      </c>
      <c r="D28" s="216">
        <f>SUM(D29,E29)</f>
        <v>65500000</v>
      </c>
      <c r="E28" s="213"/>
      <c r="F28" s="24"/>
      <c r="G28" s="16"/>
    </row>
    <row r="29" spans="1:7" ht="15.75" x14ac:dyDescent="0.25">
      <c r="A29" s="384">
        <v>14031900</v>
      </c>
      <c r="B29" s="167" t="s">
        <v>811</v>
      </c>
      <c r="C29" s="35">
        <f>SUM(D29,E29)</f>
        <v>65500000</v>
      </c>
      <c r="D29" s="217">
        <v>65500000</v>
      </c>
      <c r="E29" s="213"/>
      <c r="F29" s="24"/>
      <c r="G29" s="16"/>
    </row>
    <row r="30" spans="1:7" ht="38.25" x14ac:dyDescent="0.2">
      <c r="A30" s="214">
        <v>14040000</v>
      </c>
      <c r="B30" s="215" t="s">
        <v>75</v>
      </c>
      <c r="C30" s="216">
        <f>SUM(D30,E30)</f>
        <v>85785920</v>
      </c>
      <c r="D30" s="216">
        <v>85785920</v>
      </c>
      <c r="E30" s="217"/>
      <c r="F30" s="35"/>
      <c r="G30" s="36"/>
    </row>
    <row r="31" spans="1:7" ht="15" x14ac:dyDescent="0.25">
      <c r="A31" s="17">
        <v>18000000</v>
      </c>
      <c r="B31" s="37" t="s">
        <v>76</v>
      </c>
      <c r="C31" s="23">
        <f t="shared" si="0"/>
        <v>548075200</v>
      </c>
      <c r="D31" s="23">
        <f>SUM(D32,D43,D46)</f>
        <v>548075200</v>
      </c>
      <c r="E31" s="19"/>
      <c r="F31" s="19"/>
      <c r="G31" s="16"/>
    </row>
    <row r="32" spans="1:7" ht="15" x14ac:dyDescent="0.25">
      <c r="A32" s="21">
        <v>18010000</v>
      </c>
      <c r="B32" s="38" t="s">
        <v>77</v>
      </c>
      <c r="C32" s="23">
        <f t="shared" si="0"/>
        <v>191426520</v>
      </c>
      <c r="D32" s="27">
        <f>SUM(D33:D42)</f>
        <v>191426520</v>
      </c>
      <c r="E32" s="24"/>
      <c r="F32" s="24"/>
      <c r="G32" s="16"/>
    </row>
    <row r="33" spans="1:7" ht="36" x14ac:dyDescent="0.25">
      <c r="A33" s="21">
        <v>18010100</v>
      </c>
      <c r="B33" s="40" t="s">
        <v>78</v>
      </c>
      <c r="C33" s="23">
        <f t="shared" si="0"/>
        <v>253400</v>
      </c>
      <c r="D33" s="35">
        <v>253400</v>
      </c>
      <c r="E33" s="24"/>
      <c r="F33" s="24"/>
      <c r="G33" s="16"/>
    </row>
    <row r="34" spans="1:7" ht="36" x14ac:dyDescent="0.25">
      <c r="A34" s="21">
        <v>18010200</v>
      </c>
      <c r="B34" s="40" t="s">
        <v>79</v>
      </c>
      <c r="C34" s="23">
        <f t="shared" si="0"/>
        <v>14364650</v>
      </c>
      <c r="D34" s="35">
        <v>14364650</v>
      </c>
      <c r="E34" s="24"/>
      <c r="F34" s="24"/>
      <c r="G34" s="16"/>
    </row>
    <row r="35" spans="1:7" ht="36" x14ac:dyDescent="0.25">
      <c r="A35" s="21">
        <v>18010300</v>
      </c>
      <c r="B35" s="40" t="s">
        <v>80</v>
      </c>
      <c r="C35" s="23">
        <f t="shared" si="0"/>
        <v>2316000</v>
      </c>
      <c r="D35" s="35">
        <v>2316000</v>
      </c>
      <c r="E35" s="24"/>
      <c r="F35" s="24"/>
      <c r="G35" s="16"/>
    </row>
    <row r="36" spans="1:7" ht="36" x14ac:dyDescent="0.25">
      <c r="A36" s="21">
        <v>18010400</v>
      </c>
      <c r="B36" s="40" t="s">
        <v>81</v>
      </c>
      <c r="C36" s="23">
        <f t="shared" si="0"/>
        <v>12860800</v>
      </c>
      <c r="D36" s="35">
        <v>12860800</v>
      </c>
      <c r="E36" s="24"/>
      <c r="F36" s="24"/>
      <c r="G36" s="16"/>
    </row>
    <row r="37" spans="1:7" ht="15" x14ac:dyDescent="0.25">
      <c r="A37" s="21">
        <v>18010500</v>
      </c>
      <c r="B37" s="41" t="s">
        <v>82</v>
      </c>
      <c r="C37" s="23">
        <f t="shared" si="0"/>
        <v>31197900</v>
      </c>
      <c r="D37" s="35">
        <v>31197900</v>
      </c>
      <c r="E37" s="24"/>
      <c r="F37" s="24"/>
      <c r="G37" s="16"/>
    </row>
    <row r="38" spans="1:7" ht="15" x14ac:dyDescent="0.25">
      <c r="A38" s="21">
        <v>18010600</v>
      </c>
      <c r="B38" s="40" t="s">
        <v>83</v>
      </c>
      <c r="C38" s="23">
        <f t="shared" si="0"/>
        <v>99604000</v>
      </c>
      <c r="D38" s="35">
        <v>99604000</v>
      </c>
      <c r="E38" s="24"/>
      <c r="F38" s="24"/>
      <c r="G38" s="16"/>
    </row>
    <row r="39" spans="1:7" ht="15" x14ac:dyDescent="0.25">
      <c r="A39" s="21">
        <v>18010700</v>
      </c>
      <c r="B39" s="40" t="s">
        <v>84</v>
      </c>
      <c r="C39" s="23">
        <f t="shared" si="0"/>
        <v>2433200</v>
      </c>
      <c r="D39" s="35">
        <v>2433200</v>
      </c>
      <c r="E39" s="24"/>
      <c r="F39" s="24"/>
      <c r="G39" s="16"/>
    </row>
    <row r="40" spans="1:7" ht="15" x14ac:dyDescent="0.25">
      <c r="A40" s="21">
        <v>18010900</v>
      </c>
      <c r="B40" s="40" t="s">
        <v>85</v>
      </c>
      <c r="C40" s="23">
        <f t="shared" si="0"/>
        <v>27696570</v>
      </c>
      <c r="D40" s="35">
        <v>27696570</v>
      </c>
      <c r="E40" s="24"/>
      <c r="F40" s="24"/>
      <c r="G40" s="16"/>
    </row>
    <row r="41" spans="1:7" ht="15" x14ac:dyDescent="0.2">
      <c r="A41" s="21">
        <v>18011000</v>
      </c>
      <c r="B41" s="40" t="s">
        <v>86</v>
      </c>
      <c r="C41" s="23">
        <f t="shared" si="0"/>
        <v>400000</v>
      </c>
      <c r="D41" s="35">
        <v>400000</v>
      </c>
      <c r="E41" s="24"/>
      <c r="F41" s="24"/>
      <c r="G41" s="20"/>
    </row>
    <row r="42" spans="1:7" ht="15" x14ac:dyDescent="0.25">
      <c r="A42" s="21">
        <v>18011100</v>
      </c>
      <c r="B42" s="40" t="s">
        <v>87</v>
      </c>
      <c r="C42" s="23">
        <f t="shared" si="0"/>
        <v>300000</v>
      </c>
      <c r="D42" s="35">
        <v>300000</v>
      </c>
      <c r="E42" s="24"/>
      <c r="F42" s="24"/>
      <c r="G42" s="16"/>
    </row>
    <row r="43" spans="1:7" ht="15" x14ac:dyDescent="0.25">
      <c r="A43" s="17">
        <v>18030000</v>
      </c>
      <c r="B43" s="42" t="s">
        <v>88</v>
      </c>
      <c r="C43" s="23">
        <f t="shared" si="0"/>
        <v>410000</v>
      </c>
      <c r="D43" s="23">
        <f>SUM(D44:D45)</f>
        <v>410000</v>
      </c>
      <c r="E43" s="19"/>
      <c r="F43" s="19"/>
      <c r="G43" s="16"/>
    </row>
    <row r="44" spans="1:7" ht="15" x14ac:dyDescent="0.25">
      <c r="A44" s="21">
        <v>18030100</v>
      </c>
      <c r="B44" s="40" t="s">
        <v>89</v>
      </c>
      <c r="C44" s="23">
        <f t="shared" si="0"/>
        <v>275000</v>
      </c>
      <c r="D44" s="35">
        <v>275000</v>
      </c>
      <c r="E44" s="24"/>
      <c r="F44" s="24"/>
      <c r="G44" s="16"/>
    </row>
    <row r="45" spans="1:7" ht="15" x14ac:dyDescent="0.25">
      <c r="A45" s="21">
        <v>18030200</v>
      </c>
      <c r="B45" s="40" t="s">
        <v>90</v>
      </c>
      <c r="C45" s="23">
        <f t="shared" si="0"/>
        <v>135000</v>
      </c>
      <c r="D45" s="35">
        <v>135000</v>
      </c>
      <c r="E45" s="24"/>
      <c r="F45" s="24"/>
      <c r="G45" s="16"/>
    </row>
    <row r="46" spans="1:7" ht="15" x14ac:dyDescent="0.25">
      <c r="A46" s="17">
        <v>18050000</v>
      </c>
      <c r="B46" s="38" t="s">
        <v>91</v>
      </c>
      <c r="C46" s="23">
        <f t="shared" si="0"/>
        <v>356238680</v>
      </c>
      <c r="D46" s="23">
        <f>SUM(D47:D49)</f>
        <v>356238680</v>
      </c>
      <c r="E46" s="24"/>
      <c r="F46" s="24"/>
      <c r="G46" s="16"/>
    </row>
    <row r="47" spans="1:7" ht="24" x14ac:dyDescent="0.25">
      <c r="A47" s="21">
        <v>18050300</v>
      </c>
      <c r="B47" s="29" t="s">
        <v>92</v>
      </c>
      <c r="C47" s="23">
        <f t="shared" si="0"/>
        <v>65570000</v>
      </c>
      <c r="D47" s="35">
        <v>65570000</v>
      </c>
      <c r="E47" s="24"/>
      <c r="F47" s="24"/>
      <c r="G47" s="16"/>
    </row>
    <row r="48" spans="1:7" ht="15" x14ac:dyDescent="0.2">
      <c r="A48" s="21">
        <v>18050400</v>
      </c>
      <c r="B48" s="40" t="s">
        <v>93</v>
      </c>
      <c r="C48" s="23">
        <f t="shared" si="0"/>
        <v>286657510</v>
      </c>
      <c r="D48" s="35">
        <v>286657510</v>
      </c>
      <c r="E48" s="24"/>
      <c r="F48" s="24"/>
      <c r="G48" s="20"/>
    </row>
    <row r="49" spans="1:7" ht="60" x14ac:dyDescent="0.2">
      <c r="A49" s="218">
        <v>18050500</v>
      </c>
      <c r="B49" s="219" t="s">
        <v>648</v>
      </c>
      <c r="C49" s="216">
        <f t="shared" si="0"/>
        <v>4011170</v>
      </c>
      <c r="D49" s="217">
        <v>4011170</v>
      </c>
      <c r="E49" s="220"/>
      <c r="F49" s="220"/>
      <c r="G49" s="221"/>
    </row>
    <row r="50" spans="1:7" ht="15" x14ac:dyDescent="0.2">
      <c r="A50" s="17">
        <v>19000000</v>
      </c>
      <c r="B50" s="38" t="s">
        <v>641</v>
      </c>
      <c r="C50" s="19">
        <f t="shared" si="0"/>
        <v>630900</v>
      </c>
      <c r="D50" s="19"/>
      <c r="E50" s="19">
        <f>SUM(E52:E54)</f>
        <v>630900</v>
      </c>
      <c r="F50" s="24"/>
      <c r="G50" s="20"/>
    </row>
    <row r="51" spans="1:7" ht="15" x14ac:dyDescent="0.25">
      <c r="A51" s="17">
        <v>1901000</v>
      </c>
      <c r="B51" s="37" t="s">
        <v>94</v>
      </c>
      <c r="C51" s="23">
        <f>SUM(D51,E51)</f>
        <v>630900</v>
      </c>
      <c r="D51" s="23">
        <f>SUM(D52:D54)</f>
        <v>0</v>
      </c>
      <c r="E51" s="19">
        <f>SUM(E52:E54)</f>
        <v>630900</v>
      </c>
      <c r="F51" s="19"/>
      <c r="G51" s="16"/>
    </row>
    <row r="52" spans="1:7" ht="48" x14ac:dyDescent="0.25">
      <c r="A52" s="21">
        <v>19010100</v>
      </c>
      <c r="B52" s="29" t="s">
        <v>642</v>
      </c>
      <c r="C52" s="23">
        <f t="shared" si="0"/>
        <v>255750</v>
      </c>
      <c r="D52" s="35"/>
      <c r="E52" s="24">
        <v>255750</v>
      </c>
      <c r="F52" s="24"/>
      <c r="G52" s="16"/>
    </row>
    <row r="53" spans="1:7" ht="24" x14ac:dyDescent="0.2">
      <c r="A53" s="21">
        <v>19010200</v>
      </c>
      <c r="B53" s="29" t="s">
        <v>95</v>
      </c>
      <c r="C53" s="23">
        <f t="shared" si="0"/>
        <v>120000</v>
      </c>
      <c r="D53" s="35"/>
      <c r="E53" s="24">
        <v>120000</v>
      </c>
      <c r="F53" s="24"/>
      <c r="G53" s="36"/>
    </row>
    <row r="54" spans="1:7" ht="36" x14ac:dyDescent="0.25">
      <c r="A54" s="21">
        <v>19010300</v>
      </c>
      <c r="B54" s="29" t="s">
        <v>96</v>
      </c>
      <c r="C54" s="23">
        <f t="shared" si="0"/>
        <v>255150</v>
      </c>
      <c r="D54" s="35"/>
      <c r="E54" s="24">
        <v>255150</v>
      </c>
      <c r="F54" s="24"/>
      <c r="G54" s="16"/>
    </row>
    <row r="55" spans="1:7" ht="15" x14ac:dyDescent="0.25">
      <c r="A55" s="17">
        <v>20000000</v>
      </c>
      <c r="B55" s="18" t="s">
        <v>97</v>
      </c>
      <c r="C55" s="19">
        <f>SUM(D55,E55)</f>
        <v>203230064</v>
      </c>
      <c r="D55" s="19">
        <f>SUM(D56,D64,D74)</f>
        <v>42281167</v>
      </c>
      <c r="E55" s="19">
        <f>SUM(E56:E74)+E79</f>
        <v>160948897</v>
      </c>
      <c r="F55" s="19">
        <f>SUM(F58,F64,F74,F71)</f>
        <v>5000012</v>
      </c>
      <c r="G55" s="16"/>
    </row>
    <row r="56" spans="1:7" ht="28.5" x14ac:dyDescent="0.25">
      <c r="A56" s="222">
        <v>21000000</v>
      </c>
      <c r="B56" s="223" t="s">
        <v>643</v>
      </c>
      <c r="C56" s="224">
        <f t="shared" si="0"/>
        <v>13289204</v>
      </c>
      <c r="D56" s="224">
        <f>SUM(D57,D60,D59)</f>
        <v>13289204</v>
      </c>
      <c r="E56" s="19"/>
      <c r="F56" s="19"/>
      <c r="G56" s="16"/>
    </row>
    <row r="57" spans="1:7" ht="48" x14ac:dyDescent="0.25">
      <c r="A57" s="222">
        <v>21010000</v>
      </c>
      <c r="B57" s="225" t="s">
        <v>644</v>
      </c>
      <c r="C57" s="224">
        <f t="shared" si="0"/>
        <v>1502000</v>
      </c>
      <c r="D57" s="217">
        <v>1502000</v>
      </c>
      <c r="E57" s="19"/>
      <c r="F57" s="19"/>
      <c r="G57" s="16"/>
    </row>
    <row r="58" spans="1:7" ht="48" x14ac:dyDescent="0.25">
      <c r="A58" s="21">
        <v>21010300</v>
      </c>
      <c r="B58" s="43" t="s">
        <v>98</v>
      </c>
      <c r="C58" s="23">
        <f t="shared" si="0"/>
        <v>1502000</v>
      </c>
      <c r="D58" s="35">
        <v>1502000</v>
      </c>
      <c r="E58" s="24"/>
      <c r="F58" s="24"/>
      <c r="G58" s="16"/>
    </row>
    <row r="59" spans="1:7" ht="15" x14ac:dyDescent="0.25">
      <c r="A59" s="21">
        <v>21050000</v>
      </c>
      <c r="B59" s="43" t="s">
        <v>99</v>
      </c>
      <c r="C59" s="23">
        <f t="shared" si="0"/>
        <v>1500000</v>
      </c>
      <c r="D59" s="217">
        <v>1500000</v>
      </c>
      <c r="E59" s="24"/>
      <c r="F59" s="24"/>
      <c r="G59" s="16"/>
    </row>
    <row r="60" spans="1:7" ht="27" x14ac:dyDescent="0.2">
      <c r="A60" s="44">
        <v>21800000</v>
      </c>
      <c r="B60" s="45" t="s">
        <v>100</v>
      </c>
      <c r="C60" s="23">
        <f>SUM(D60,E60)</f>
        <v>10287204</v>
      </c>
      <c r="D60" s="226">
        <f>SUM(D61:D63)</f>
        <v>10287204</v>
      </c>
      <c r="E60" s="27"/>
      <c r="F60" s="27"/>
      <c r="G60" s="36"/>
    </row>
    <row r="61" spans="1:7" ht="15" x14ac:dyDescent="0.25">
      <c r="A61" s="28">
        <v>21081100</v>
      </c>
      <c r="B61" s="46" t="s">
        <v>101</v>
      </c>
      <c r="C61" s="23">
        <f>SUM(D61,E61)</f>
        <v>507204</v>
      </c>
      <c r="D61" s="382">
        <v>507204</v>
      </c>
      <c r="E61" s="24"/>
      <c r="F61" s="24"/>
      <c r="G61" s="16"/>
    </row>
    <row r="62" spans="1:7" ht="36" x14ac:dyDescent="0.25">
      <c r="A62" s="21">
        <v>21081500</v>
      </c>
      <c r="B62" s="29" t="s">
        <v>102</v>
      </c>
      <c r="C62" s="23">
        <f>SUM(D62,E62)</f>
        <v>800000</v>
      </c>
      <c r="D62" s="382">
        <v>800000</v>
      </c>
      <c r="E62" s="24"/>
      <c r="F62" s="24"/>
      <c r="G62" s="16"/>
    </row>
    <row r="63" spans="1:7" ht="15" x14ac:dyDescent="0.25">
      <c r="A63" s="97">
        <v>21081700</v>
      </c>
      <c r="B63" s="116" t="s">
        <v>411</v>
      </c>
      <c r="C63" s="27">
        <f>SUM(D63,E63)</f>
        <v>8980000</v>
      </c>
      <c r="D63" s="226">
        <v>8980000</v>
      </c>
      <c r="E63" s="39"/>
      <c r="F63" s="39"/>
      <c r="G63" s="98"/>
    </row>
    <row r="64" spans="1:7" ht="27" x14ac:dyDescent="0.25">
      <c r="A64" s="17">
        <v>22000000</v>
      </c>
      <c r="B64" s="26" t="s">
        <v>103</v>
      </c>
      <c r="C64" s="23">
        <f t="shared" si="0"/>
        <v>26991975</v>
      </c>
      <c r="D64" s="217">
        <f>SUM(D65,D69,D71)</f>
        <v>26991975</v>
      </c>
      <c r="E64" s="24"/>
      <c r="F64" s="24"/>
      <c r="G64" s="16"/>
    </row>
    <row r="65" spans="1:7" ht="15" x14ac:dyDescent="0.25">
      <c r="A65" s="222">
        <v>22010000</v>
      </c>
      <c r="B65" s="227" t="s">
        <v>645</v>
      </c>
      <c r="C65" s="216">
        <f t="shared" si="0"/>
        <v>17980115</v>
      </c>
      <c r="D65" s="217">
        <f>SUM(D66:D68)</f>
        <v>17980115</v>
      </c>
      <c r="E65" s="24"/>
      <c r="F65" s="24"/>
      <c r="G65" s="16"/>
    </row>
    <row r="66" spans="1:7" ht="38.25" x14ac:dyDescent="0.25">
      <c r="A66" s="21">
        <v>22010300</v>
      </c>
      <c r="B66" s="47" t="s">
        <v>168</v>
      </c>
      <c r="C66" s="23">
        <f t="shared" si="0"/>
        <v>1000000</v>
      </c>
      <c r="D66" s="217">
        <v>1000000</v>
      </c>
      <c r="E66" s="24"/>
      <c r="F66" s="24"/>
      <c r="G66" s="16"/>
    </row>
    <row r="67" spans="1:7" ht="15" x14ac:dyDescent="0.25">
      <c r="A67" s="21">
        <v>22012500</v>
      </c>
      <c r="B67" s="29" t="s">
        <v>105</v>
      </c>
      <c r="C67" s="23">
        <f t="shared" si="0"/>
        <v>15452415</v>
      </c>
      <c r="D67" s="217">
        <v>15452415</v>
      </c>
      <c r="E67" s="24"/>
      <c r="F67" s="35"/>
      <c r="G67" s="16"/>
    </row>
    <row r="68" spans="1:7" ht="25.5" x14ac:dyDescent="0.25">
      <c r="A68" s="21">
        <v>22012600</v>
      </c>
      <c r="B68" s="47" t="s">
        <v>104</v>
      </c>
      <c r="C68" s="23">
        <f>SUM(D68,E68)</f>
        <v>1527700</v>
      </c>
      <c r="D68" s="217">
        <v>1527700</v>
      </c>
      <c r="E68" s="24"/>
      <c r="F68" s="24"/>
      <c r="G68" s="16"/>
    </row>
    <row r="69" spans="1:7" ht="38.25" x14ac:dyDescent="0.25">
      <c r="A69" s="17">
        <v>2208000</v>
      </c>
      <c r="B69" s="47" t="s">
        <v>646</v>
      </c>
      <c r="C69" s="23">
        <f t="shared" si="0"/>
        <v>8500000</v>
      </c>
      <c r="D69" s="217">
        <v>8500000</v>
      </c>
      <c r="E69" s="24"/>
      <c r="F69" s="24"/>
      <c r="G69" s="16"/>
    </row>
    <row r="70" spans="1:7" ht="36" x14ac:dyDescent="0.25">
      <c r="A70" s="28">
        <v>22080400</v>
      </c>
      <c r="B70" s="46" t="s">
        <v>106</v>
      </c>
      <c r="C70" s="23">
        <f t="shared" si="0"/>
        <v>8500000</v>
      </c>
      <c r="D70" s="35">
        <v>8500000</v>
      </c>
      <c r="E70" s="24"/>
      <c r="F70" s="24"/>
      <c r="G70" s="16"/>
    </row>
    <row r="71" spans="1:7" ht="15" x14ac:dyDescent="0.25">
      <c r="A71" s="48">
        <v>22090000</v>
      </c>
      <c r="B71" s="49" t="s">
        <v>107</v>
      </c>
      <c r="C71" s="23">
        <f t="shared" si="0"/>
        <v>511860</v>
      </c>
      <c r="D71" s="23">
        <f>SUM(D72:D73)</f>
        <v>511860</v>
      </c>
      <c r="E71" s="50"/>
      <c r="F71" s="50"/>
      <c r="G71" s="16"/>
    </row>
    <row r="72" spans="1:7" ht="36" x14ac:dyDescent="0.25">
      <c r="A72" s="28">
        <v>22090100</v>
      </c>
      <c r="B72" s="40" t="s">
        <v>108</v>
      </c>
      <c r="C72" s="23">
        <f t="shared" si="0"/>
        <v>400260</v>
      </c>
      <c r="D72" s="35">
        <v>400260</v>
      </c>
      <c r="E72" s="24"/>
      <c r="F72" s="24"/>
      <c r="G72" s="16"/>
    </row>
    <row r="73" spans="1:7" ht="36" x14ac:dyDescent="0.2">
      <c r="A73" s="28">
        <v>22090400</v>
      </c>
      <c r="B73" s="40" t="s">
        <v>109</v>
      </c>
      <c r="C73" s="23">
        <f t="shared" si="0"/>
        <v>111600</v>
      </c>
      <c r="D73" s="35">
        <v>111600</v>
      </c>
      <c r="E73" s="24"/>
      <c r="F73" s="24"/>
      <c r="G73" s="25"/>
    </row>
    <row r="74" spans="1:7" ht="15" x14ac:dyDescent="0.25">
      <c r="A74" s="17">
        <v>24000000</v>
      </c>
      <c r="B74" s="49" t="s">
        <v>110</v>
      </c>
      <c r="C74" s="19">
        <f t="shared" si="0"/>
        <v>7000000</v>
      </c>
      <c r="D74" s="31">
        <f>D75+D76+D78</f>
        <v>1999988</v>
      </c>
      <c r="E74" s="31">
        <f>E75+E78+E77</f>
        <v>5000012</v>
      </c>
      <c r="F74" s="19">
        <f>SUM(F78+E77)</f>
        <v>5000012</v>
      </c>
      <c r="G74" s="16"/>
    </row>
    <row r="75" spans="1:7" ht="15" x14ac:dyDescent="0.25">
      <c r="A75" s="28">
        <v>24060300</v>
      </c>
      <c r="B75" s="29" t="s">
        <v>111</v>
      </c>
      <c r="C75" s="23">
        <f t="shared" si="0"/>
        <v>999988</v>
      </c>
      <c r="D75" s="383">
        <v>999988</v>
      </c>
      <c r="E75" s="383"/>
      <c r="F75" s="383"/>
      <c r="G75" s="16"/>
    </row>
    <row r="76" spans="1:7" ht="60.75" x14ac:dyDescent="0.25">
      <c r="A76" s="28">
        <v>24062200</v>
      </c>
      <c r="B76" s="345" t="s">
        <v>412</v>
      </c>
      <c r="C76" s="23">
        <f t="shared" si="0"/>
        <v>1000000</v>
      </c>
      <c r="D76" s="383">
        <v>1000000</v>
      </c>
      <c r="E76" s="383"/>
      <c r="F76" s="383"/>
      <c r="G76" s="16"/>
    </row>
    <row r="77" spans="1:7" ht="24" x14ac:dyDescent="0.25">
      <c r="A77" s="28">
        <v>24110700</v>
      </c>
      <c r="B77" s="344" t="s">
        <v>754</v>
      </c>
      <c r="C77" s="23">
        <v>12</v>
      </c>
      <c r="D77" s="383"/>
      <c r="E77" s="383">
        <v>12</v>
      </c>
      <c r="F77" s="383">
        <v>12</v>
      </c>
      <c r="G77" s="16"/>
    </row>
    <row r="78" spans="1:7" ht="24" x14ac:dyDescent="0.2">
      <c r="A78" s="28">
        <v>24170000</v>
      </c>
      <c r="B78" s="33" t="s">
        <v>112</v>
      </c>
      <c r="C78" s="23">
        <f>SUM(D78,E78)</f>
        <v>5000000</v>
      </c>
      <c r="D78" s="383"/>
      <c r="E78" s="383">
        <v>5000000</v>
      </c>
      <c r="F78" s="383">
        <v>5000000</v>
      </c>
      <c r="G78" s="20"/>
    </row>
    <row r="79" spans="1:7" ht="15" x14ac:dyDescent="0.25">
      <c r="A79" s="17">
        <v>25000000</v>
      </c>
      <c r="B79" s="22" t="s">
        <v>113</v>
      </c>
      <c r="C79" s="23">
        <f>SUM(D79,E79)</f>
        <v>155948885</v>
      </c>
      <c r="D79" s="130">
        <f>SUM(D80:D84,)</f>
        <v>0</v>
      </c>
      <c r="E79" s="130">
        <f>SUM(E80)</f>
        <v>155948885</v>
      </c>
      <c r="F79" s="130"/>
      <c r="G79" s="16"/>
    </row>
    <row r="80" spans="1:7" ht="38.25" x14ac:dyDescent="0.25">
      <c r="A80" s="21">
        <v>25010000</v>
      </c>
      <c r="B80" s="51" t="s">
        <v>114</v>
      </c>
      <c r="C80" s="23">
        <f>SUM(D80,E80)</f>
        <v>155948885</v>
      </c>
      <c r="D80" s="383">
        <v>0</v>
      </c>
      <c r="E80" s="383">
        <f>SUM(E81:E84)</f>
        <v>155948885</v>
      </c>
      <c r="F80" s="383"/>
      <c r="G80" s="16"/>
    </row>
    <row r="81" spans="1:7" ht="25.5" x14ac:dyDescent="0.25">
      <c r="A81" s="21">
        <v>25010100</v>
      </c>
      <c r="B81" s="52" t="s">
        <v>115</v>
      </c>
      <c r="C81" s="23">
        <f>SUM(D81,E81)</f>
        <v>143932455</v>
      </c>
      <c r="D81" s="383"/>
      <c r="E81" s="383">
        <v>143932455</v>
      </c>
      <c r="F81" s="383"/>
      <c r="G81" s="16"/>
    </row>
    <row r="82" spans="1:7" ht="25.5" x14ac:dyDescent="0.25">
      <c r="A82" s="21">
        <v>25010200</v>
      </c>
      <c r="B82" s="52" t="s">
        <v>116</v>
      </c>
      <c r="C82" s="23">
        <f t="shared" si="0"/>
        <v>9765664</v>
      </c>
      <c r="D82" s="383"/>
      <c r="E82" s="383">
        <v>9765664</v>
      </c>
      <c r="F82" s="383"/>
      <c r="G82" s="16"/>
    </row>
    <row r="83" spans="1:7" ht="15" x14ac:dyDescent="0.25">
      <c r="A83" s="21">
        <v>25010300</v>
      </c>
      <c r="B83" s="52" t="s">
        <v>117</v>
      </c>
      <c r="C83" s="23">
        <f t="shared" si="0"/>
        <v>2197266</v>
      </c>
      <c r="D83" s="383"/>
      <c r="E83" s="383">
        <v>2197266</v>
      </c>
      <c r="F83" s="383"/>
      <c r="G83" s="16"/>
    </row>
    <row r="84" spans="1:7" ht="38.25" x14ac:dyDescent="0.25">
      <c r="A84" s="21">
        <v>25010400</v>
      </c>
      <c r="B84" s="52" t="s">
        <v>118</v>
      </c>
      <c r="C84" s="23">
        <f t="shared" si="0"/>
        <v>53500</v>
      </c>
      <c r="D84" s="383"/>
      <c r="E84" s="383">
        <v>53500</v>
      </c>
      <c r="F84" s="383"/>
      <c r="G84" s="16"/>
    </row>
    <row r="85" spans="1:7" ht="14.25" x14ac:dyDescent="0.2">
      <c r="A85" s="17">
        <v>30000000</v>
      </c>
      <c r="B85" s="18" t="s">
        <v>119</v>
      </c>
      <c r="C85" s="19">
        <f t="shared" si="0"/>
        <v>5997343</v>
      </c>
      <c r="D85" s="31">
        <f>SUM(D86)</f>
        <v>25000</v>
      </c>
      <c r="E85" s="31">
        <f>SUM(E86,E90)</f>
        <v>5972343</v>
      </c>
      <c r="F85" s="31">
        <f>SUM(F89:F90)</f>
        <v>5972343</v>
      </c>
      <c r="G85" s="25"/>
    </row>
    <row r="86" spans="1:7" ht="30" x14ac:dyDescent="0.25">
      <c r="A86" s="21">
        <v>31000000</v>
      </c>
      <c r="B86" s="53" t="s">
        <v>120</v>
      </c>
      <c r="C86" s="23">
        <f t="shared" si="0"/>
        <v>460000</v>
      </c>
      <c r="D86" s="27">
        <f>D87</f>
        <v>25000</v>
      </c>
      <c r="E86" s="27">
        <f>SUM(E89)</f>
        <v>435000</v>
      </c>
      <c r="F86" s="228">
        <v>435000</v>
      </c>
      <c r="G86" s="16"/>
    </row>
    <row r="87" spans="1:7" ht="60" x14ac:dyDescent="0.25">
      <c r="A87" s="21">
        <v>3101000</v>
      </c>
      <c r="B87" s="29" t="s">
        <v>647</v>
      </c>
      <c r="C87" s="23">
        <f t="shared" si="0"/>
        <v>25000</v>
      </c>
      <c r="D87" s="383">
        <v>25000</v>
      </c>
      <c r="E87" s="27"/>
      <c r="F87" s="27"/>
      <c r="G87" s="16"/>
    </row>
    <row r="88" spans="1:7" ht="60" x14ac:dyDescent="0.25">
      <c r="A88" s="28">
        <v>31010200</v>
      </c>
      <c r="B88" s="33" t="s">
        <v>121</v>
      </c>
      <c r="C88" s="23">
        <f>SUM(D88,E88)</f>
        <v>25000</v>
      </c>
      <c r="D88" s="383">
        <v>25000</v>
      </c>
      <c r="E88" s="383"/>
      <c r="F88" s="383"/>
      <c r="G88" s="16"/>
    </row>
    <row r="89" spans="1:7" ht="36" x14ac:dyDescent="0.25">
      <c r="A89" s="28">
        <v>31030000</v>
      </c>
      <c r="B89" s="54" t="s">
        <v>122</v>
      </c>
      <c r="C89" s="23">
        <f t="shared" si="0"/>
        <v>435000</v>
      </c>
      <c r="D89" s="35"/>
      <c r="E89" s="35">
        <v>435000</v>
      </c>
      <c r="F89" s="35">
        <v>435000</v>
      </c>
      <c r="G89" s="16"/>
    </row>
    <row r="90" spans="1:7" ht="30" x14ac:dyDescent="0.25">
      <c r="A90" s="21">
        <v>33000000</v>
      </c>
      <c r="B90" s="53" t="s">
        <v>123</v>
      </c>
      <c r="C90" s="23">
        <f t="shared" si="0"/>
        <v>5537343</v>
      </c>
      <c r="D90" s="27"/>
      <c r="E90" s="27">
        <f>SUM(E91)</f>
        <v>5537343</v>
      </c>
      <c r="F90" s="27">
        <f>SUM(F91)</f>
        <v>5537343</v>
      </c>
      <c r="G90" s="16"/>
    </row>
    <row r="91" spans="1:7" ht="15" x14ac:dyDescent="0.25">
      <c r="A91" s="21">
        <v>33010000</v>
      </c>
      <c r="B91" s="53" t="s">
        <v>124</v>
      </c>
      <c r="C91" s="23">
        <f t="shared" si="0"/>
        <v>5537343</v>
      </c>
      <c r="D91" s="35"/>
      <c r="E91" s="35">
        <f>SUM(E92,E93)</f>
        <v>5537343</v>
      </c>
      <c r="F91" s="35">
        <f>SUM(F92,F93)</f>
        <v>5537343</v>
      </c>
      <c r="G91" s="16"/>
    </row>
    <row r="92" spans="1:7" ht="48" x14ac:dyDescent="0.25">
      <c r="A92" s="21">
        <v>33010100</v>
      </c>
      <c r="B92" s="54" t="s">
        <v>376</v>
      </c>
      <c r="C92" s="23">
        <f t="shared" si="0"/>
        <v>4277846</v>
      </c>
      <c r="D92" s="35"/>
      <c r="E92" s="35">
        <v>4277846</v>
      </c>
      <c r="F92" s="35">
        <v>4277846</v>
      </c>
      <c r="G92" s="16"/>
    </row>
    <row r="93" spans="1:7" ht="48" x14ac:dyDescent="0.25">
      <c r="A93" s="21">
        <v>33010200</v>
      </c>
      <c r="B93" s="54" t="s">
        <v>125</v>
      </c>
      <c r="C93" s="23">
        <f t="shared" ref="C93" si="2">SUM(D93,E93)</f>
        <v>1259497</v>
      </c>
      <c r="D93" s="35"/>
      <c r="E93" s="35">
        <v>1259497</v>
      </c>
      <c r="F93" s="35">
        <v>1259497</v>
      </c>
      <c r="G93" s="16"/>
    </row>
    <row r="94" spans="1:7" ht="18.75" x14ac:dyDescent="0.25">
      <c r="A94" s="17">
        <v>50000000</v>
      </c>
      <c r="B94" s="56" t="s">
        <v>543</v>
      </c>
      <c r="C94" s="23">
        <f>SUM(D94,E94)</f>
        <v>4201200</v>
      </c>
      <c r="D94" s="35"/>
      <c r="E94" s="23">
        <f>SUM(E95)</f>
        <v>4201200</v>
      </c>
      <c r="F94" s="35"/>
      <c r="G94" s="16"/>
    </row>
    <row r="95" spans="1:7" ht="51" x14ac:dyDescent="0.25">
      <c r="A95" s="17">
        <v>50110000</v>
      </c>
      <c r="B95" s="55" t="s">
        <v>126</v>
      </c>
      <c r="C95" s="23">
        <f>SUM(D95,E95)</f>
        <v>4201200</v>
      </c>
      <c r="D95" s="35"/>
      <c r="E95" s="23">
        <v>4201200</v>
      </c>
      <c r="F95" s="35"/>
      <c r="G95" s="16"/>
    </row>
    <row r="96" spans="1:7" ht="31.5" x14ac:dyDescent="0.2">
      <c r="A96" s="17"/>
      <c r="B96" s="92" t="s">
        <v>544</v>
      </c>
      <c r="C96" s="152">
        <f>SUM(D96,E96)</f>
        <v>2405340782</v>
      </c>
      <c r="D96" s="153">
        <f>D11+D55+D85</f>
        <v>2233587442</v>
      </c>
      <c r="E96" s="153">
        <f>E11+E55+E85+E95</f>
        <v>171753340</v>
      </c>
      <c r="F96" s="153">
        <f>F11+F55+F79+F85</f>
        <v>10972355</v>
      </c>
      <c r="G96" s="20"/>
    </row>
    <row r="97" spans="1:7" ht="15.75" x14ac:dyDescent="0.2">
      <c r="A97" s="17">
        <v>40000000</v>
      </c>
      <c r="B97" s="92" t="s">
        <v>465</v>
      </c>
      <c r="C97" s="152">
        <f>SUM(D97,E97)</f>
        <v>659533608</v>
      </c>
      <c r="D97" s="153">
        <f>SUM(D100,D98)</f>
        <v>659533608</v>
      </c>
      <c r="E97" s="31">
        <v>0</v>
      </c>
      <c r="F97" s="31">
        <v>0</v>
      </c>
      <c r="G97" s="20"/>
    </row>
    <row r="98" spans="1:7" ht="25.5" x14ac:dyDescent="0.2">
      <c r="A98" s="15">
        <v>41040000</v>
      </c>
      <c r="B98" s="55" t="s">
        <v>378</v>
      </c>
      <c r="C98" s="152">
        <f t="shared" ref="C98:C99" si="3">SUM(D98,E98)</f>
        <v>12117934</v>
      </c>
      <c r="D98" s="153">
        <f>SUM(D99)</f>
        <v>12117934</v>
      </c>
      <c r="E98" s="31"/>
      <c r="F98" s="31"/>
      <c r="G98" s="20"/>
    </row>
    <row r="99" spans="1:7" ht="63.75" x14ac:dyDescent="0.2">
      <c r="A99" s="21">
        <v>41040200</v>
      </c>
      <c r="B99" s="167" t="s">
        <v>377</v>
      </c>
      <c r="C99" s="152">
        <f t="shared" si="3"/>
        <v>12117934</v>
      </c>
      <c r="D99" s="153">
        <v>12117934</v>
      </c>
      <c r="E99" s="31"/>
      <c r="F99" s="31"/>
      <c r="G99" s="20"/>
    </row>
    <row r="100" spans="1:7" ht="14.25" x14ac:dyDescent="0.2">
      <c r="A100" s="17">
        <v>41000000</v>
      </c>
      <c r="B100" s="37" t="s">
        <v>127</v>
      </c>
      <c r="C100" s="19">
        <f>SUM(D100,CE4988)</f>
        <v>647415674</v>
      </c>
      <c r="D100" s="31">
        <f>SUM(D101,D103)</f>
        <v>647415674</v>
      </c>
      <c r="E100" s="31">
        <v>0</v>
      </c>
      <c r="F100" s="19">
        <v>0</v>
      </c>
      <c r="G100" s="20"/>
    </row>
    <row r="101" spans="1:7" ht="25.5" x14ac:dyDescent="0.25">
      <c r="A101" s="15">
        <v>41030000</v>
      </c>
      <c r="B101" s="22" t="s">
        <v>480</v>
      </c>
      <c r="C101" s="23">
        <f>SUM(D101)</f>
        <v>623112400</v>
      </c>
      <c r="D101" s="130">
        <f>SUM(D102:D102)</f>
        <v>623112400</v>
      </c>
      <c r="E101" s="32"/>
      <c r="F101" s="32"/>
      <c r="G101" s="16"/>
    </row>
    <row r="102" spans="1:7" ht="25.5" x14ac:dyDescent="0.25">
      <c r="A102" s="21">
        <v>41033900</v>
      </c>
      <c r="B102" s="47" t="s">
        <v>128</v>
      </c>
      <c r="C102" s="19">
        <f>SUM(D102)</f>
        <v>623112400</v>
      </c>
      <c r="D102" s="24">
        <v>623112400</v>
      </c>
      <c r="E102" s="32"/>
      <c r="F102" s="32"/>
      <c r="G102" s="16"/>
    </row>
    <row r="103" spans="1:7" ht="36.75" customHeight="1" x14ac:dyDescent="0.25">
      <c r="A103" s="15">
        <v>41050000</v>
      </c>
      <c r="B103" s="22" t="s">
        <v>528</v>
      </c>
      <c r="C103" s="23">
        <f t="shared" ref="C103:C110" si="4">SUM(D103,E103)</f>
        <v>24303274</v>
      </c>
      <c r="D103" s="23">
        <f>SUM(D104:D107)</f>
        <v>24303274</v>
      </c>
      <c r="E103" s="23">
        <v>0</v>
      </c>
      <c r="F103" s="23">
        <v>0</v>
      </c>
      <c r="G103" s="16"/>
    </row>
    <row r="104" spans="1:7" ht="38.25" x14ac:dyDescent="0.25">
      <c r="A104" s="21">
        <v>41051000</v>
      </c>
      <c r="B104" s="47" t="s">
        <v>529</v>
      </c>
      <c r="C104" s="23">
        <f t="shared" si="4"/>
        <v>7340558</v>
      </c>
      <c r="D104" s="24">
        <v>7340558</v>
      </c>
      <c r="E104" s="32"/>
      <c r="F104" s="32"/>
      <c r="G104" s="16"/>
    </row>
    <row r="105" spans="1:7" ht="51" x14ac:dyDescent="0.25">
      <c r="A105" s="21">
        <v>41051200</v>
      </c>
      <c r="B105" s="47" t="s">
        <v>809</v>
      </c>
      <c r="C105" s="23">
        <f t="shared" si="4"/>
        <v>7118182</v>
      </c>
      <c r="D105" s="24">
        <v>7118182</v>
      </c>
      <c r="E105" s="32"/>
      <c r="F105" s="32"/>
      <c r="G105" s="16"/>
    </row>
    <row r="106" spans="1:7" ht="51" x14ac:dyDescent="0.2">
      <c r="A106" s="21">
        <v>41055000</v>
      </c>
      <c r="B106" s="47" t="s">
        <v>806</v>
      </c>
      <c r="C106" s="23">
        <f t="shared" si="4"/>
        <v>9137200</v>
      </c>
      <c r="D106" s="24">
        <v>9137200</v>
      </c>
      <c r="E106" s="32"/>
      <c r="F106" s="32"/>
      <c r="G106" s="20"/>
    </row>
    <row r="107" spans="1:7" ht="25.5" x14ac:dyDescent="0.2">
      <c r="A107" s="21">
        <v>41053900</v>
      </c>
      <c r="B107" s="47" t="s">
        <v>1138</v>
      </c>
      <c r="C107" s="23">
        <f t="shared" si="4"/>
        <v>707334</v>
      </c>
      <c r="D107" s="19">
        <f>SUM(D108:D110)</f>
        <v>707334</v>
      </c>
      <c r="E107" s="32"/>
      <c r="F107" s="32"/>
      <c r="G107" s="20"/>
    </row>
    <row r="108" spans="1:7" ht="38.25" x14ac:dyDescent="0.2">
      <c r="A108" s="21"/>
      <c r="B108" s="47" t="s">
        <v>1139</v>
      </c>
      <c r="C108" s="23">
        <f t="shared" si="4"/>
        <v>206796</v>
      </c>
      <c r="D108" s="24">
        <v>206796</v>
      </c>
      <c r="E108" s="32"/>
      <c r="F108" s="32"/>
      <c r="G108" s="20"/>
    </row>
    <row r="109" spans="1:7" ht="51" x14ac:dyDescent="0.2">
      <c r="A109" s="21"/>
      <c r="B109" s="47" t="s">
        <v>1140</v>
      </c>
      <c r="C109" s="23">
        <f t="shared" si="4"/>
        <v>147491</v>
      </c>
      <c r="D109" s="24">
        <v>147491</v>
      </c>
      <c r="E109" s="32"/>
      <c r="F109" s="32"/>
      <c r="G109" s="20"/>
    </row>
    <row r="110" spans="1:7" ht="25.5" x14ac:dyDescent="0.2">
      <c r="A110" s="21"/>
      <c r="B110" s="47" t="s">
        <v>1141</v>
      </c>
      <c r="C110" s="23">
        <f t="shared" si="4"/>
        <v>353047</v>
      </c>
      <c r="D110" s="24">
        <v>353047</v>
      </c>
      <c r="E110" s="32"/>
      <c r="F110" s="32"/>
      <c r="G110" s="20"/>
    </row>
    <row r="111" spans="1:7" ht="41.25" customHeight="1" x14ac:dyDescent="0.25">
      <c r="A111" s="57"/>
      <c r="B111" s="58" t="s">
        <v>807</v>
      </c>
      <c r="C111" s="19">
        <f t="shared" ref="C111" si="5">SUM(D111,E111)</f>
        <v>3064874390</v>
      </c>
      <c r="D111" s="31">
        <f>SUM(D96,D97)</f>
        <v>2893121050</v>
      </c>
      <c r="E111" s="31">
        <f>SUM(E96,E100)</f>
        <v>171753340</v>
      </c>
      <c r="F111" s="31">
        <f>SUM(F96,F100)</f>
        <v>10972355</v>
      </c>
      <c r="G111" s="59"/>
    </row>
    <row r="113" spans="1:6" ht="15.75" x14ac:dyDescent="0.25">
      <c r="B113" s="115"/>
      <c r="E113" s="115"/>
    </row>
    <row r="114" spans="1:6" ht="15.75" x14ac:dyDescent="0.25">
      <c r="B114" s="115" t="s">
        <v>1272</v>
      </c>
      <c r="E114" s="115" t="s">
        <v>1273</v>
      </c>
    </row>
    <row r="115" spans="1:6" ht="15.75" x14ac:dyDescent="0.25">
      <c r="B115" s="115"/>
      <c r="E115" s="115"/>
    </row>
    <row r="116" spans="1:6" ht="15.75" x14ac:dyDescent="0.25">
      <c r="A116" s="59"/>
      <c r="B116" s="115" t="s">
        <v>621</v>
      </c>
      <c r="C116" s="115"/>
      <c r="D116" s="115"/>
      <c r="E116" s="115" t="s">
        <v>622</v>
      </c>
      <c r="F116" s="59"/>
    </row>
  </sheetData>
  <mergeCells count="9">
    <mergeCell ref="D1:G1"/>
    <mergeCell ref="D2:G2"/>
    <mergeCell ref="D3:G3"/>
    <mergeCell ref="A4:E4"/>
    <mergeCell ref="A8:A9"/>
    <mergeCell ref="B8:B9"/>
    <mergeCell ref="C8:C9"/>
    <mergeCell ref="D8:D9"/>
    <mergeCell ref="E8:F8"/>
  </mergeCells>
  <hyperlinks>
    <hyperlink ref="B86" location="_ftn1" display="_ftn1" xr:uid="{00000000-0004-0000-0000-000000000000}"/>
    <hyperlink ref="B85" location="_ftn1" display="_ftn1" xr:uid="{00000000-0004-0000-0000-000001000000}"/>
    <hyperlink ref="B73" location="_ftn1" display="_ftn1" xr:uid="{00000000-0004-0000-0000-000002000000}"/>
    <hyperlink ref="B16" location="_ftn1" display="_ftn1" xr:uid="{00000000-0004-0000-0000-000003000000}"/>
    <hyperlink ref="B15" location="_ftn1" display="_ftn1" xr:uid="{00000000-0004-0000-0000-000004000000}"/>
    <hyperlink ref="B53" location="_ftn1" display="_ftn1" xr:uid="{00000000-0004-0000-0000-000005000000}"/>
    <hyperlink ref="B90" location="_ftn1" display="_ftn1" xr:uid="{00000000-0004-0000-0000-000006000000}"/>
    <hyperlink ref="B91" location="_ftn1" display="_ftn1" xr:uid="{00000000-0004-0000-0000-000007000000}"/>
    <hyperlink ref="B60" location="_ftn1" display="_ftn1" xr:uid="{00000000-0004-0000-0000-000008000000}"/>
    <hyperlink ref="B61" location="_ftn1" display="_ftn1" xr:uid="{00000000-0004-0000-0000-000009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300" r:id="rId1"/>
  <headerFooter alignWithMargins="0"/>
  <rowBreaks count="2" manualBreakCount="2">
    <brk id="76" max="5" man="1"/>
    <brk id="105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C64EF-A59D-4D17-97D5-5584AA427479}">
  <dimension ref="A2:T330"/>
  <sheetViews>
    <sheetView view="pageBreakPreview" zoomScale="25" zoomScaleNormal="25" zoomScaleSheetLayoutView="25" zoomScalePageLayoutView="10" workbookViewId="0">
      <pane ySplit="15" topLeftCell="A16" activePane="bottomLeft" state="frozen"/>
      <selection activeCell="F175" sqref="F175"/>
      <selection pane="bottomLeft" activeCell="D305" sqref="D305:K305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5" customWidth="1"/>
    <col min="6" max="6" width="62.5703125" style="1" customWidth="1"/>
    <col min="7" max="7" width="59.7109375" style="1" customWidth="1"/>
    <col min="8" max="8" width="48.140625" style="1" customWidth="1"/>
    <col min="9" max="9" width="41.85546875" style="1" customWidth="1"/>
    <col min="10" max="10" width="50.5703125" style="5" customWidth="1"/>
    <col min="11" max="11" width="52.5703125" style="5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56.140625" style="1" bestFit="1" customWidth="1"/>
    <col min="16" max="16" width="86.28515625" style="5" customWidth="1"/>
    <col min="17" max="17" width="52.140625" style="805" customWidth="1"/>
    <col min="18" max="18" width="33.85546875" style="805" customWidth="1"/>
    <col min="19" max="19" width="25.85546875" style="793" bestFit="1" customWidth="1"/>
    <col min="20" max="20" width="43.5703125" style="793" bestFit="1" customWidth="1"/>
    <col min="21" max="16384" width="9.140625" style="793"/>
  </cols>
  <sheetData>
    <row r="2" spans="1:18" ht="45.75" x14ac:dyDescent="0.2">
      <c r="D2" s="799"/>
      <c r="E2" s="800"/>
      <c r="F2" s="798"/>
      <c r="G2" s="800"/>
      <c r="H2" s="800"/>
      <c r="I2" s="800"/>
      <c r="J2" s="800"/>
      <c r="K2" s="800"/>
      <c r="L2" s="800"/>
      <c r="M2" s="800"/>
      <c r="N2" s="849" t="s">
        <v>549</v>
      </c>
      <c r="O2" s="811"/>
      <c r="P2" s="811"/>
      <c r="Q2" s="811"/>
    </row>
    <row r="3" spans="1:18" ht="45.75" x14ac:dyDescent="0.2">
      <c r="A3" s="799"/>
      <c r="B3" s="799"/>
      <c r="C3" s="799"/>
      <c r="D3" s="799"/>
      <c r="E3" s="800"/>
      <c r="F3" s="798"/>
      <c r="G3" s="800"/>
      <c r="H3" s="800"/>
      <c r="I3" s="800"/>
      <c r="J3" s="800"/>
      <c r="K3" s="800"/>
      <c r="L3" s="800"/>
      <c r="M3" s="800"/>
      <c r="N3" s="849" t="s">
        <v>1267</v>
      </c>
      <c r="O3" s="850"/>
      <c r="P3" s="850"/>
      <c r="Q3" s="850"/>
    </row>
    <row r="4" spans="1:18" ht="40.700000000000003" customHeight="1" x14ac:dyDescent="0.2">
      <c r="A4" s="799"/>
      <c r="B4" s="799"/>
      <c r="C4" s="799"/>
      <c r="D4" s="799"/>
      <c r="E4" s="800"/>
      <c r="F4" s="798"/>
      <c r="G4" s="800"/>
      <c r="H4" s="800"/>
      <c r="I4" s="800"/>
      <c r="J4" s="800"/>
      <c r="K4" s="800"/>
      <c r="L4" s="800"/>
      <c r="M4" s="800"/>
      <c r="N4" s="800"/>
      <c r="O4" s="849"/>
      <c r="P4" s="851"/>
    </row>
    <row r="5" spans="1:18" ht="45.75" hidden="1" x14ac:dyDescent="0.2">
      <c r="A5" s="799"/>
      <c r="B5" s="799"/>
      <c r="C5" s="799"/>
      <c r="D5" s="799"/>
      <c r="E5" s="800"/>
      <c r="F5" s="798"/>
      <c r="G5" s="800"/>
      <c r="H5" s="800"/>
      <c r="I5" s="800"/>
      <c r="J5" s="800"/>
      <c r="K5" s="800"/>
      <c r="L5" s="800"/>
      <c r="M5" s="800"/>
      <c r="N5" s="800"/>
      <c r="O5" s="799"/>
      <c r="P5" s="798"/>
    </row>
    <row r="6" spans="1:18" ht="45" x14ac:dyDescent="0.2">
      <c r="A6" s="852" t="s">
        <v>705</v>
      </c>
      <c r="B6" s="852"/>
      <c r="C6" s="852"/>
      <c r="D6" s="852"/>
      <c r="E6" s="852"/>
      <c r="F6" s="852"/>
      <c r="G6" s="852"/>
      <c r="H6" s="852"/>
      <c r="I6" s="852"/>
      <c r="J6" s="852"/>
      <c r="K6" s="852"/>
      <c r="L6" s="852"/>
      <c r="M6" s="852"/>
      <c r="N6" s="852"/>
      <c r="O6" s="852"/>
      <c r="P6" s="852"/>
    </row>
    <row r="7" spans="1:18" ht="45" x14ac:dyDescent="0.2">
      <c r="A7" s="852" t="s">
        <v>704</v>
      </c>
      <c r="B7" s="852"/>
      <c r="C7" s="852"/>
      <c r="D7" s="852"/>
      <c r="E7" s="852"/>
      <c r="F7" s="852"/>
      <c r="G7" s="852"/>
      <c r="H7" s="852"/>
      <c r="I7" s="852"/>
      <c r="J7" s="852"/>
      <c r="K7" s="852"/>
      <c r="L7" s="852"/>
      <c r="M7" s="852"/>
      <c r="N7" s="852"/>
      <c r="O7" s="852"/>
      <c r="P7" s="852"/>
    </row>
    <row r="8" spans="1:18" ht="45" x14ac:dyDescent="0.2">
      <c r="A8" s="800"/>
      <c r="B8" s="800"/>
      <c r="C8" s="800"/>
      <c r="D8" s="800"/>
      <c r="E8" s="800"/>
      <c r="F8" s="800"/>
      <c r="G8" s="800"/>
      <c r="H8" s="800"/>
      <c r="I8" s="800"/>
      <c r="J8" s="800"/>
      <c r="K8" s="800"/>
      <c r="L8" s="800"/>
      <c r="M8" s="800"/>
      <c r="N8" s="800"/>
      <c r="O8" s="800"/>
      <c r="P8" s="800"/>
    </row>
    <row r="9" spans="1:18" ht="45.75" x14ac:dyDescent="0.65">
      <c r="A9" s="853">
        <v>22564000000</v>
      </c>
      <c r="B9" s="854"/>
      <c r="C9" s="800"/>
      <c r="D9" s="800"/>
      <c r="E9" s="800"/>
      <c r="F9" s="800"/>
      <c r="G9" s="800"/>
      <c r="H9" s="800"/>
      <c r="I9" s="800"/>
      <c r="J9" s="800"/>
      <c r="K9" s="800"/>
      <c r="L9" s="800"/>
      <c r="M9" s="800"/>
      <c r="N9" s="800"/>
      <c r="O9" s="800"/>
      <c r="P9" s="800"/>
    </row>
    <row r="10" spans="1:18" ht="45.75" x14ac:dyDescent="0.2">
      <c r="A10" s="858" t="s">
        <v>546</v>
      </c>
      <c r="B10" s="859"/>
      <c r="C10" s="800"/>
      <c r="D10" s="800"/>
      <c r="E10" s="800"/>
      <c r="F10" s="800"/>
      <c r="G10" s="800"/>
      <c r="H10" s="800"/>
      <c r="I10" s="800"/>
      <c r="J10" s="800"/>
      <c r="K10" s="800"/>
      <c r="L10" s="800"/>
      <c r="M10" s="800"/>
      <c r="N10" s="800"/>
      <c r="O10" s="800"/>
      <c r="P10" s="800"/>
    </row>
    <row r="11" spans="1:18" ht="53.45" customHeight="1" thickBot="1" x14ac:dyDescent="0.25">
      <c r="A11" s="800"/>
      <c r="B11" s="800"/>
      <c r="C11" s="800"/>
      <c r="D11" s="800"/>
      <c r="E11" s="800"/>
      <c r="F11" s="798"/>
      <c r="G11" s="800"/>
      <c r="H11" s="800"/>
      <c r="I11" s="800"/>
      <c r="J11" s="800"/>
      <c r="K11" s="800"/>
      <c r="L11" s="800"/>
      <c r="M11" s="800"/>
      <c r="N11" s="800"/>
      <c r="O11" s="800"/>
      <c r="P11" s="6" t="s">
        <v>441</v>
      </c>
    </row>
    <row r="12" spans="1:18" ht="62.45" customHeight="1" thickTop="1" thickBot="1" x14ac:dyDescent="0.25">
      <c r="A12" s="857" t="s">
        <v>547</v>
      </c>
      <c r="B12" s="857" t="s">
        <v>548</v>
      </c>
      <c r="C12" s="857" t="s">
        <v>427</v>
      </c>
      <c r="D12" s="857" t="s">
        <v>716</v>
      </c>
      <c r="E12" s="855" t="s">
        <v>12</v>
      </c>
      <c r="F12" s="855"/>
      <c r="G12" s="855"/>
      <c r="H12" s="855"/>
      <c r="I12" s="855"/>
      <c r="J12" s="855" t="s">
        <v>57</v>
      </c>
      <c r="K12" s="855"/>
      <c r="L12" s="855"/>
      <c r="M12" s="855"/>
      <c r="N12" s="855"/>
      <c r="O12" s="974"/>
      <c r="P12" s="855" t="s">
        <v>11</v>
      </c>
    </row>
    <row r="13" spans="1:18" ht="96" customHeight="1" thickTop="1" thickBot="1" x14ac:dyDescent="0.25">
      <c r="A13" s="855"/>
      <c r="B13" s="860"/>
      <c r="C13" s="860"/>
      <c r="D13" s="855"/>
      <c r="E13" s="857" t="s">
        <v>421</v>
      </c>
      <c r="F13" s="857" t="s">
        <v>58</v>
      </c>
      <c r="G13" s="857" t="s">
        <v>13</v>
      </c>
      <c r="H13" s="857"/>
      <c r="I13" s="857" t="s">
        <v>60</v>
      </c>
      <c r="J13" s="857" t="s">
        <v>421</v>
      </c>
      <c r="K13" s="857" t="s">
        <v>422</v>
      </c>
      <c r="L13" s="857" t="s">
        <v>58</v>
      </c>
      <c r="M13" s="857" t="s">
        <v>13</v>
      </c>
      <c r="N13" s="857"/>
      <c r="O13" s="857" t="s">
        <v>60</v>
      </c>
      <c r="P13" s="855"/>
    </row>
    <row r="14" spans="1:18" ht="328.5" customHeight="1" thickTop="1" thickBot="1" x14ac:dyDescent="0.25">
      <c r="A14" s="860"/>
      <c r="B14" s="860"/>
      <c r="C14" s="860"/>
      <c r="D14" s="860"/>
      <c r="E14" s="857"/>
      <c r="F14" s="857"/>
      <c r="G14" s="801" t="s">
        <v>59</v>
      </c>
      <c r="H14" s="801" t="s">
        <v>15</v>
      </c>
      <c r="I14" s="857"/>
      <c r="J14" s="857"/>
      <c r="K14" s="857"/>
      <c r="L14" s="857"/>
      <c r="M14" s="801" t="s">
        <v>59</v>
      </c>
      <c r="N14" s="801" t="s">
        <v>15</v>
      </c>
      <c r="O14" s="857"/>
      <c r="P14" s="855"/>
    </row>
    <row r="15" spans="1:18" s="2" customFormat="1" ht="47.25" thickTop="1" thickBot="1" x14ac:dyDescent="0.25">
      <c r="A15" s="251" t="s">
        <v>2</v>
      </c>
      <c r="B15" s="251" t="s">
        <v>3</v>
      </c>
      <c r="C15" s="251" t="s">
        <v>14</v>
      </c>
      <c r="D15" s="251" t="s">
        <v>5</v>
      </c>
      <c r="E15" s="251" t="s">
        <v>429</v>
      </c>
      <c r="F15" s="251" t="s">
        <v>430</v>
      </c>
      <c r="G15" s="251" t="s">
        <v>431</v>
      </c>
      <c r="H15" s="251" t="s">
        <v>432</v>
      </c>
      <c r="I15" s="251" t="s">
        <v>433</v>
      </c>
      <c r="J15" s="251" t="s">
        <v>434</v>
      </c>
      <c r="K15" s="251" t="s">
        <v>435</v>
      </c>
      <c r="L15" s="251" t="s">
        <v>436</v>
      </c>
      <c r="M15" s="251" t="s">
        <v>437</v>
      </c>
      <c r="N15" s="251" t="s">
        <v>438</v>
      </c>
      <c r="O15" s="251" t="s">
        <v>439</v>
      </c>
      <c r="P15" s="251" t="s">
        <v>440</v>
      </c>
      <c r="Q15" s="267"/>
      <c r="R15" s="268"/>
    </row>
    <row r="16" spans="1:18" s="2" customFormat="1" ht="136.5" thickTop="1" thickBot="1" x14ac:dyDescent="0.25">
      <c r="A16" s="680" t="s">
        <v>169</v>
      </c>
      <c r="B16" s="680"/>
      <c r="C16" s="680"/>
      <c r="D16" s="681" t="s">
        <v>171</v>
      </c>
      <c r="E16" s="682">
        <f>E17</f>
        <v>127704832.59</v>
      </c>
      <c r="F16" s="683">
        <f t="shared" ref="F16:N16" si="0">F17</f>
        <v>127704832.59</v>
      </c>
      <c r="G16" s="683">
        <f t="shared" si="0"/>
        <v>80242670</v>
      </c>
      <c r="H16" s="683">
        <f t="shared" si="0"/>
        <v>3339900</v>
      </c>
      <c r="I16" s="683">
        <f t="shared" si="0"/>
        <v>0</v>
      </c>
      <c r="J16" s="682">
        <f t="shared" si="0"/>
        <v>9969666.5800000001</v>
      </c>
      <c r="K16" s="683">
        <f t="shared" si="0"/>
        <v>5314500</v>
      </c>
      <c r="L16" s="683">
        <f t="shared" si="0"/>
        <v>4606166.58</v>
      </c>
      <c r="M16" s="683">
        <f t="shared" si="0"/>
        <v>0</v>
      </c>
      <c r="N16" s="682">
        <f t="shared" si="0"/>
        <v>0</v>
      </c>
      <c r="O16" s="682">
        <f>O17</f>
        <v>5363500</v>
      </c>
      <c r="P16" s="683">
        <f t="shared" ref="P16" si="1">P17</f>
        <v>137674499.17000002</v>
      </c>
      <c r="Q16" s="269"/>
      <c r="R16" s="269"/>
    </row>
    <row r="17" spans="1:18" s="2" customFormat="1" ht="136.5" thickTop="1" thickBot="1" x14ac:dyDescent="0.25">
      <c r="A17" s="684" t="s">
        <v>170</v>
      </c>
      <c r="B17" s="684"/>
      <c r="C17" s="684"/>
      <c r="D17" s="685" t="s">
        <v>172</v>
      </c>
      <c r="E17" s="686">
        <f>E18+E23+E32+E35</f>
        <v>127704832.59</v>
      </c>
      <c r="F17" s="686">
        <f>F18+F23+F32+F35</f>
        <v>127704832.59</v>
      </c>
      <c r="G17" s="686">
        <f t="shared" ref="G17:I17" si="2">G18+G23+G32+G35</f>
        <v>80242670</v>
      </c>
      <c r="H17" s="686">
        <f t="shared" si="2"/>
        <v>3339900</v>
      </c>
      <c r="I17" s="686">
        <f t="shared" si="2"/>
        <v>0</v>
      </c>
      <c r="J17" s="686">
        <f>L17+O17</f>
        <v>9969666.5800000001</v>
      </c>
      <c r="K17" s="686">
        <f>K18+K23+K32+K35</f>
        <v>5314500</v>
      </c>
      <c r="L17" s="686">
        <f>L18+L23+L32+L35</f>
        <v>4606166.58</v>
      </c>
      <c r="M17" s="686">
        <f t="shared" ref="M17:N17" si="3">M18+M23+M32+M35</f>
        <v>0</v>
      </c>
      <c r="N17" s="686">
        <f t="shared" si="3"/>
        <v>0</v>
      </c>
      <c r="O17" s="686">
        <f>O18+O23+O32+O35</f>
        <v>5363500</v>
      </c>
      <c r="P17" s="687">
        <f>E17+J17</f>
        <v>137674499.17000002</v>
      </c>
      <c r="Q17" s="180" t="b">
        <f>P17=P19+P20+P21+P22+P25+P27+P29+P34+P37+P38+P31+P39</f>
        <v>1</v>
      </c>
      <c r="R17" s="180" t="e">
        <f>K17=#REF!</f>
        <v>#REF!</v>
      </c>
    </row>
    <row r="18" spans="1:18" s="504" customFormat="1" ht="47.25" thickTop="1" thickBot="1" x14ac:dyDescent="0.25">
      <c r="A18" s="251" t="s">
        <v>879</v>
      </c>
      <c r="B18" s="251" t="s">
        <v>880</v>
      </c>
      <c r="C18" s="251"/>
      <c r="D18" s="251" t="s">
        <v>881</v>
      </c>
      <c r="E18" s="796">
        <f>SUM(E19:E22)</f>
        <v>111942290</v>
      </c>
      <c r="F18" s="796">
        <f>SUM(F19:F22)</f>
        <v>111942290</v>
      </c>
      <c r="G18" s="796">
        <f t="shared" ref="G18:P18" si="4">SUM(G19:G22)</f>
        <v>80242670</v>
      </c>
      <c r="H18" s="796">
        <f t="shared" si="4"/>
        <v>3339900</v>
      </c>
      <c r="I18" s="796">
        <f t="shared" si="4"/>
        <v>0</v>
      </c>
      <c r="J18" s="796">
        <f t="shared" si="4"/>
        <v>2854500</v>
      </c>
      <c r="K18" s="796">
        <f t="shared" si="4"/>
        <v>2854500</v>
      </c>
      <c r="L18" s="796">
        <f t="shared" si="4"/>
        <v>0</v>
      </c>
      <c r="M18" s="796">
        <f t="shared" si="4"/>
        <v>0</v>
      </c>
      <c r="N18" s="796">
        <f t="shared" si="4"/>
        <v>0</v>
      </c>
      <c r="O18" s="796">
        <f t="shared" si="4"/>
        <v>2854500</v>
      </c>
      <c r="P18" s="796">
        <f t="shared" si="4"/>
        <v>114796790</v>
      </c>
      <c r="Q18" s="468"/>
      <c r="R18" s="468"/>
    </row>
    <row r="19" spans="1:18" ht="321.75" thickTop="1" thickBot="1" x14ac:dyDescent="0.25">
      <c r="A19" s="795" t="s">
        <v>257</v>
      </c>
      <c r="B19" s="795" t="s">
        <v>258</v>
      </c>
      <c r="C19" s="795" t="s">
        <v>259</v>
      </c>
      <c r="D19" s="795" t="s">
        <v>256</v>
      </c>
      <c r="E19" s="796">
        <f t="shared" ref="E19:E39" si="5">F19</f>
        <v>102504000</v>
      </c>
      <c r="F19" s="247">
        <f>((77782670+17112190+1242480+3766300+30000+1650000+50000+1400000+159900+80000+800000)-1948540)+80000+49000+250000</f>
        <v>102504000</v>
      </c>
      <c r="G19" s="247">
        <f>((77782670)-1597170)</f>
        <v>76185500</v>
      </c>
      <c r="H19" s="247">
        <f>(1650000+50000+1400000+159900+80000)</f>
        <v>3339900</v>
      </c>
      <c r="I19" s="247"/>
      <c r="J19" s="796">
        <f t="shared" ref="J19:J27" si="6">L19+O19</f>
        <v>2854500</v>
      </c>
      <c r="K19" s="247">
        <f>(977200+330000+15000+241300)+336000+900000+55000</f>
        <v>2854500</v>
      </c>
      <c r="L19" s="248"/>
      <c r="M19" s="265"/>
      <c r="N19" s="265"/>
      <c r="O19" s="797">
        <f t="shared" ref="O19:O27" si="7">K19</f>
        <v>2854500</v>
      </c>
      <c r="P19" s="796">
        <f>+J19+E19</f>
        <v>105358500</v>
      </c>
      <c r="Q19" s="271"/>
      <c r="R19" s="284" t="e">
        <f>K19=#REF!</f>
        <v>#REF!</v>
      </c>
    </row>
    <row r="20" spans="1:18" ht="230.25" thickTop="1" thickBot="1" x14ac:dyDescent="0.25">
      <c r="A20" s="795" t="s">
        <v>737</v>
      </c>
      <c r="B20" s="795" t="s">
        <v>261</v>
      </c>
      <c r="C20" s="795" t="s">
        <v>259</v>
      </c>
      <c r="D20" s="795" t="s">
        <v>260</v>
      </c>
      <c r="E20" s="796">
        <f t="shared" si="5"/>
        <v>6253540</v>
      </c>
      <c r="F20" s="247">
        <f>(4305000+1948540)</f>
        <v>6253540</v>
      </c>
      <c r="G20" s="247">
        <f>((2460000)+1597170)</f>
        <v>4057170</v>
      </c>
      <c r="H20" s="247"/>
      <c r="I20" s="247"/>
      <c r="J20" s="796">
        <f t="shared" si="6"/>
        <v>0</v>
      </c>
      <c r="K20" s="247"/>
      <c r="L20" s="248"/>
      <c r="M20" s="265"/>
      <c r="N20" s="265"/>
      <c r="O20" s="797">
        <f t="shared" si="7"/>
        <v>0</v>
      </c>
      <c r="P20" s="796">
        <f>+J20+E20</f>
        <v>6253540</v>
      </c>
      <c r="Q20" s="271"/>
      <c r="R20" s="284"/>
    </row>
    <row r="21" spans="1:18" ht="184.5" thickTop="1" thickBot="1" x14ac:dyDescent="0.25">
      <c r="A21" s="804" t="s">
        <v>814</v>
      </c>
      <c r="B21" s="804" t="s">
        <v>398</v>
      </c>
      <c r="C21" s="804" t="s">
        <v>815</v>
      </c>
      <c r="D21" s="804" t="s">
        <v>816</v>
      </c>
      <c r="E21" s="806">
        <f t="shared" si="5"/>
        <v>49000</v>
      </c>
      <c r="F21" s="397">
        <v>49000</v>
      </c>
      <c r="G21" s="397"/>
      <c r="H21" s="397"/>
      <c r="I21" s="397"/>
      <c r="J21" s="806">
        <f t="shared" si="6"/>
        <v>0</v>
      </c>
      <c r="K21" s="397"/>
      <c r="L21" s="398"/>
      <c r="M21" s="399"/>
      <c r="N21" s="399"/>
      <c r="O21" s="755">
        <f t="shared" si="7"/>
        <v>0</v>
      </c>
      <c r="P21" s="806">
        <f>+J21+E21</f>
        <v>49000</v>
      </c>
      <c r="Q21" s="271"/>
      <c r="R21" s="270"/>
    </row>
    <row r="22" spans="1:18" ht="93" thickTop="1" thickBot="1" x14ac:dyDescent="0.25">
      <c r="A22" s="804" t="s">
        <v>272</v>
      </c>
      <c r="B22" s="804" t="s">
        <v>45</v>
      </c>
      <c r="C22" s="804" t="s">
        <v>44</v>
      </c>
      <c r="D22" s="804" t="s">
        <v>273</v>
      </c>
      <c r="E22" s="806">
        <f t="shared" si="5"/>
        <v>3135750</v>
      </c>
      <c r="F22" s="756">
        <f>(3159750-49000)+25000</f>
        <v>3135750</v>
      </c>
      <c r="G22" s="756"/>
      <c r="H22" s="756"/>
      <c r="I22" s="756"/>
      <c r="J22" s="806">
        <f t="shared" si="6"/>
        <v>0</v>
      </c>
      <c r="K22" s="756"/>
      <c r="L22" s="756"/>
      <c r="M22" s="756"/>
      <c r="N22" s="756"/>
      <c r="O22" s="755">
        <f t="shared" si="7"/>
        <v>0</v>
      </c>
      <c r="P22" s="806">
        <f>E22+J22</f>
        <v>3135750</v>
      </c>
      <c r="Q22" s="271"/>
      <c r="R22" s="270"/>
    </row>
    <row r="23" spans="1:18" s="504" customFormat="1" ht="47.25" thickTop="1" thickBot="1" x14ac:dyDescent="0.3">
      <c r="A23" s="251" t="s">
        <v>947</v>
      </c>
      <c r="B23" s="757" t="s">
        <v>948</v>
      </c>
      <c r="C23" s="757"/>
      <c r="D23" s="757" t="s">
        <v>949</v>
      </c>
      <c r="E23" s="806">
        <f t="shared" ref="E23:P23" si="8">SUM(E24:E31)-E24-E26-E28</f>
        <v>6283142.5899999999</v>
      </c>
      <c r="F23" s="806">
        <f t="shared" si="8"/>
        <v>6283142.5899999999</v>
      </c>
      <c r="G23" s="806">
        <f t="shared" si="8"/>
        <v>0</v>
      </c>
      <c r="H23" s="806">
        <f t="shared" si="8"/>
        <v>0</v>
      </c>
      <c r="I23" s="806">
        <f t="shared" si="8"/>
        <v>0</v>
      </c>
      <c r="J23" s="806">
        <f t="shared" si="8"/>
        <v>6155166.5800000019</v>
      </c>
      <c r="K23" s="806">
        <f t="shared" si="8"/>
        <v>1500000</v>
      </c>
      <c r="L23" s="806">
        <f t="shared" si="8"/>
        <v>4606166.58</v>
      </c>
      <c r="M23" s="806">
        <f t="shared" si="8"/>
        <v>0</v>
      </c>
      <c r="N23" s="806">
        <f t="shared" si="8"/>
        <v>0</v>
      </c>
      <c r="O23" s="806">
        <f t="shared" si="8"/>
        <v>1549000</v>
      </c>
      <c r="P23" s="806">
        <f t="shared" si="8"/>
        <v>12438309.170000004</v>
      </c>
      <c r="Q23" s="563"/>
      <c r="R23" s="564"/>
    </row>
    <row r="24" spans="1:18" s="85" customFormat="1" ht="91.5" thickTop="1" thickBot="1" x14ac:dyDescent="0.25">
      <c r="A24" s="557" t="s">
        <v>882</v>
      </c>
      <c r="B24" s="557" t="s">
        <v>883</v>
      </c>
      <c r="C24" s="557"/>
      <c r="D24" s="557" t="s">
        <v>884</v>
      </c>
      <c r="E24" s="555">
        <f>SUM(E25)</f>
        <v>4392400</v>
      </c>
      <c r="F24" s="555">
        <f t="shared" ref="F24:P24" si="9">SUM(F25)</f>
        <v>4392400</v>
      </c>
      <c r="G24" s="555">
        <f t="shared" si="9"/>
        <v>0</v>
      </c>
      <c r="H24" s="555">
        <f t="shared" si="9"/>
        <v>0</v>
      </c>
      <c r="I24" s="555">
        <f t="shared" si="9"/>
        <v>0</v>
      </c>
      <c r="J24" s="555">
        <f t="shared" si="9"/>
        <v>1500000</v>
      </c>
      <c r="K24" s="555">
        <f t="shared" si="9"/>
        <v>1500000</v>
      </c>
      <c r="L24" s="555">
        <f t="shared" si="9"/>
        <v>0</v>
      </c>
      <c r="M24" s="555">
        <f t="shared" si="9"/>
        <v>0</v>
      </c>
      <c r="N24" s="555">
        <f t="shared" si="9"/>
        <v>0</v>
      </c>
      <c r="O24" s="555">
        <f t="shared" si="9"/>
        <v>1500000</v>
      </c>
      <c r="P24" s="555">
        <f t="shared" si="9"/>
        <v>5892400</v>
      </c>
      <c r="Q24" s="565"/>
      <c r="R24" s="566"/>
    </row>
    <row r="25" spans="1:18" ht="93" thickTop="1" thickBot="1" x14ac:dyDescent="0.25">
      <c r="A25" s="804" t="s">
        <v>263</v>
      </c>
      <c r="B25" s="804" t="s">
        <v>264</v>
      </c>
      <c r="C25" s="804" t="s">
        <v>265</v>
      </c>
      <c r="D25" s="804" t="s">
        <v>262</v>
      </c>
      <c r="E25" s="806">
        <f t="shared" si="5"/>
        <v>4392400</v>
      </c>
      <c r="F25" s="756">
        <v>4392400</v>
      </c>
      <c r="G25" s="756"/>
      <c r="H25" s="756"/>
      <c r="I25" s="756"/>
      <c r="J25" s="806">
        <f t="shared" si="6"/>
        <v>1500000</v>
      </c>
      <c r="K25" s="756">
        <v>1500000</v>
      </c>
      <c r="L25" s="756"/>
      <c r="M25" s="756"/>
      <c r="N25" s="756"/>
      <c r="O25" s="755">
        <f t="shared" si="7"/>
        <v>1500000</v>
      </c>
      <c r="P25" s="806">
        <f>+J25+E25</f>
        <v>5892400</v>
      </c>
      <c r="Q25" s="271"/>
      <c r="R25" s="284" t="e">
        <f>K25=#REF!</f>
        <v>#REF!</v>
      </c>
    </row>
    <row r="26" spans="1:18" ht="136.5" thickTop="1" thickBot="1" x14ac:dyDescent="0.25">
      <c r="A26" s="758" t="s">
        <v>886</v>
      </c>
      <c r="B26" s="758" t="s">
        <v>887</v>
      </c>
      <c r="C26" s="758"/>
      <c r="D26" s="758" t="s">
        <v>885</v>
      </c>
      <c r="E26" s="555">
        <f>SUM(E27)+E28</f>
        <v>1890742.59</v>
      </c>
      <c r="F26" s="555">
        <f t="shared" ref="F26:P26" si="10">SUM(F27)+F28</f>
        <v>1890742.59</v>
      </c>
      <c r="G26" s="555">
        <f t="shared" si="10"/>
        <v>0</v>
      </c>
      <c r="H26" s="555">
        <f t="shared" si="10"/>
        <v>0</v>
      </c>
      <c r="I26" s="555">
        <f t="shared" si="10"/>
        <v>0</v>
      </c>
      <c r="J26" s="555">
        <f t="shared" si="10"/>
        <v>4655166.58</v>
      </c>
      <c r="K26" s="555">
        <f t="shared" si="10"/>
        <v>0</v>
      </c>
      <c r="L26" s="555">
        <f t="shared" si="10"/>
        <v>4606166.58</v>
      </c>
      <c r="M26" s="555">
        <f t="shared" si="10"/>
        <v>0</v>
      </c>
      <c r="N26" s="555">
        <f t="shared" si="10"/>
        <v>0</v>
      </c>
      <c r="O26" s="555">
        <f t="shared" si="10"/>
        <v>49000</v>
      </c>
      <c r="P26" s="555">
        <f t="shared" si="10"/>
        <v>6545909.1699999999</v>
      </c>
      <c r="Q26" s="510"/>
      <c r="R26" s="567"/>
    </row>
    <row r="27" spans="1:18" ht="138.75" thickTop="1" thickBot="1" x14ac:dyDescent="0.25">
      <c r="A27" s="804" t="s">
        <v>325</v>
      </c>
      <c r="B27" s="804" t="s">
        <v>326</v>
      </c>
      <c r="C27" s="804" t="s">
        <v>191</v>
      </c>
      <c r="D27" s="804" t="s">
        <v>485</v>
      </c>
      <c r="E27" s="806">
        <f t="shared" si="5"/>
        <v>290200</v>
      </c>
      <c r="F27" s="756">
        <v>290200</v>
      </c>
      <c r="G27" s="756"/>
      <c r="H27" s="756"/>
      <c r="I27" s="756"/>
      <c r="J27" s="806">
        <f t="shared" si="6"/>
        <v>0</v>
      </c>
      <c r="K27" s="756"/>
      <c r="L27" s="756"/>
      <c r="M27" s="756"/>
      <c r="N27" s="756"/>
      <c r="O27" s="755">
        <f t="shared" si="7"/>
        <v>0</v>
      </c>
      <c r="P27" s="806">
        <f>+J27+E27</f>
        <v>290200</v>
      </c>
      <c r="Q27" s="271"/>
      <c r="R27" s="270"/>
    </row>
    <row r="28" spans="1:18" ht="48" thickTop="1" thickBot="1" x14ac:dyDescent="0.25">
      <c r="A28" s="759" t="s">
        <v>889</v>
      </c>
      <c r="B28" s="759" t="s">
        <v>890</v>
      </c>
      <c r="C28" s="759"/>
      <c r="D28" s="760" t="s">
        <v>888</v>
      </c>
      <c r="E28" s="553">
        <f>SUM(E29:E31)</f>
        <v>1600542.59</v>
      </c>
      <c r="F28" s="553">
        <f t="shared" ref="F28:O28" si="11">SUM(F29:F31)</f>
        <v>1600542.59</v>
      </c>
      <c r="G28" s="553">
        <f t="shared" si="11"/>
        <v>0</v>
      </c>
      <c r="H28" s="553">
        <f t="shared" si="11"/>
        <v>0</v>
      </c>
      <c r="I28" s="553">
        <f t="shared" si="11"/>
        <v>0</v>
      </c>
      <c r="J28" s="553">
        <f t="shared" si="11"/>
        <v>4655166.58</v>
      </c>
      <c r="K28" s="553">
        <f t="shared" si="11"/>
        <v>0</v>
      </c>
      <c r="L28" s="553">
        <f t="shared" si="11"/>
        <v>4606166.58</v>
      </c>
      <c r="M28" s="553">
        <f t="shared" si="11"/>
        <v>0</v>
      </c>
      <c r="N28" s="553">
        <f t="shared" si="11"/>
        <v>0</v>
      </c>
      <c r="O28" s="553">
        <f t="shared" si="11"/>
        <v>49000</v>
      </c>
      <c r="P28" s="553">
        <f>E28+J28</f>
        <v>6255709.1699999999</v>
      </c>
      <c r="Q28" s="510"/>
      <c r="R28" s="511"/>
    </row>
    <row r="29" spans="1:18" s="85" customFormat="1" ht="361.5" customHeight="1" thickTop="1" thickBot="1" x14ac:dyDescent="0.7">
      <c r="A29" s="921" t="s">
        <v>372</v>
      </c>
      <c r="B29" s="921" t="s">
        <v>371</v>
      </c>
      <c r="C29" s="921" t="s">
        <v>191</v>
      </c>
      <c r="D29" s="403" t="s">
        <v>483</v>
      </c>
      <c r="E29" s="981">
        <f t="shared" si="5"/>
        <v>0</v>
      </c>
      <c r="F29" s="923"/>
      <c r="G29" s="923"/>
      <c r="H29" s="923"/>
      <c r="I29" s="923"/>
      <c r="J29" s="982">
        <f>L29+O29</f>
        <v>4655166.58</v>
      </c>
      <c r="K29" s="923"/>
      <c r="L29" s="923">
        <f>(1308600+69000+601000+1471600)+1155966.58</f>
        <v>4606166.58</v>
      </c>
      <c r="M29" s="923"/>
      <c r="N29" s="923"/>
      <c r="O29" s="976">
        <v>49000</v>
      </c>
      <c r="P29" s="978">
        <f>E29+J29</f>
        <v>4655166.58</v>
      </c>
      <c r="Q29" s="272"/>
      <c r="R29" s="273"/>
    </row>
    <row r="30" spans="1:18" s="85" customFormat="1" ht="184.5" thickTop="1" thickBot="1" x14ac:dyDescent="0.25">
      <c r="A30" s="980"/>
      <c r="B30" s="922"/>
      <c r="C30" s="980"/>
      <c r="D30" s="404" t="s">
        <v>484</v>
      </c>
      <c r="E30" s="980"/>
      <c r="F30" s="975"/>
      <c r="G30" s="975"/>
      <c r="H30" s="975"/>
      <c r="I30" s="975"/>
      <c r="J30" s="983"/>
      <c r="K30" s="975"/>
      <c r="L30" s="975"/>
      <c r="M30" s="975"/>
      <c r="N30" s="975"/>
      <c r="O30" s="977"/>
      <c r="P30" s="979"/>
      <c r="Q30" s="273"/>
      <c r="R30" s="273"/>
    </row>
    <row r="31" spans="1:18" s="85" customFormat="1" ht="93" thickTop="1" thickBot="1" x14ac:dyDescent="0.25">
      <c r="A31" s="795" t="s">
        <v>1169</v>
      </c>
      <c r="B31" s="795" t="s">
        <v>282</v>
      </c>
      <c r="C31" s="795" t="s">
        <v>191</v>
      </c>
      <c r="D31" s="795" t="s">
        <v>280</v>
      </c>
      <c r="E31" s="806">
        <f>F31</f>
        <v>1600542.59</v>
      </c>
      <c r="F31" s="756">
        <v>1600542.59</v>
      </c>
      <c r="G31" s="756"/>
      <c r="H31" s="756"/>
      <c r="I31" s="756"/>
      <c r="J31" s="806">
        <f>L31+O31</f>
        <v>0</v>
      </c>
      <c r="K31" s="756"/>
      <c r="L31" s="756"/>
      <c r="M31" s="756"/>
      <c r="N31" s="756"/>
      <c r="O31" s="755"/>
      <c r="P31" s="806">
        <f>E31+J31</f>
        <v>1600542.59</v>
      </c>
      <c r="Q31" s="273"/>
      <c r="R31" s="273"/>
    </row>
    <row r="32" spans="1:18" s="85" customFormat="1" ht="46.5" customHeight="1" thickTop="1" thickBot="1" x14ac:dyDescent="0.25">
      <c r="A32" s="251" t="s">
        <v>891</v>
      </c>
      <c r="B32" s="251" t="s">
        <v>892</v>
      </c>
      <c r="C32" s="251"/>
      <c r="D32" s="251" t="s">
        <v>893</v>
      </c>
      <c r="E32" s="796">
        <f>E33</f>
        <v>6359300</v>
      </c>
      <c r="F32" s="796">
        <f t="shared" ref="F32:O32" si="12">F33</f>
        <v>6359300</v>
      </c>
      <c r="G32" s="796">
        <f t="shared" si="12"/>
        <v>0</v>
      </c>
      <c r="H32" s="796">
        <f t="shared" si="12"/>
        <v>0</v>
      </c>
      <c r="I32" s="796">
        <f t="shared" si="12"/>
        <v>0</v>
      </c>
      <c r="J32" s="796">
        <f t="shared" si="12"/>
        <v>0</v>
      </c>
      <c r="K32" s="796">
        <f t="shared" si="12"/>
        <v>0</v>
      </c>
      <c r="L32" s="796">
        <f t="shared" si="12"/>
        <v>0</v>
      </c>
      <c r="M32" s="796">
        <f t="shared" si="12"/>
        <v>0</v>
      </c>
      <c r="N32" s="796">
        <f t="shared" si="12"/>
        <v>0</v>
      </c>
      <c r="O32" s="796">
        <f t="shared" si="12"/>
        <v>0</v>
      </c>
      <c r="P32" s="796">
        <f>P33</f>
        <v>6359300</v>
      </c>
      <c r="Q32" s="273"/>
      <c r="R32" s="273"/>
    </row>
    <row r="33" spans="1:20" s="85" customFormat="1" ht="47.25" thickTop="1" thickBot="1" x14ac:dyDescent="0.25">
      <c r="A33" s="557" t="s">
        <v>894</v>
      </c>
      <c r="B33" s="557" t="s">
        <v>895</v>
      </c>
      <c r="C33" s="557"/>
      <c r="D33" s="557" t="s">
        <v>896</v>
      </c>
      <c r="E33" s="555">
        <f>SUM(E34)</f>
        <v>6359300</v>
      </c>
      <c r="F33" s="555">
        <f t="shared" ref="F33:P33" si="13">SUM(F34)</f>
        <v>6359300</v>
      </c>
      <c r="G33" s="555">
        <f t="shared" si="13"/>
        <v>0</v>
      </c>
      <c r="H33" s="555">
        <f t="shared" si="13"/>
        <v>0</v>
      </c>
      <c r="I33" s="555">
        <f t="shared" si="13"/>
        <v>0</v>
      </c>
      <c r="J33" s="555">
        <f t="shared" si="13"/>
        <v>0</v>
      </c>
      <c r="K33" s="555">
        <f t="shared" si="13"/>
        <v>0</v>
      </c>
      <c r="L33" s="555">
        <f t="shared" si="13"/>
        <v>0</v>
      </c>
      <c r="M33" s="555">
        <f t="shared" si="13"/>
        <v>0</v>
      </c>
      <c r="N33" s="555">
        <f t="shared" si="13"/>
        <v>0</v>
      </c>
      <c r="O33" s="555">
        <f t="shared" si="13"/>
        <v>0</v>
      </c>
      <c r="P33" s="555">
        <f t="shared" si="13"/>
        <v>6359300</v>
      </c>
    </row>
    <row r="34" spans="1:20" ht="93" thickTop="1" thickBot="1" x14ac:dyDescent="0.25">
      <c r="A34" s="804" t="s">
        <v>266</v>
      </c>
      <c r="B34" s="804" t="s">
        <v>267</v>
      </c>
      <c r="C34" s="804" t="s">
        <v>268</v>
      </c>
      <c r="D34" s="804" t="s">
        <v>269</v>
      </c>
      <c r="E34" s="806">
        <f>F34</f>
        <v>6359300</v>
      </c>
      <c r="F34" s="756">
        <v>6359300</v>
      </c>
      <c r="G34" s="756"/>
      <c r="H34" s="756"/>
      <c r="I34" s="756"/>
      <c r="J34" s="806">
        <f>L34+O34</f>
        <v>0</v>
      </c>
      <c r="K34" s="756"/>
      <c r="L34" s="756"/>
      <c r="M34" s="756"/>
      <c r="N34" s="756"/>
      <c r="O34" s="755">
        <f>K34</f>
        <v>0</v>
      </c>
      <c r="P34" s="806">
        <f>E34+J34</f>
        <v>6359300</v>
      </c>
    </row>
    <row r="35" spans="1:20" ht="47.25" thickTop="1" thickBot="1" x14ac:dyDescent="0.25">
      <c r="A35" s="251" t="s">
        <v>897</v>
      </c>
      <c r="B35" s="251" t="s">
        <v>898</v>
      </c>
      <c r="C35" s="251"/>
      <c r="D35" s="251" t="s">
        <v>899</v>
      </c>
      <c r="E35" s="796">
        <f t="shared" ref="E35:P35" si="14">E36+E39</f>
        <v>3120100</v>
      </c>
      <c r="F35" s="796">
        <f t="shared" si="14"/>
        <v>3120100</v>
      </c>
      <c r="G35" s="796">
        <f t="shared" si="14"/>
        <v>0</v>
      </c>
      <c r="H35" s="796">
        <f t="shared" si="14"/>
        <v>0</v>
      </c>
      <c r="I35" s="796">
        <f t="shared" si="14"/>
        <v>0</v>
      </c>
      <c r="J35" s="796">
        <f t="shared" si="14"/>
        <v>960000</v>
      </c>
      <c r="K35" s="796">
        <f t="shared" si="14"/>
        <v>960000</v>
      </c>
      <c r="L35" s="796">
        <f t="shared" si="14"/>
        <v>0</v>
      </c>
      <c r="M35" s="796">
        <f t="shared" si="14"/>
        <v>0</v>
      </c>
      <c r="N35" s="796">
        <f t="shared" si="14"/>
        <v>0</v>
      </c>
      <c r="O35" s="796">
        <f t="shared" si="14"/>
        <v>960000</v>
      </c>
      <c r="P35" s="796">
        <f t="shared" si="14"/>
        <v>4080100</v>
      </c>
    </row>
    <row r="36" spans="1:20" s="85" customFormat="1" ht="271.5" thickTop="1" thickBot="1" x14ac:dyDescent="0.25">
      <c r="A36" s="557" t="s">
        <v>900</v>
      </c>
      <c r="B36" s="557" t="s">
        <v>901</v>
      </c>
      <c r="C36" s="557"/>
      <c r="D36" s="557" t="s">
        <v>902</v>
      </c>
      <c r="E36" s="555">
        <f>SUM(E37:E38)</f>
        <v>420100</v>
      </c>
      <c r="F36" s="555">
        <f t="shared" ref="F36:P36" si="15">SUM(F37:F38)</f>
        <v>420100</v>
      </c>
      <c r="G36" s="555">
        <f t="shared" si="15"/>
        <v>0</v>
      </c>
      <c r="H36" s="555">
        <f t="shared" si="15"/>
        <v>0</v>
      </c>
      <c r="I36" s="555">
        <f t="shared" si="15"/>
        <v>0</v>
      </c>
      <c r="J36" s="555">
        <f t="shared" si="15"/>
        <v>0</v>
      </c>
      <c r="K36" s="555">
        <f t="shared" si="15"/>
        <v>0</v>
      </c>
      <c r="L36" s="555">
        <f t="shared" si="15"/>
        <v>0</v>
      </c>
      <c r="M36" s="555">
        <f t="shared" si="15"/>
        <v>0</v>
      </c>
      <c r="N36" s="555">
        <f t="shared" si="15"/>
        <v>0</v>
      </c>
      <c r="O36" s="555">
        <f t="shared" si="15"/>
        <v>0</v>
      </c>
      <c r="P36" s="555">
        <f t="shared" si="15"/>
        <v>420100</v>
      </c>
      <c r="Q36" s="273"/>
      <c r="R36" s="273"/>
    </row>
    <row r="37" spans="1:20" ht="276" thickTop="1" thickBot="1" x14ac:dyDescent="0.25">
      <c r="A37" s="795" t="s">
        <v>270</v>
      </c>
      <c r="B37" s="795" t="s">
        <v>271</v>
      </c>
      <c r="C37" s="795" t="s">
        <v>45</v>
      </c>
      <c r="D37" s="795" t="s">
        <v>486</v>
      </c>
      <c r="E37" s="796">
        <f t="shared" si="5"/>
        <v>300000</v>
      </c>
      <c r="F37" s="416">
        <v>300000</v>
      </c>
      <c r="G37" s="416"/>
      <c r="H37" s="416"/>
      <c r="I37" s="416"/>
      <c r="J37" s="796">
        <f>L37+O37</f>
        <v>0</v>
      </c>
      <c r="K37" s="416"/>
      <c r="L37" s="416"/>
      <c r="M37" s="416"/>
      <c r="N37" s="416"/>
      <c r="O37" s="797">
        <f>K37</f>
        <v>0</v>
      </c>
      <c r="P37" s="796">
        <f>E37+J37</f>
        <v>300000</v>
      </c>
    </row>
    <row r="38" spans="1:20" ht="93" thickTop="1" thickBot="1" x14ac:dyDescent="0.25">
      <c r="A38" s="795" t="s">
        <v>721</v>
      </c>
      <c r="B38" s="795" t="s">
        <v>399</v>
      </c>
      <c r="C38" s="795" t="s">
        <v>45</v>
      </c>
      <c r="D38" s="795" t="s">
        <v>400</v>
      </c>
      <c r="E38" s="796">
        <f t="shared" si="5"/>
        <v>120100</v>
      </c>
      <c r="F38" s="416">
        <v>120100</v>
      </c>
      <c r="G38" s="416"/>
      <c r="H38" s="416"/>
      <c r="I38" s="416"/>
      <c r="J38" s="796">
        <f>L38+O38</f>
        <v>0</v>
      </c>
      <c r="K38" s="416"/>
      <c r="L38" s="416"/>
      <c r="M38" s="416"/>
      <c r="N38" s="416"/>
      <c r="O38" s="797">
        <f>K38</f>
        <v>0</v>
      </c>
      <c r="P38" s="796">
        <f>E38+J38</f>
        <v>120100</v>
      </c>
    </row>
    <row r="39" spans="1:20" ht="271.5" thickTop="1" thickBot="1" x14ac:dyDescent="0.25">
      <c r="A39" s="557" t="s">
        <v>572</v>
      </c>
      <c r="B39" s="557" t="s">
        <v>573</v>
      </c>
      <c r="C39" s="557" t="s">
        <v>45</v>
      </c>
      <c r="D39" s="557" t="s">
        <v>574</v>
      </c>
      <c r="E39" s="555">
        <f t="shared" si="5"/>
        <v>2700000</v>
      </c>
      <c r="F39" s="555">
        <f>500000+400000+80000+400000+80000+60000+200000+80000+300000+500000+100000</f>
        <v>2700000</v>
      </c>
      <c r="G39" s="555"/>
      <c r="H39" s="555"/>
      <c r="I39" s="555"/>
      <c r="J39" s="555">
        <f>L39+O39</f>
        <v>960000</v>
      </c>
      <c r="K39" s="756">
        <f>80000+300000+500000+80000</f>
        <v>960000</v>
      </c>
      <c r="L39" s="555"/>
      <c r="M39" s="555"/>
      <c r="N39" s="555"/>
      <c r="O39" s="555">
        <f>K39</f>
        <v>960000</v>
      </c>
      <c r="P39" s="555">
        <f>E39+J39</f>
        <v>3660000</v>
      </c>
      <c r="R39" s="180" t="e">
        <f>K39=#REF!+#REF!</f>
        <v>#REF!</v>
      </c>
    </row>
    <row r="40" spans="1:20" ht="136.5" thickTop="1" thickBot="1" x14ac:dyDescent="0.25">
      <c r="A40" s="680" t="s">
        <v>173</v>
      </c>
      <c r="B40" s="680"/>
      <c r="C40" s="680"/>
      <c r="D40" s="681" t="s">
        <v>0</v>
      </c>
      <c r="E40" s="682">
        <f>E41</f>
        <v>1575466584.1299999</v>
      </c>
      <c r="F40" s="683">
        <f t="shared" ref="F40" si="16">F41</f>
        <v>1575466584.1299999</v>
      </c>
      <c r="G40" s="683">
        <f>G41</f>
        <v>1110859566.47</v>
      </c>
      <c r="H40" s="683">
        <f>H41</f>
        <v>88639939.789999992</v>
      </c>
      <c r="I40" s="683">
        <f t="shared" ref="I40" si="17">I41</f>
        <v>0</v>
      </c>
      <c r="J40" s="682">
        <f>J41</f>
        <v>185002150.25</v>
      </c>
      <c r="K40" s="683">
        <f>K41</f>
        <v>41104910.250000007</v>
      </c>
      <c r="L40" s="683">
        <f>L41</f>
        <v>142092020</v>
      </c>
      <c r="M40" s="683">
        <f t="shared" ref="M40" si="18">M41</f>
        <v>41217060</v>
      </c>
      <c r="N40" s="682">
        <f>N41</f>
        <v>8654190</v>
      </c>
      <c r="O40" s="682">
        <f>O41</f>
        <v>42910130.250000007</v>
      </c>
      <c r="P40" s="683">
        <f t="shared" ref="P40" si="19">P41</f>
        <v>1760468734.3799999</v>
      </c>
    </row>
    <row r="41" spans="1:20" ht="136.5" thickTop="1" thickBot="1" x14ac:dyDescent="0.25">
      <c r="A41" s="684" t="s">
        <v>174</v>
      </c>
      <c r="B41" s="684"/>
      <c r="C41" s="684"/>
      <c r="D41" s="685" t="s">
        <v>1</v>
      </c>
      <c r="E41" s="686">
        <f>E42+E66</f>
        <v>1575466584.1299999</v>
      </c>
      <c r="F41" s="686">
        <f t="shared" ref="F41:I41" si="20">F42+F66</f>
        <v>1575466584.1299999</v>
      </c>
      <c r="G41" s="686">
        <f t="shared" si="20"/>
        <v>1110859566.47</v>
      </c>
      <c r="H41" s="686">
        <f t="shared" si="20"/>
        <v>88639939.789999992</v>
      </c>
      <c r="I41" s="686">
        <f t="shared" si="20"/>
        <v>0</v>
      </c>
      <c r="J41" s="686">
        <f>L41+O41</f>
        <v>185002150.25</v>
      </c>
      <c r="K41" s="686">
        <f t="shared" ref="K41:O41" si="21">K42+K66</f>
        <v>41104910.250000007</v>
      </c>
      <c r="L41" s="686">
        <f t="shared" si="21"/>
        <v>142092020</v>
      </c>
      <c r="M41" s="686">
        <f t="shared" si="21"/>
        <v>41217060</v>
      </c>
      <c r="N41" s="686">
        <f t="shared" si="21"/>
        <v>8654190</v>
      </c>
      <c r="O41" s="686">
        <f t="shared" si="21"/>
        <v>42910130.250000007</v>
      </c>
      <c r="P41" s="687">
        <f>E41+J41</f>
        <v>1760468734.3799999</v>
      </c>
      <c r="Q41" s="180" t="b">
        <f>P41=P43+P45+P46+P48+P52+P54+P55+P57+P58+P60+P61+P62+P64+P65+P67+P51</f>
        <v>1</v>
      </c>
      <c r="R41" s="180" t="e">
        <f>K41=#REF!</f>
        <v>#REF!</v>
      </c>
    </row>
    <row r="42" spans="1:20" ht="47.25" thickTop="1" thickBot="1" x14ac:dyDescent="0.25">
      <c r="A42" s="251" t="s">
        <v>903</v>
      </c>
      <c r="B42" s="251" t="s">
        <v>904</v>
      </c>
      <c r="C42" s="251"/>
      <c r="D42" s="251" t="s">
        <v>905</v>
      </c>
      <c r="E42" s="796">
        <f>E43+E44+E47+E52+E53+E56+E59+E62+E63+E65+E49</f>
        <v>1575466584.1299999</v>
      </c>
      <c r="F42" s="796">
        <f t="shared" ref="F42:P42" si="22">F43+F44+F47+F52+F53+F56+F59+F62+F63+F65+F49</f>
        <v>1575466584.1299999</v>
      </c>
      <c r="G42" s="796">
        <f t="shared" si="22"/>
        <v>1110859566.47</v>
      </c>
      <c r="H42" s="796">
        <f t="shared" si="22"/>
        <v>88639939.789999992</v>
      </c>
      <c r="I42" s="796">
        <f t="shared" si="22"/>
        <v>0</v>
      </c>
      <c r="J42" s="796">
        <f t="shared" si="22"/>
        <v>185002150.25</v>
      </c>
      <c r="K42" s="796">
        <f t="shared" si="22"/>
        <v>41104910.250000007</v>
      </c>
      <c r="L42" s="796">
        <f t="shared" si="22"/>
        <v>142092020</v>
      </c>
      <c r="M42" s="796">
        <f t="shared" si="22"/>
        <v>41217060</v>
      </c>
      <c r="N42" s="796">
        <f t="shared" si="22"/>
        <v>8654190</v>
      </c>
      <c r="O42" s="796">
        <f t="shared" si="22"/>
        <v>42910130.250000007</v>
      </c>
      <c r="P42" s="796">
        <f t="shared" si="22"/>
        <v>1760468734.3800001</v>
      </c>
      <c r="Q42" s="180"/>
      <c r="R42" s="180"/>
    </row>
    <row r="43" spans="1:20" ht="99" customHeight="1" thickTop="1" thickBot="1" x14ac:dyDescent="0.6">
      <c r="A43" s="795" t="s">
        <v>223</v>
      </c>
      <c r="B43" s="795" t="s">
        <v>224</v>
      </c>
      <c r="C43" s="795" t="s">
        <v>226</v>
      </c>
      <c r="D43" s="795" t="s">
        <v>227</v>
      </c>
      <c r="E43" s="796">
        <f>F43</f>
        <v>464539579</v>
      </c>
      <c r="F43" s="416">
        <f>(372491460+6155150+631440+29930200+2557000+20309300+734740+914480+6850060+1542435+90625+530000+37683.94+102316.06+90274+29393+150000+101020+33980+1000000+18794374+1868908)-1600000-400000+14500+180000+1400000-19760+20000</f>
        <v>464539579</v>
      </c>
      <c r="G43" s="416">
        <f>(305204300+12733230+1420850)-1600000</f>
        <v>317758380</v>
      </c>
      <c r="H43" s="416">
        <f>(20309300+734740+914480+6850060+1542435+1159227+80427)+1400000-19760</f>
        <v>32970909</v>
      </c>
      <c r="I43" s="416"/>
      <c r="J43" s="796">
        <f t="shared" ref="J43:J65" si="23">L43+O43</f>
        <v>71919748.370000005</v>
      </c>
      <c r="K43" s="416">
        <f>(800000+3100000+160000+440000+130000+30333+15000+300000+1172122-1172122)+48000+542134.23+700000+500000+500000+59561.14+49000</f>
        <v>7374028.3700000001</v>
      </c>
      <c r="L43" s="416">
        <f>(12568180+2758370+5329340+76070+37006700+2376280+17030+812980+26200+2000+18400+2848150)</f>
        <v>63839700</v>
      </c>
      <c r="M43" s="416">
        <f>(12568180+803420)</f>
        <v>13371600</v>
      </c>
      <c r="N43" s="416">
        <f>(222380+222120+356490+1320+10670+30130)</f>
        <v>843110</v>
      </c>
      <c r="O43" s="797">
        <f>K43+667020+39000</f>
        <v>8080048.3700000001</v>
      </c>
      <c r="P43" s="796">
        <f t="shared" ref="P43:P65" si="24">E43+J43</f>
        <v>536459327.37</v>
      </c>
      <c r="Q43" s="274"/>
      <c r="R43" s="180" t="e">
        <f>K43=#REF!+#REF!+#REF!+#REF!+#REF!+#REF!+#REF!+#REF!+#REF!+#REF!+#REF!</f>
        <v>#REF!</v>
      </c>
    </row>
    <row r="44" spans="1:20" ht="138.75" thickTop="1" thickBot="1" x14ac:dyDescent="0.6">
      <c r="A44" s="552" t="s">
        <v>228</v>
      </c>
      <c r="B44" s="552" t="s">
        <v>225</v>
      </c>
      <c r="C44" s="552"/>
      <c r="D44" s="552" t="s">
        <v>839</v>
      </c>
      <c r="E44" s="553">
        <f>E45+E46</f>
        <v>309513646.13999999</v>
      </c>
      <c r="F44" s="553">
        <f>F45+F46</f>
        <v>309513646.13999999</v>
      </c>
      <c r="G44" s="553">
        <f t="shared" ref="G44:O44" si="25">G45+G46</f>
        <v>173699335</v>
      </c>
      <c r="H44" s="553">
        <f t="shared" si="25"/>
        <v>42162660.789999999</v>
      </c>
      <c r="I44" s="553">
        <f t="shared" si="25"/>
        <v>0</v>
      </c>
      <c r="J44" s="553">
        <f t="shared" si="25"/>
        <v>70979761.890000001</v>
      </c>
      <c r="K44" s="553">
        <f t="shared" si="25"/>
        <v>18370811.890000004</v>
      </c>
      <c r="L44" s="553">
        <f t="shared" si="25"/>
        <v>51790750</v>
      </c>
      <c r="M44" s="553">
        <f t="shared" si="25"/>
        <v>19457250</v>
      </c>
      <c r="N44" s="553">
        <f t="shared" si="25"/>
        <v>945120</v>
      </c>
      <c r="O44" s="761">
        <f t="shared" si="25"/>
        <v>19189011.890000004</v>
      </c>
      <c r="P44" s="553">
        <f t="shared" si="24"/>
        <v>380493408.02999997</v>
      </c>
      <c r="Q44" s="274"/>
      <c r="R44" s="96"/>
    </row>
    <row r="45" spans="1:20" ht="138.75" thickTop="1" thickBot="1" x14ac:dyDescent="0.6">
      <c r="A45" s="795" t="s">
        <v>836</v>
      </c>
      <c r="B45" s="795" t="s">
        <v>837</v>
      </c>
      <c r="C45" s="795" t="s">
        <v>229</v>
      </c>
      <c r="D45" s="795" t="s">
        <v>838</v>
      </c>
      <c r="E45" s="796">
        <f t="shared" ref="E45:E55" si="26">F45</f>
        <v>287563064.13999999</v>
      </c>
      <c r="F45" s="416">
        <f>(293431677)+314737.33-3489794.54-2700000-2424285.65+35000+199620+70000+155500+5000+5000+85000+126230+99400+45000+150000+50000+20000+40000+49900+662500+80000+34010+1101400+17170-165000-635000+200000</f>
        <v>287563064.13999999</v>
      </c>
      <c r="G45" s="416">
        <f>(665932900-12733230-496181500)</f>
        <v>157018170</v>
      </c>
      <c r="H45" s="416">
        <f>(28409070+505115+696000+1555400+9873130+1177895-1159227+6058967)+314737.33-3489794.54-2700000+662500-165000-635000+200000</f>
        <v>41303792.789999999</v>
      </c>
      <c r="I45" s="416"/>
      <c r="J45" s="796">
        <f t="shared" si="23"/>
        <v>69978720.890000001</v>
      </c>
      <c r="K45" s="416">
        <f>(548818+750000+750000+1000000+200000+750000+400000+2000000+3000000+1970000+500000+500000+50000+50000+300000+92450+1224076-1224076-1970000)+400000+17500+75000+42000+48000+1738790+1007090+500000+292490.88+49000+110000+78000+220000+250000+250000+49000+49000+1261682+92850.01</f>
        <v>17421670.890000004</v>
      </c>
      <c r="L45" s="416">
        <f>(20260670+4446400+3714280+69930+22978640+1904840+107920+944650+28110+4600+143360-2848150)-16400</f>
        <v>51738850</v>
      </c>
      <c r="M45" s="416">
        <f>(20260670-803420)</f>
        <v>19457250</v>
      </c>
      <c r="N45" s="416">
        <f>(315710+155250+435040+38650-30130)</f>
        <v>914520</v>
      </c>
      <c r="O45" s="797">
        <f>(K45+840800-39000)+16400</f>
        <v>18239870.890000004</v>
      </c>
      <c r="P45" s="796">
        <f t="shared" si="24"/>
        <v>357541785.02999997</v>
      </c>
      <c r="Q45" s="274"/>
      <c r="R45" s="468" t="e">
        <f>K45=#REF!+#REF!+#REF!+#REF!+#REF!+#REF!+#REF!+#REF!+#REF!+#REF!+#REF!+#REF!+#REF!+#REF!+#REF!+#REF!+#REF!+#REF!+#REF!+#REF!+#REF!+#REF!+#REF!+#REF!</f>
        <v>#REF!</v>
      </c>
      <c r="T45" s="315"/>
    </row>
    <row r="46" spans="1:20" ht="276" thickTop="1" thickBot="1" x14ac:dyDescent="0.25">
      <c r="A46" s="795" t="s">
        <v>846</v>
      </c>
      <c r="B46" s="795" t="s">
        <v>847</v>
      </c>
      <c r="C46" s="795" t="s">
        <v>232</v>
      </c>
      <c r="D46" s="795" t="s">
        <v>555</v>
      </c>
      <c r="E46" s="796">
        <f t="shared" si="26"/>
        <v>21950582</v>
      </c>
      <c r="F46" s="416">
        <f>(21983082)+14000-38115-8385</f>
        <v>21950582</v>
      </c>
      <c r="G46" s="416">
        <f>(18140130-1420850)-38115</f>
        <v>16681165</v>
      </c>
      <c r="H46" s="416">
        <f>(779700+14900+108615+22080-80427)+14000</f>
        <v>858868</v>
      </c>
      <c r="I46" s="416"/>
      <c r="J46" s="796">
        <f t="shared" si="23"/>
        <v>1001041</v>
      </c>
      <c r="K46" s="416">
        <f>(300000+100000+120000+38430+59425+30000-30000)+16386+314900</f>
        <v>949141</v>
      </c>
      <c r="L46" s="416">
        <f>(10100+6900+2500+30600+1800)</f>
        <v>51900</v>
      </c>
      <c r="M46" s="416"/>
      <c r="N46" s="416">
        <f>(18600+800+10600+600)</f>
        <v>30600</v>
      </c>
      <c r="O46" s="797">
        <f>K46</f>
        <v>949141</v>
      </c>
      <c r="P46" s="796">
        <f t="shared" si="24"/>
        <v>22951623</v>
      </c>
      <c r="R46" s="468" t="e">
        <f>K46=#REF!+#REF!</f>
        <v>#REF!</v>
      </c>
    </row>
    <row r="47" spans="1:20" ht="138.75" thickTop="1" thickBot="1" x14ac:dyDescent="0.25">
      <c r="A47" s="552" t="s">
        <v>556</v>
      </c>
      <c r="B47" s="552" t="s">
        <v>230</v>
      </c>
      <c r="C47" s="552"/>
      <c r="D47" s="552" t="s">
        <v>854</v>
      </c>
      <c r="E47" s="553">
        <f>E48</f>
        <v>608795058</v>
      </c>
      <c r="F47" s="553">
        <f>F48</f>
        <v>608795058</v>
      </c>
      <c r="G47" s="553">
        <f t="shared" ref="G47:P47" si="27">G48</f>
        <v>496181500</v>
      </c>
      <c r="H47" s="553">
        <f t="shared" si="27"/>
        <v>0</v>
      </c>
      <c r="I47" s="553">
        <f t="shared" si="27"/>
        <v>0</v>
      </c>
      <c r="J47" s="553">
        <f t="shared" si="27"/>
        <v>0</v>
      </c>
      <c r="K47" s="553">
        <f t="shared" si="27"/>
        <v>0</v>
      </c>
      <c r="L47" s="553">
        <f t="shared" si="27"/>
        <v>0</v>
      </c>
      <c r="M47" s="553">
        <f t="shared" si="27"/>
        <v>0</v>
      </c>
      <c r="N47" s="553">
        <f t="shared" si="27"/>
        <v>0</v>
      </c>
      <c r="O47" s="553">
        <f t="shared" si="27"/>
        <v>0</v>
      </c>
      <c r="P47" s="553">
        <f t="shared" si="27"/>
        <v>608795058</v>
      </c>
      <c r="R47" s="511"/>
    </row>
    <row r="48" spans="1:20" ht="138.75" thickTop="1" thickBot="1" x14ac:dyDescent="0.25">
      <c r="A48" s="795" t="s">
        <v>855</v>
      </c>
      <c r="B48" s="795" t="s">
        <v>856</v>
      </c>
      <c r="C48" s="795" t="s">
        <v>229</v>
      </c>
      <c r="D48" s="795" t="s">
        <v>838</v>
      </c>
      <c r="E48" s="796">
        <f t="shared" ref="E48" si="28">F48</f>
        <v>608795058</v>
      </c>
      <c r="F48" s="416">
        <v>608795058</v>
      </c>
      <c r="G48" s="416">
        <v>496181500</v>
      </c>
      <c r="H48" s="416"/>
      <c r="I48" s="416"/>
      <c r="J48" s="796">
        <f t="shared" ref="J48" si="29">L48+O48</f>
        <v>0</v>
      </c>
      <c r="K48" s="416"/>
      <c r="L48" s="416"/>
      <c r="M48" s="416"/>
      <c r="N48" s="416"/>
      <c r="O48" s="797">
        <f>K48</f>
        <v>0</v>
      </c>
      <c r="P48" s="796">
        <f t="shared" ref="P48:P51" si="30">E48+J48</f>
        <v>608795058</v>
      </c>
      <c r="R48" s="270"/>
    </row>
    <row r="49" spans="1:18" ht="409.6" thickTop="1" x14ac:dyDescent="0.65">
      <c r="A49" s="987" t="s">
        <v>1226</v>
      </c>
      <c r="B49" s="987" t="s">
        <v>52</v>
      </c>
      <c r="C49" s="987"/>
      <c r="D49" s="807" t="s">
        <v>1229</v>
      </c>
      <c r="E49" s="986">
        <f t="shared" ref="E49:O49" si="31">E51</f>
        <v>0</v>
      </c>
      <c r="F49" s="986">
        <f t="shared" si="31"/>
        <v>0</v>
      </c>
      <c r="G49" s="986">
        <f t="shared" si="31"/>
        <v>0</v>
      </c>
      <c r="H49" s="986">
        <f t="shared" si="31"/>
        <v>0</v>
      </c>
      <c r="I49" s="986">
        <f t="shared" si="31"/>
        <v>0</v>
      </c>
      <c r="J49" s="986">
        <f t="shared" si="31"/>
        <v>6197509.9900000002</v>
      </c>
      <c r="K49" s="986">
        <f t="shared" si="31"/>
        <v>6197509.9900000002</v>
      </c>
      <c r="L49" s="986">
        <f t="shared" si="31"/>
        <v>0</v>
      </c>
      <c r="M49" s="986">
        <f t="shared" si="31"/>
        <v>0</v>
      </c>
      <c r="N49" s="986">
        <f t="shared" si="31"/>
        <v>0</v>
      </c>
      <c r="O49" s="986">
        <f t="shared" si="31"/>
        <v>6197509.9900000002</v>
      </c>
      <c r="P49" s="986">
        <f>E49+J49</f>
        <v>6197509.9900000002</v>
      </c>
      <c r="R49" s="270"/>
    </row>
    <row r="50" spans="1:18" ht="183.75" thickBot="1" x14ac:dyDescent="0.25">
      <c r="A50" s="929"/>
      <c r="B50" s="929"/>
      <c r="C50" s="929"/>
      <c r="D50" s="808" t="s">
        <v>1230</v>
      </c>
      <c r="E50" s="929"/>
      <c r="F50" s="929"/>
      <c r="G50" s="929"/>
      <c r="H50" s="929"/>
      <c r="I50" s="929"/>
      <c r="J50" s="929"/>
      <c r="K50" s="929"/>
      <c r="L50" s="929"/>
      <c r="M50" s="929"/>
      <c r="N50" s="929"/>
      <c r="O50" s="929"/>
      <c r="P50" s="929"/>
      <c r="R50" s="270"/>
    </row>
    <row r="51" spans="1:18" ht="138.75" thickTop="1" thickBot="1" x14ac:dyDescent="0.25">
      <c r="A51" s="795" t="s">
        <v>1227</v>
      </c>
      <c r="B51" s="795" t="s">
        <v>1228</v>
      </c>
      <c r="C51" s="795" t="s">
        <v>229</v>
      </c>
      <c r="D51" s="795" t="s">
        <v>1231</v>
      </c>
      <c r="E51" s="796">
        <f t="shared" ref="E51" si="32">F51</f>
        <v>0</v>
      </c>
      <c r="F51" s="416"/>
      <c r="G51" s="416"/>
      <c r="H51" s="416"/>
      <c r="I51" s="416"/>
      <c r="J51" s="796">
        <f t="shared" ref="J51" si="33">L51+O51</f>
        <v>6197509.9900000002</v>
      </c>
      <c r="K51" s="416">
        <f>700000+700000+2000000+700000+500000+107149.99+400000+400000+690360</f>
        <v>6197509.9900000002</v>
      </c>
      <c r="L51" s="416"/>
      <c r="M51" s="416"/>
      <c r="N51" s="416"/>
      <c r="O51" s="797">
        <f>K51</f>
        <v>6197509.9900000002</v>
      </c>
      <c r="P51" s="796">
        <f t="shared" si="30"/>
        <v>6197509.9900000002</v>
      </c>
      <c r="R51" s="180" t="e">
        <f>K51=#REF!+#REF!+#REF!+#REF!+#REF!+#REF!+#REF!+#REF!+#REF!</f>
        <v>#REF!</v>
      </c>
    </row>
    <row r="52" spans="1:18" ht="184.5" thickTop="1" thickBot="1" x14ac:dyDescent="0.25">
      <c r="A52" s="795" t="s">
        <v>857</v>
      </c>
      <c r="B52" s="795" t="s">
        <v>231</v>
      </c>
      <c r="C52" s="795" t="s">
        <v>206</v>
      </c>
      <c r="D52" s="795" t="s">
        <v>557</v>
      </c>
      <c r="E52" s="796">
        <f t="shared" si="26"/>
        <v>33802238</v>
      </c>
      <c r="F52" s="416">
        <f>(27590745+205730+10500+221500+130820+1620460+33365+388480+37100+8875+121133)+56500+75000+918750+1201665+264366+22418+49800+391485+31000+93850+328696</f>
        <v>33802238</v>
      </c>
      <c r="G52" s="416">
        <f>(22671115)+1201665</f>
        <v>23872780</v>
      </c>
      <c r="H52" s="416">
        <f>(1620460+33365+388480+37100)+56500</f>
        <v>2135905</v>
      </c>
      <c r="I52" s="416"/>
      <c r="J52" s="796">
        <f t="shared" si="23"/>
        <v>8537695</v>
      </c>
      <c r="K52" s="416">
        <f>(761045)+177100+2000000</f>
        <v>2938145</v>
      </c>
      <c r="L52" s="416">
        <f>(1398310+307720+983700+48960+1732500+659140+33260+245150+4900+64910)</f>
        <v>5478550</v>
      </c>
      <c r="M52" s="416">
        <v>1398310</v>
      </c>
      <c r="N52" s="416">
        <f>(14930+1030+228040+1150)</f>
        <v>245150</v>
      </c>
      <c r="O52" s="797">
        <f>K52+121000</f>
        <v>3059145</v>
      </c>
      <c r="P52" s="796">
        <f t="shared" si="24"/>
        <v>42339933</v>
      </c>
      <c r="R52" s="180" t="e">
        <f>K52=#REF!+#REF!</f>
        <v>#REF!</v>
      </c>
    </row>
    <row r="53" spans="1:18" ht="184.5" thickTop="1" thickBot="1" x14ac:dyDescent="0.25">
      <c r="A53" s="552" t="s">
        <v>233</v>
      </c>
      <c r="B53" s="552" t="s">
        <v>216</v>
      </c>
      <c r="C53" s="552"/>
      <c r="D53" s="552" t="s">
        <v>559</v>
      </c>
      <c r="E53" s="553">
        <f>E54+E55</f>
        <v>116067578.98999999</v>
      </c>
      <c r="F53" s="553">
        <f t="shared" ref="F53:O53" si="34">F54+F55</f>
        <v>116067578.98999999</v>
      </c>
      <c r="G53" s="553">
        <f t="shared" si="34"/>
        <v>69630895.469999999</v>
      </c>
      <c r="H53" s="553">
        <f t="shared" si="34"/>
        <v>10459845</v>
      </c>
      <c r="I53" s="553">
        <f t="shared" si="34"/>
        <v>0</v>
      </c>
      <c r="J53" s="553">
        <f t="shared" si="34"/>
        <v>22456637</v>
      </c>
      <c r="K53" s="553">
        <f t="shared" si="34"/>
        <v>1728217</v>
      </c>
      <c r="L53" s="553">
        <f t="shared" si="34"/>
        <v>20568420</v>
      </c>
      <c r="M53" s="553">
        <f t="shared" si="34"/>
        <v>6797480</v>
      </c>
      <c r="N53" s="553">
        <f t="shared" si="34"/>
        <v>6568900</v>
      </c>
      <c r="O53" s="553">
        <f t="shared" si="34"/>
        <v>1888217</v>
      </c>
      <c r="P53" s="553">
        <f t="shared" si="24"/>
        <v>138524215.99000001</v>
      </c>
      <c r="R53" s="511"/>
    </row>
    <row r="54" spans="1:18" ht="230.25" thickTop="1" thickBot="1" x14ac:dyDescent="0.25">
      <c r="A54" s="795" t="s">
        <v>858</v>
      </c>
      <c r="B54" s="795" t="s">
        <v>859</v>
      </c>
      <c r="C54" s="795" t="s">
        <v>234</v>
      </c>
      <c r="D54" s="795" t="s">
        <v>860</v>
      </c>
      <c r="E54" s="796">
        <f t="shared" si="26"/>
        <v>98296478.989999995</v>
      </c>
      <c r="F54" s="416">
        <f>(99149586)+227750+30185+47050+160945+1806575+765263-2155895.53-398189.48-455467-6740-34278-840305</f>
        <v>98296478.989999995</v>
      </c>
      <c r="G54" s="416">
        <f>(71786791-14686900)-2155895.53</f>
        <v>54943995.469999999</v>
      </c>
      <c r="H54" s="416">
        <f>(6850730+76600+19000+3448900+561100)-455467-6740-34278</f>
        <v>10459845</v>
      </c>
      <c r="I54" s="416"/>
      <c r="J54" s="796">
        <f>L54+O54</f>
        <v>22456637</v>
      </c>
      <c r="K54" s="416">
        <f>1170637+15000+542580</f>
        <v>1728217</v>
      </c>
      <c r="L54" s="416">
        <f>(6797480+1421290+1203730+12000+1235200+849000+70500+6568900+81500+2101880+60940+71000)+95000</f>
        <v>20568420</v>
      </c>
      <c r="M54" s="416">
        <v>6797480</v>
      </c>
      <c r="N54" s="416">
        <f>(3761200+749500+1883100+35000+140100)</f>
        <v>6568900</v>
      </c>
      <c r="O54" s="797">
        <f>K54+160000</f>
        <v>1888217</v>
      </c>
      <c r="P54" s="796">
        <f t="shared" si="24"/>
        <v>120753115.98999999</v>
      </c>
      <c r="R54" s="180" t="e">
        <f>K54=#REF!+#REF!+#REF!</f>
        <v>#REF!</v>
      </c>
    </row>
    <row r="55" spans="1:18" ht="230.25" thickTop="1" thickBot="1" x14ac:dyDescent="0.25">
      <c r="A55" s="795" t="s">
        <v>862</v>
      </c>
      <c r="B55" s="795" t="s">
        <v>861</v>
      </c>
      <c r="C55" s="795" t="s">
        <v>234</v>
      </c>
      <c r="D55" s="795" t="s">
        <v>863</v>
      </c>
      <c r="E55" s="796">
        <f t="shared" si="26"/>
        <v>17771100</v>
      </c>
      <c r="F55" s="416">
        <v>17771100</v>
      </c>
      <c r="G55" s="416">
        <v>14686900</v>
      </c>
      <c r="H55" s="416"/>
      <c r="I55" s="416"/>
      <c r="J55" s="796">
        <f>L55+O55</f>
        <v>0</v>
      </c>
      <c r="K55" s="416"/>
      <c r="L55" s="416"/>
      <c r="M55" s="416"/>
      <c r="N55" s="416"/>
      <c r="O55" s="797"/>
      <c r="P55" s="796">
        <f t="shared" si="24"/>
        <v>17771100</v>
      </c>
      <c r="R55" s="270"/>
    </row>
    <row r="56" spans="1:18" ht="93" thickTop="1" thickBot="1" x14ac:dyDescent="0.25">
      <c r="A56" s="552" t="s">
        <v>865</v>
      </c>
      <c r="B56" s="552" t="s">
        <v>864</v>
      </c>
      <c r="C56" s="552"/>
      <c r="D56" s="552" t="s">
        <v>866</v>
      </c>
      <c r="E56" s="553">
        <f>E57+E58</f>
        <v>28031600</v>
      </c>
      <c r="F56" s="553">
        <f t="shared" ref="F56:O56" si="35">F57+F58</f>
        <v>28031600</v>
      </c>
      <c r="G56" s="553">
        <f t="shared" si="35"/>
        <v>20668662</v>
      </c>
      <c r="H56" s="553">
        <f t="shared" si="35"/>
        <v>740115</v>
      </c>
      <c r="I56" s="553">
        <f t="shared" si="35"/>
        <v>0</v>
      </c>
      <c r="J56" s="553">
        <f t="shared" si="35"/>
        <v>414600</v>
      </c>
      <c r="K56" s="553">
        <f t="shared" si="35"/>
        <v>0</v>
      </c>
      <c r="L56" s="553">
        <f t="shared" si="35"/>
        <v>414600</v>
      </c>
      <c r="M56" s="553">
        <f t="shared" si="35"/>
        <v>192420</v>
      </c>
      <c r="N56" s="553">
        <f t="shared" si="35"/>
        <v>51910</v>
      </c>
      <c r="O56" s="553">
        <f t="shared" si="35"/>
        <v>0</v>
      </c>
      <c r="P56" s="553">
        <f>E56+J56</f>
        <v>28446200</v>
      </c>
      <c r="R56" s="511"/>
    </row>
    <row r="57" spans="1:18" ht="93" thickTop="1" thickBot="1" x14ac:dyDescent="0.25">
      <c r="A57" s="795" t="s">
        <v>867</v>
      </c>
      <c r="B57" s="795" t="s">
        <v>868</v>
      </c>
      <c r="C57" s="795" t="s">
        <v>235</v>
      </c>
      <c r="D57" s="795" t="s">
        <v>560</v>
      </c>
      <c r="E57" s="796">
        <f>F57</f>
        <v>27831600</v>
      </c>
      <c r="F57" s="416">
        <f>(27876650+503000+1370+1193900+45500+638560+11800+2700+192610+15890+5070+2700+300+50000-2996350)+53000+151800+63100+20000</f>
        <v>27831600</v>
      </c>
      <c r="G57" s="416">
        <f>(22849710-2181048)</f>
        <v>20668662</v>
      </c>
      <c r="H57" s="416">
        <f>(638560+11800+2700+192610+15890-174445)+53000</f>
        <v>740115</v>
      </c>
      <c r="I57" s="416"/>
      <c r="J57" s="796">
        <f>L57+O57</f>
        <v>414600</v>
      </c>
      <c r="K57" s="416"/>
      <c r="L57" s="416">
        <f>(192420+42340+66010+2500+46010+1210+51910+3000+9200)</f>
        <v>414600</v>
      </c>
      <c r="M57" s="416">
        <v>192420</v>
      </c>
      <c r="N57" s="416">
        <f>(45600+2540+3440+330)</f>
        <v>51910</v>
      </c>
      <c r="O57" s="797">
        <f>K57</f>
        <v>0</v>
      </c>
      <c r="P57" s="796">
        <f>E57+J57</f>
        <v>28246200</v>
      </c>
      <c r="R57" s="270"/>
    </row>
    <row r="58" spans="1:18" ht="93" thickTop="1" thickBot="1" x14ac:dyDescent="0.25">
      <c r="A58" s="795" t="s">
        <v>869</v>
      </c>
      <c r="B58" s="795" t="s">
        <v>870</v>
      </c>
      <c r="C58" s="795" t="s">
        <v>235</v>
      </c>
      <c r="D58" s="795" t="s">
        <v>370</v>
      </c>
      <c r="E58" s="796">
        <f>F58</f>
        <v>200000</v>
      </c>
      <c r="F58" s="416">
        <v>200000</v>
      </c>
      <c r="G58" s="416"/>
      <c r="H58" s="416"/>
      <c r="I58" s="416"/>
      <c r="J58" s="796">
        <f>L58+O58</f>
        <v>0</v>
      </c>
      <c r="K58" s="416"/>
      <c r="L58" s="416"/>
      <c r="M58" s="416"/>
      <c r="N58" s="416"/>
      <c r="O58" s="797">
        <f>K58</f>
        <v>0</v>
      </c>
      <c r="P58" s="796">
        <f>E58+J58</f>
        <v>200000</v>
      </c>
      <c r="R58" s="270"/>
    </row>
    <row r="59" spans="1:18" ht="93" thickTop="1" thickBot="1" x14ac:dyDescent="0.25">
      <c r="A59" s="552" t="s">
        <v>871</v>
      </c>
      <c r="B59" s="552" t="s">
        <v>872</v>
      </c>
      <c r="C59" s="552"/>
      <c r="D59" s="552" t="s">
        <v>469</v>
      </c>
      <c r="E59" s="553">
        <f>E60+E61</f>
        <v>5034485</v>
      </c>
      <c r="F59" s="553">
        <f>F60+F61</f>
        <v>5034485</v>
      </c>
      <c r="G59" s="553">
        <f t="shared" ref="G59:O59" si="36">G60+G61</f>
        <v>3766490</v>
      </c>
      <c r="H59" s="553">
        <f t="shared" si="36"/>
        <v>87755</v>
      </c>
      <c r="I59" s="553">
        <f t="shared" si="36"/>
        <v>0</v>
      </c>
      <c r="J59" s="553">
        <f t="shared" si="36"/>
        <v>50000</v>
      </c>
      <c r="K59" s="553">
        <f t="shared" si="36"/>
        <v>50000</v>
      </c>
      <c r="L59" s="553">
        <f t="shared" si="36"/>
        <v>0</v>
      </c>
      <c r="M59" s="553">
        <f t="shared" si="36"/>
        <v>0</v>
      </c>
      <c r="N59" s="553">
        <f t="shared" si="36"/>
        <v>0</v>
      </c>
      <c r="O59" s="553">
        <f t="shared" si="36"/>
        <v>50000</v>
      </c>
      <c r="P59" s="553">
        <f>E59+J59</f>
        <v>5084485</v>
      </c>
      <c r="R59" s="511"/>
    </row>
    <row r="60" spans="1:18" ht="184.5" thickTop="1" thickBot="1" x14ac:dyDescent="0.25">
      <c r="A60" s="795" t="s">
        <v>873</v>
      </c>
      <c r="B60" s="795" t="s">
        <v>874</v>
      </c>
      <c r="C60" s="795" t="s">
        <v>235</v>
      </c>
      <c r="D60" s="795" t="s">
        <v>875</v>
      </c>
      <c r="E60" s="796">
        <f>F60</f>
        <v>1147685</v>
      </c>
      <c r="F60" s="416">
        <f>(708190+179200+39200+15020+76200+1430+6000+4125+2320)+116000</f>
        <v>1147685</v>
      </c>
      <c r="G60" s="416">
        <f>(580490)</f>
        <v>580490</v>
      </c>
      <c r="H60" s="416">
        <f>(76200+1430+6000+4125)</f>
        <v>87755</v>
      </c>
      <c r="I60" s="416"/>
      <c r="J60" s="796">
        <f>L60+O60</f>
        <v>50000</v>
      </c>
      <c r="K60" s="416">
        <v>50000</v>
      </c>
      <c r="L60" s="416"/>
      <c r="M60" s="416"/>
      <c r="N60" s="416"/>
      <c r="O60" s="797">
        <f>K60</f>
        <v>50000</v>
      </c>
      <c r="P60" s="796">
        <f>E60+J60</f>
        <v>1197685</v>
      </c>
      <c r="R60" s="180" t="e">
        <f>K60=#REF!</f>
        <v>#REF!</v>
      </c>
    </row>
    <row r="61" spans="1:18" ht="138.75" thickTop="1" thickBot="1" x14ac:dyDescent="0.25">
      <c r="A61" s="795" t="s">
        <v>876</v>
      </c>
      <c r="B61" s="795" t="s">
        <v>877</v>
      </c>
      <c r="C61" s="795" t="s">
        <v>235</v>
      </c>
      <c r="D61" s="795" t="s">
        <v>878</v>
      </c>
      <c r="E61" s="796">
        <f>F61</f>
        <v>3886800</v>
      </c>
      <c r="F61" s="416">
        <f>(3886800)</f>
        <v>3886800</v>
      </c>
      <c r="G61" s="416">
        <f>(3186000)</f>
        <v>3186000</v>
      </c>
      <c r="H61" s="416"/>
      <c r="I61" s="416"/>
      <c r="J61" s="796">
        <f t="shared" ref="J61:J62" si="37">L61+O61</f>
        <v>0</v>
      </c>
      <c r="K61" s="416"/>
      <c r="L61" s="416"/>
      <c r="M61" s="416"/>
      <c r="N61" s="416"/>
      <c r="O61" s="797">
        <f t="shared" ref="O61:O62" si="38">K61</f>
        <v>0</v>
      </c>
      <c r="P61" s="796">
        <f t="shared" ref="P61:P62" si="39">E61+J61</f>
        <v>3886800</v>
      </c>
      <c r="R61" s="270"/>
    </row>
    <row r="62" spans="1:18" ht="138.75" thickTop="1" thickBot="1" x14ac:dyDescent="0.25">
      <c r="A62" s="795" t="s">
        <v>843</v>
      </c>
      <c r="B62" s="795" t="s">
        <v>844</v>
      </c>
      <c r="C62" s="795" t="s">
        <v>235</v>
      </c>
      <c r="D62" s="795" t="s">
        <v>845</v>
      </c>
      <c r="E62" s="796">
        <f t="shared" ref="E62:E67" si="40">F62</f>
        <v>2060415</v>
      </c>
      <c r="F62" s="416">
        <f>(2996350)-692000-152240-80795-2000-8900</f>
        <v>2060415</v>
      </c>
      <c r="G62" s="416">
        <f>(2181048)-692000</f>
        <v>1489048</v>
      </c>
      <c r="H62" s="416">
        <f>(174445)-80795-2000-8900</f>
        <v>82750</v>
      </c>
      <c r="I62" s="416"/>
      <c r="J62" s="796">
        <f t="shared" si="37"/>
        <v>50000</v>
      </c>
      <c r="K62" s="416">
        <v>50000</v>
      </c>
      <c r="L62" s="416"/>
      <c r="M62" s="416"/>
      <c r="N62" s="416"/>
      <c r="O62" s="797">
        <f t="shared" si="38"/>
        <v>50000</v>
      </c>
      <c r="P62" s="796">
        <f t="shared" si="39"/>
        <v>2110415</v>
      </c>
      <c r="R62" s="180" t="e">
        <f>K62=#REF!</f>
        <v>#REF!</v>
      </c>
    </row>
    <row r="63" spans="1:18" s="85" customFormat="1" ht="230.25" thickTop="1" thickBot="1" x14ac:dyDescent="0.25">
      <c r="A63" s="552" t="s">
        <v>848</v>
      </c>
      <c r="B63" s="552" t="s">
        <v>849</v>
      </c>
      <c r="C63" s="552"/>
      <c r="D63" s="552" t="s">
        <v>850</v>
      </c>
      <c r="E63" s="553">
        <f t="shared" si="40"/>
        <v>2900000</v>
      </c>
      <c r="F63" s="553">
        <f>F64</f>
        <v>2900000</v>
      </c>
      <c r="G63" s="553">
        <f t="shared" ref="G63:I63" si="41">G64</f>
        <v>0</v>
      </c>
      <c r="H63" s="553">
        <f t="shared" si="41"/>
        <v>0</v>
      </c>
      <c r="I63" s="553">
        <f t="shared" si="41"/>
        <v>0</v>
      </c>
      <c r="J63" s="553">
        <f t="shared" si="23"/>
        <v>2000000</v>
      </c>
      <c r="K63" s="553">
        <f>K64</f>
        <v>2000000</v>
      </c>
      <c r="L63" s="553">
        <f t="shared" ref="L63:N63" si="42">L64</f>
        <v>0</v>
      </c>
      <c r="M63" s="553">
        <f t="shared" si="42"/>
        <v>0</v>
      </c>
      <c r="N63" s="553">
        <f t="shared" si="42"/>
        <v>0</v>
      </c>
      <c r="O63" s="553">
        <f>O64</f>
        <v>2000000</v>
      </c>
      <c r="P63" s="553">
        <f t="shared" si="24"/>
        <v>4900000</v>
      </c>
      <c r="Q63" s="273"/>
      <c r="R63" s="96"/>
    </row>
    <row r="64" spans="1:18" s="85" customFormat="1" ht="367.5" thickTop="1" thickBot="1" x14ac:dyDescent="0.25">
      <c r="A64" s="795" t="s">
        <v>851</v>
      </c>
      <c r="B64" s="795" t="s">
        <v>852</v>
      </c>
      <c r="C64" s="795" t="s">
        <v>235</v>
      </c>
      <c r="D64" s="795" t="s">
        <v>853</v>
      </c>
      <c r="E64" s="796">
        <f t="shared" si="40"/>
        <v>2900000</v>
      </c>
      <c r="F64" s="416">
        <f>(2300000+600000)</f>
        <v>2900000</v>
      </c>
      <c r="G64" s="416"/>
      <c r="H64" s="416"/>
      <c r="I64" s="416"/>
      <c r="J64" s="796">
        <f t="shared" si="23"/>
        <v>2000000</v>
      </c>
      <c r="K64" s="416">
        <v>2000000</v>
      </c>
      <c r="L64" s="416"/>
      <c r="M64" s="416"/>
      <c r="N64" s="416"/>
      <c r="O64" s="797">
        <f t="shared" ref="O64:O65" si="43">K64</f>
        <v>2000000</v>
      </c>
      <c r="P64" s="796">
        <f t="shared" si="24"/>
        <v>4900000</v>
      </c>
      <c r="Q64" s="273"/>
      <c r="R64" s="180" t="e">
        <f>#REF!=K64</f>
        <v>#REF!</v>
      </c>
    </row>
    <row r="65" spans="1:18" s="85" customFormat="1" ht="321.75" thickTop="1" thickBot="1" x14ac:dyDescent="0.25">
      <c r="A65" s="795" t="s">
        <v>840</v>
      </c>
      <c r="B65" s="795" t="s">
        <v>841</v>
      </c>
      <c r="C65" s="795" t="s">
        <v>235</v>
      </c>
      <c r="D65" s="795" t="s">
        <v>842</v>
      </c>
      <c r="E65" s="796">
        <f t="shared" si="40"/>
        <v>4721984</v>
      </c>
      <c r="F65" s="416">
        <f>4721984</f>
        <v>4721984</v>
      </c>
      <c r="G65" s="416">
        <f>(1855198+1937278)</f>
        <v>3792476</v>
      </c>
      <c r="H65" s="416"/>
      <c r="I65" s="416"/>
      <c r="J65" s="796">
        <f t="shared" si="23"/>
        <v>2396198</v>
      </c>
      <c r="K65" s="416">
        <v>2396198</v>
      </c>
      <c r="L65" s="416"/>
      <c r="M65" s="416"/>
      <c r="N65" s="416"/>
      <c r="O65" s="797">
        <f t="shared" si="43"/>
        <v>2396198</v>
      </c>
      <c r="P65" s="796">
        <f t="shared" si="24"/>
        <v>7118182</v>
      </c>
      <c r="Q65" s="273"/>
      <c r="R65" s="180" t="e">
        <f>K65=#REF!</f>
        <v>#REF!</v>
      </c>
    </row>
    <row r="66" spans="1:18" s="85" customFormat="1" ht="91.5" hidden="1" thickTop="1" thickBot="1" x14ac:dyDescent="0.25">
      <c r="A66" s="251" t="s">
        <v>906</v>
      </c>
      <c r="B66" s="251" t="s">
        <v>907</v>
      </c>
      <c r="C66" s="251"/>
      <c r="D66" s="251" t="s">
        <v>908</v>
      </c>
      <c r="E66" s="796">
        <f>SUM(E67)</f>
        <v>0</v>
      </c>
      <c r="F66" s="796">
        <f t="shared" ref="F66:O66" si="44">SUM(F67)</f>
        <v>0</v>
      </c>
      <c r="G66" s="796">
        <f t="shared" si="44"/>
        <v>0</v>
      </c>
      <c r="H66" s="796">
        <f t="shared" si="44"/>
        <v>0</v>
      </c>
      <c r="I66" s="796">
        <f t="shared" si="44"/>
        <v>0</v>
      </c>
      <c r="J66" s="796">
        <f t="shared" si="44"/>
        <v>0</v>
      </c>
      <c r="K66" s="796">
        <f t="shared" si="44"/>
        <v>0</v>
      </c>
      <c r="L66" s="796">
        <f t="shared" si="44"/>
        <v>0</v>
      </c>
      <c r="M66" s="796">
        <f t="shared" si="44"/>
        <v>0</v>
      </c>
      <c r="N66" s="796">
        <f t="shared" si="44"/>
        <v>0</v>
      </c>
      <c r="O66" s="796">
        <f t="shared" si="44"/>
        <v>0</v>
      </c>
      <c r="P66" s="796">
        <f>SUM(P67)</f>
        <v>0</v>
      </c>
      <c r="Q66" s="273"/>
      <c r="R66" s="180"/>
    </row>
    <row r="67" spans="1:18" s="85" customFormat="1" ht="367.5" hidden="1" thickTop="1" thickBot="1" x14ac:dyDescent="0.25">
      <c r="A67" s="795" t="s">
        <v>471</v>
      </c>
      <c r="B67" s="795" t="s">
        <v>472</v>
      </c>
      <c r="C67" s="795" t="s">
        <v>210</v>
      </c>
      <c r="D67" s="795" t="s">
        <v>470</v>
      </c>
      <c r="E67" s="796">
        <f t="shared" si="40"/>
        <v>0</v>
      </c>
      <c r="F67" s="416">
        <f>(2688000)-2688000</f>
        <v>0</v>
      </c>
      <c r="G67" s="416"/>
      <c r="H67" s="416"/>
      <c r="I67" s="416"/>
      <c r="J67" s="796">
        <f>L67+O67</f>
        <v>0</v>
      </c>
      <c r="K67" s="416"/>
      <c r="L67" s="416"/>
      <c r="M67" s="416"/>
      <c r="N67" s="416"/>
      <c r="O67" s="797">
        <f>K67</f>
        <v>0</v>
      </c>
      <c r="P67" s="796">
        <f>E67+J67</f>
        <v>0</v>
      </c>
      <c r="Q67" s="273"/>
      <c r="R67" s="275"/>
    </row>
    <row r="68" spans="1:18" ht="136.5" thickTop="1" thickBot="1" x14ac:dyDescent="0.25">
      <c r="A68" s="680" t="s">
        <v>175</v>
      </c>
      <c r="B68" s="680"/>
      <c r="C68" s="680"/>
      <c r="D68" s="681" t="s">
        <v>18</v>
      </c>
      <c r="E68" s="682">
        <f>E69</f>
        <v>73735074</v>
      </c>
      <c r="F68" s="683">
        <f t="shared" ref="F68:G68" si="45">F69</f>
        <v>73735074</v>
      </c>
      <c r="G68" s="683">
        <f t="shared" si="45"/>
        <v>4186600</v>
      </c>
      <c r="H68" s="683">
        <f>H69</f>
        <v>201540</v>
      </c>
      <c r="I68" s="683">
        <f t="shared" ref="I68" si="46">I69</f>
        <v>0</v>
      </c>
      <c r="J68" s="682">
        <f>J69</f>
        <v>9453823</v>
      </c>
      <c r="K68" s="683">
        <f>K69</f>
        <v>9431823</v>
      </c>
      <c r="L68" s="683">
        <f>L69</f>
        <v>22000</v>
      </c>
      <c r="M68" s="683">
        <f t="shared" ref="M68" si="47">M69</f>
        <v>0</v>
      </c>
      <c r="N68" s="682">
        <f>N69</f>
        <v>0</v>
      </c>
      <c r="O68" s="682">
        <f>O69</f>
        <v>9431823</v>
      </c>
      <c r="P68" s="683">
        <f>P69</f>
        <v>83188897</v>
      </c>
    </row>
    <row r="69" spans="1:18" ht="181.5" thickTop="1" thickBot="1" x14ac:dyDescent="0.25">
      <c r="A69" s="684" t="s">
        <v>176</v>
      </c>
      <c r="B69" s="684"/>
      <c r="C69" s="684"/>
      <c r="D69" s="685" t="s">
        <v>38</v>
      </c>
      <c r="E69" s="686">
        <f>E70+E72+E85</f>
        <v>73735074</v>
      </c>
      <c r="F69" s="686">
        <f t="shared" ref="F69:I69" si="48">F70+F72+F85</f>
        <v>73735074</v>
      </c>
      <c r="G69" s="686">
        <f t="shared" si="48"/>
        <v>4186600</v>
      </c>
      <c r="H69" s="686">
        <f t="shared" si="48"/>
        <v>201540</v>
      </c>
      <c r="I69" s="686">
        <f t="shared" si="48"/>
        <v>0</v>
      </c>
      <c r="J69" s="686">
        <f>L69+O69</f>
        <v>9453823</v>
      </c>
      <c r="K69" s="686">
        <f t="shared" ref="K69:O69" si="49">K70+K72+K85</f>
        <v>9431823</v>
      </c>
      <c r="L69" s="686">
        <f t="shared" si="49"/>
        <v>22000</v>
      </c>
      <c r="M69" s="686">
        <f t="shared" si="49"/>
        <v>0</v>
      </c>
      <c r="N69" s="686">
        <f t="shared" si="49"/>
        <v>0</v>
      </c>
      <c r="O69" s="686">
        <f t="shared" si="49"/>
        <v>9431823</v>
      </c>
      <c r="P69" s="687">
        <f t="shared" ref="P69:P88" si="50">E69+J69</f>
        <v>83188897</v>
      </c>
      <c r="Q69" s="180" t="b">
        <f>P69=P71+P73+P74+P75+P76+P77+P79+P81+P83+P84+P87</f>
        <v>1</v>
      </c>
      <c r="R69" s="180" t="e">
        <f>K69=#REF!</f>
        <v>#REF!</v>
      </c>
    </row>
    <row r="70" spans="1:18" ht="47.25" thickTop="1" thickBot="1" x14ac:dyDescent="0.25">
      <c r="A70" s="251" t="s">
        <v>909</v>
      </c>
      <c r="B70" s="251" t="s">
        <v>880</v>
      </c>
      <c r="C70" s="251"/>
      <c r="D70" s="251" t="s">
        <v>881</v>
      </c>
      <c r="E70" s="796">
        <f>SUM(E71)</f>
        <v>2447825</v>
      </c>
      <c r="F70" s="796">
        <f t="shared" ref="F70:O70" si="51">SUM(F71)</f>
        <v>2447825</v>
      </c>
      <c r="G70" s="796">
        <f t="shared" si="51"/>
        <v>1821600</v>
      </c>
      <c r="H70" s="796">
        <f t="shared" si="51"/>
        <v>110635</v>
      </c>
      <c r="I70" s="796">
        <f t="shared" si="51"/>
        <v>0</v>
      </c>
      <c r="J70" s="796">
        <f t="shared" si="51"/>
        <v>0</v>
      </c>
      <c r="K70" s="796">
        <f t="shared" si="51"/>
        <v>0</v>
      </c>
      <c r="L70" s="796">
        <f t="shared" si="51"/>
        <v>0</v>
      </c>
      <c r="M70" s="796">
        <f t="shared" si="51"/>
        <v>0</v>
      </c>
      <c r="N70" s="796">
        <f t="shared" si="51"/>
        <v>0</v>
      </c>
      <c r="O70" s="796">
        <f t="shared" si="51"/>
        <v>0</v>
      </c>
      <c r="P70" s="796">
        <f>SUM(P71)</f>
        <v>2447825</v>
      </c>
      <c r="Q70" s="180"/>
      <c r="R70" s="180"/>
    </row>
    <row r="71" spans="1:18" ht="230.25" thickTop="1" thickBot="1" x14ac:dyDescent="0.25">
      <c r="A71" s="795" t="s">
        <v>454</v>
      </c>
      <c r="B71" s="795" t="s">
        <v>261</v>
      </c>
      <c r="C71" s="795" t="s">
        <v>259</v>
      </c>
      <c r="D71" s="795" t="s">
        <v>260</v>
      </c>
      <c r="E71" s="796">
        <f>F71</f>
        <v>2447825</v>
      </c>
      <c r="F71" s="416">
        <f>(1821600+400750+56870+45495+11375+110635+1100)</f>
        <v>2447825</v>
      </c>
      <c r="G71" s="416">
        <f>(1821600)</f>
        <v>1821600</v>
      </c>
      <c r="H71" s="416">
        <f>(1900+27000+81735)</f>
        <v>110635</v>
      </c>
      <c r="I71" s="416"/>
      <c r="J71" s="796">
        <f t="shared" ref="J71:J88" si="52">L71+O71</f>
        <v>0</v>
      </c>
      <c r="K71" s="796"/>
      <c r="L71" s="796"/>
      <c r="M71" s="796"/>
      <c r="N71" s="796"/>
      <c r="O71" s="797">
        <f>K71</f>
        <v>0</v>
      </c>
      <c r="P71" s="796">
        <f t="shared" si="50"/>
        <v>2447825</v>
      </c>
      <c r="Q71" s="275"/>
      <c r="R71" s="275"/>
    </row>
    <row r="72" spans="1:18" ht="47.25" thickTop="1" thickBot="1" x14ac:dyDescent="0.25">
      <c r="A72" s="251" t="s">
        <v>910</v>
      </c>
      <c r="B72" s="251" t="s">
        <v>911</v>
      </c>
      <c r="C72" s="251"/>
      <c r="D72" s="251" t="s">
        <v>912</v>
      </c>
      <c r="E72" s="796">
        <f>SUM(E73:E84)-E78-E80-E82</f>
        <v>71287249</v>
      </c>
      <c r="F72" s="796">
        <f t="shared" ref="F72:P72" si="53">SUM(F73:F84)-F78-F80-F82</f>
        <v>71287249</v>
      </c>
      <c r="G72" s="796">
        <f t="shared" si="53"/>
        <v>2365000</v>
      </c>
      <c r="H72" s="796">
        <f t="shared" si="53"/>
        <v>90905</v>
      </c>
      <c r="I72" s="796">
        <f t="shared" si="53"/>
        <v>0</v>
      </c>
      <c r="J72" s="796">
        <f t="shared" si="53"/>
        <v>22000</v>
      </c>
      <c r="K72" s="796">
        <f t="shared" si="53"/>
        <v>0</v>
      </c>
      <c r="L72" s="796">
        <f t="shared" si="53"/>
        <v>22000</v>
      </c>
      <c r="M72" s="796">
        <f t="shared" si="53"/>
        <v>0</v>
      </c>
      <c r="N72" s="796">
        <f t="shared" si="53"/>
        <v>0</v>
      </c>
      <c r="O72" s="796">
        <f t="shared" si="53"/>
        <v>0</v>
      </c>
      <c r="P72" s="796">
        <f t="shared" si="53"/>
        <v>71309249</v>
      </c>
      <c r="Q72" s="275"/>
      <c r="R72" s="275"/>
    </row>
    <row r="73" spans="1:18" ht="93" thickTop="1" thickBot="1" x14ac:dyDescent="0.25">
      <c r="A73" s="795" t="s">
        <v>239</v>
      </c>
      <c r="B73" s="795" t="s">
        <v>236</v>
      </c>
      <c r="C73" s="795" t="s">
        <v>240</v>
      </c>
      <c r="D73" s="795" t="s">
        <v>19</v>
      </c>
      <c r="E73" s="796">
        <f>F73</f>
        <v>15249455</v>
      </c>
      <c r="F73" s="416">
        <f>(14263455+200000+78000)+508000+200000</f>
        <v>15249455</v>
      </c>
      <c r="G73" s="416"/>
      <c r="H73" s="416"/>
      <c r="I73" s="416"/>
      <c r="J73" s="796">
        <f t="shared" si="52"/>
        <v>0</v>
      </c>
      <c r="K73" s="416"/>
      <c r="L73" s="416"/>
      <c r="M73" s="416"/>
      <c r="N73" s="416"/>
      <c r="O73" s="797">
        <f>K73</f>
        <v>0</v>
      </c>
      <c r="P73" s="796">
        <f t="shared" si="50"/>
        <v>15249455</v>
      </c>
      <c r="R73" s="270"/>
    </row>
    <row r="74" spans="1:18" ht="93" thickTop="1" thickBot="1" x14ac:dyDescent="0.25">
      <c r="A74" s="795" t="s">
        <v>564</v>
      </c>
      <c r="B74" s="795" t="s">
        <v>567</v>
      </c>
      <c r="C74" s="795" t="s">
        <v>566</v>
      </c>
      <c r="D74" s="795" t="s">
        <v>565</v>
      </c>
      <c r="E74" s="796">
        <f>F74</f>
        <v>7638429</v>
      </c>
      <c r="F74" s="416">
        <f>(6277220+100000+165100)+122207+973902</f>
        <v>7638429</v>
      </c>
      <c r="G74" s="416"/>
      <c r="H74" s="416"/>
      <c r="I74" s="416"/>
      <c r="J74" s="796">
        <f t="shared" si="52"/>
        <v>0</v>
      </c>
      <c r="K74" s="416"/>
      <c r="L74" s="416"/>
      <c r="M74" s="416"/>
      <c r="N74" s="416"/>
      <c r="O74" s="797"/>
      <c r="P74" s="796">
        <f t="shared" si="50"/>
        <v>7638429</v>
      </c>
      <c r="R74" s="275"/>
    </row>
    <row r="75" spans="1:18" ht="138.75" thickTop="1" thickBot="1" x14ac:dyDescent="0.25">
      <c r="A75" s="795" t="s">
        <v>241</v>
      </c>
      <c r="B75" s="795" t="s">
        <v>242</v>
      </c>
      <c r="C75" s="795" t="s">
        <v>243</v>
      </c>
      <c r="D75" s="795" t="s">
        <v>244</v>
      </c>
      <c r="E75" s="796">
        <f t="shared" ref="E75:E88" si="54">F75</f>
        <v>5291200</v>
      </c>
      <c r="F75" s="416">
        <f>(4320000+100000+31200)+840000</f>
        <v>5291200</v>
      </c>
      <c r="G75" s="416"/>
      <c r="H75" s="416"/>
      <c r="I75" s="416"/>
      <c r="J75" s="796">
        <f t="shared" si="52"/>
        <v>0</v>
      </c>
      <c r="K75" s="416"/>
      <c r="L75" s="416"/>
      <c r="M75" s="416"/>
      <c r="N75" s="416"/>
      <c r="O75" s="797">
        <f>K75</f>
        <v>0</v>
      </c>
      <c r="P75" s="796">
        <f t="shared" si="50"/>
        <v>5291200</v>
      </c>
      <c r="R75" s="275"/>
    </row>
    <row r="76" spans="1:18" ht="138.75" thickTop="1" thickBot="1" x14ac:dyDescent="0.25">
      <c r="A76" s="795" t="s">
        <v>245</v>
      </c>
      <c r="B76" s="795" t="s">
        <v>246</v>
      </c>
      <c r="C76" s="795" t="s">
        <v>247</v>
      </c>
      <c r="D76" s="795" t="s">
        <v>379</v>
      </c>
      <c r="E76" s="796">
        <f t="shared" si="54"/>
        <v>9696090</v>
      </c>
      <c r="F76" s="416">
        <f>(7180650+300000+100000+9100)+748920+336950+50000+265000+705470</f>
        <v>9696090</v>
      </c>
      <c r="G76" s="416"/>
      <c r="H76" s="416"/>
      <c r="I76" s="416"/>
      <c r="J76" s="796">
        <f t="shared" si="52"/>
        <v>0</v>
      </c>
      <c r="K76" s="416"/>
      <c r="L76" s="416"/>
      <c r="M76" s="416"/>
      <c r="N76" s="416"/>
      <c r="O76" s="797">
        <f>K76</f>
        <v>0</v>
      </c>
      <c r="P76" s="796">
        <f t="shared" si="50"/>
        <v>9696090</v>
      </c>
      <c r="R76" s="275"/>
    </row>
    <row r="77" spans="1:18" ht="93" thickTop="1" thickBot="1" x14ac:dyDescent="0.25">
      <c r="A77" s="795" t="s">
        <v>248</v>
      </c>
      <c r="B77" s="795" t="s">
        <v>249</v>
      </c>
      <c r="C77" s="795" t="s">
        <v>250</v>
      </c>
      <c r="D77" s="795" t="s">
        <v>251</v>
      </c>
      <c r="E77" s="796">
        <f t="shared" si="54"/>
        <v>6881935</v>
      </c>
      <c r="F77" s="416">
        <v>6881935</v>
      </c>
      <c r="G77" s="416"/>
      <c r="H77" s="416"/>
      <c r="I77" s="416"/>
      <c r="J77" s="796">
        <f t="shared" si="52"/>
        <v>0</v>
      </c>
      <c r="K77" s="416"/>
      <c r="L77" s="416"/>
      <c r="M77" s="416"/>
      <c r="N77" s="416"/>
      <c r="O77" s="797">
        <f>K77</f>
        <v>0</v>
      </c>
      <c r="P77" s="796">
        <f t="shared" si="50"/>
        <v>6881935</v>
      </c>
      <c r="R77" s="275"/>
    </row>
    <row r="78" spans="1:18" ht="93" thickTop="1" thickBot="1" x14ac:dyDescent="0.25">
      <c r="A78" s="795" t="s">
        <v>913</v>
      </c>
      <c r="B78" s="795" t="s">
        <v>914</v>
      </c>
      <c r="C78" s="795"/>
      <c r="D78" s="795" t="s">
        <v>915</v>
      </c>
      <c r="E78" s="553">
        <f>E79</f>
        <v>11147515</v>
      </c>
      <c r="F78" s="553">
        <f t="shared" ref="F78:P78" si="55">F79</f>
        <v>11147515</v>
      </c>
      <c r="G78" s="553">
        <f t="shared" si="55"/>
        <v>0</v>
      </c>
      <c r="H78" s="553">
        <f t="shared" si="55"/>
        <v>0</v>
      </c>
      <c r="I78" s="553">
        <f t="shared" si="55"/>
        <v>0</v>
      </c>
      <c r="J78" s="553">
        <f t="shared" si="55"/>
        <v>0</v>
      </c>
      <c r="K78" s="553">
        <f t="shared" si="55"/>
        <v>0</v>
      </c>
      <c r="L78" s="553">
        <f t="shared" si="55"/>
        <v>0</v>
      </c>
      <c r="M78" s="553">
        <f t="shared" si="55"/>
        <v>0</v>
      </c>
      <c r="N78" s="553">
        <f t="shared" si="55"/>
        <v>0</v>
      </c>
      <c r="O78" s="553">
        <f t="shared" si="55"/>
        <v>0</v>
      </c>
      <c r="P78" s="553">
        <f t="shared" si="55"/>
        <v>11147515</v>
      </c>
      <c r="R78" s="275"/>
    </row>
    <row r="79" spans="1:18" ht="184.5" thickTop="1" thickBot="1" x14ac:dyDescent="0.25">
      <c r="A79" s="795" t="s">
        <v>252</v>
      </c>
      <c r="B79" s="795" t="s">
        <v>253</v>
      </c>
      <c r="C79" s="795" t="s">
        <v>380</v>
      </c>
      <c r="D79" s="795" t="s">
        <v>254</v>
      </c>
      <c r="E79" s="796">
        <f t="shared" si="54"/>
        <v>11147515</v>
      </c>
      <c r="F79" s="416">
        <f>(10788065+359450)</f>
        <v>11147515</v>
      </c>
      <c r="G79" s="416"/>
      <c r="H79" s="416"/>
      <c r="I79" s="416"/>
      <c r="J79" s="796">
        <f t="shared" si="52"/>
        <v>0</v>
      </c>
      <c r="K79" s="416"/>
      <c r="L79" s="416"/>
      <c r="M79" s="416"/>
      <c r="N79" s="416"/>
      <c r="O79" s="797">
        <f t="shared" ref="O79:O88" si="56">K79</f>
        <v>0</v>
      </c>
      <c r="P79" s="796">
        <f t="shared" si="50"/>
        <v>11147515</v>
      </c>
      <c r="R79" s="275"/>
    </row>
    <row r="80" spans="1:18" ht="138.75" thickTop="1" thickBot="1" x14ac:dyDescent="0.25">
      <c r="A80" s="552" t="s">
        <v>916</v>
      </c>
      <c r="B80" s="552" t="s">
        <v>917</v>
      </c>
      <c r="C80" s="552"/>
      <c r="D80" s="552" t="s">
        <v>918</v>
      </c>
      <c r="E80" s="553">
        <f>E81</f>
        <v>9137200</v>
      </c>
      <c r="F80" s="553">
        <f t="shared" ref="F80:P80" si="57">F81</f>
        <v>9137200</v>
      </c>
      <c r="G80" s="553">
        <f t="shared" si="57"/>
        <v>0</v>
      </c>
      <c r="H80" s="553">
        <f t="shared" si="57"/>
        <v>0</v>
      </c>
      <c r="I80" s="553">
        <f t="shared" si="57"/>
        <v>0</v>
      </c>
      <c r="J80" s="553">
        <f t="shared" si="57"/>
        <v>0</v>
      </c>
      <c r="K80" s="553">
        <f t="shared" si="57"/>
        <v>0</v>
      </c>
      <c r="L80" s="553">
        <f t="shared" si="57"/>
        <v>0</v>
      </c>
      <c r="M80" s="553">
        <f t="shared" si="57"/>
        <v>0</v>
      </c>
      <c r="N80" s="553">
        <f t="shared" si="57"/>
        <v>0</v>
      </c>
      <c r="O80" s="553">
        <f t="shared" si="57"/>
        <v>0</v>
      </c>
      <c r="P80" s="553">
        <f t="shared" si="57"/>
        <v>9137200</v>
      </c>
      <c r="R80" s="275"/>
    </row>
    <row r="81" spans="1:20" ht="138.75" thickTop="1" thickBot="1" x14ac:dyDescent="0.25">
      <c r="A81" s="795" t="s">
        <v>530</v>
      </c>
      <c r="B81" s="795" t="s">
        <v>531</v>
      </c>
      <c r="C81" s="795" t="s">
        <v>255</v>
      </c>
      <c r="D81" s="795" t="s">
        <v>532</v>
      </c>
      <c r="E81" s="796">
        <f t="shared" si="54"/>
        <v>9137200</v>
      </c>
      <c r="F81" s="416">
        <v>9137200</v>
      </c>
      <c r="G81" s="416"/>
      <c r="H81" s="416"/>
      <c r="I81" s="416"/>
      <c r="J81" s="796">
        <f t="shared" si="52"/>
        <v>0</v>
      </c>
      <c r="K81" s="416"/>
      <c r="L81" s="416"/>
      <c r="M81" s="416"/>
      <c r="N81" s="416"/>
      <c r="O81" s="797">
        <f t="shared" si="56"/>
        <v>0</v>
      </c>
      <c r="P81" s="796">
        <f t="shared" si="50"/>
        <v>9137200</v>
      </c>
      <c r="R81" s="275"/>
    </row>
    <row r="82" spans="1:20" ht="138.75" thickTop="1" thickBot="1" x14ac:dyDescent="0.25">
      <c r="A82" s="795" t="s">
        <v>919</v>
      </c>
      <c r="B82" s="795" t="s">
        <v>920</v>
      </c>
      <c r="C82" s="795"/>
      <c r="D82" s="795" t="s">
        <v>921</v>
      </c>
      <c r="E82" s="553">
        <f>SUM(E83:E84)</f>
        <v>6245425</v>
      </c>
      <c r="F82" s="553">
        <f t="shared" ref="F82:P82" si="58">SUM(F83:F84)</f>
        <v>6245425</v>
      </c>
      <c r="G82" s="553">
        <f t="shared" si="58"/>
        <v>2365000</v>
      </c>
      <c r="H82" s="553">
        <f t="shared" si="58"/>
        <v>90905</v>
      </c>
      <c r="I82" s="553">
        <f t="shared" si="58"/>
        <v>0</v>
      </c>
      <c r="J82" s="553">
        <f t="shared" si="58"/>
        <v>22000</v>
      </c>
      <c r="K82" s="553">
        <f t="shared" si="58"/>
        <v>0</v>
      </c>
      <c r="L82" s="553">
        <f t="shared" si="58"/>
        <v>22000</v>
      </c>
      <c r="M82" s="553">
        <f t="shared" si="58"/>
        <v>0</v>
      </c>
      <c r="N82" s="553">
        <f t="shared" si="58"/>
        <v>0</v>
      </c>
      <c r="O82" s="553">
        <f t="shared" si="58"/>
        <v>0</v>
      </c>
      <c r="P82" s="553">
        <f t="shared" si="58"/>
        <v>6267425</v>
      </c>
      <c r="R82" s="275"/>
    </row>
    <row r="83" spans="1:20" s="85" customFormat="1" ht="138.75" thickTop="1" thickBot="1" x14ac:dyDescent="0.25">
      <c r="A83" s="795" t="s">
        <v>354</v>
      </c>
      <c r="B83" s="795" t="s">
        <v>356</v>
      </c>
      <c r="C83" s="795" t="s">
        <v>255</v>
      </c>
      <c r="D83" s="434" t="s">
        <v>352</v>
      </c>
      <c r="E83" s="796">
        <f t="shared" si="54"/>
        <v>3229425</v>
      </c>
      <c r="F83" s="416">
        <f>(2365000+520300+93000+157000+3220+90905)</f>
        <v>3229425</v>
      </c>
      <c r="G83" s="416">
        <f>(2365000)</f>
        <v>2365000</v>
      </c>
      <c r="H83" s="416">
        <f>(1900+22650+55260+11095)</f>
        <v>90905</v>
      </c>
      <c r="I83" s="416"/>
      <c r="J83" s="796">
        <f t="shared" si="52"/>
        <v>22000</v>
      </c>
      <c r="K83" s="416"/>
      <c r="L83" s="416">
        <v>22000</v>
      </c>
      <c r="M83" s="416"/>
      <c r="N83" s="416"/>
      <c r="O83" s="797">
        <f t="shared" si="56"/>
        <v>0</v>
      </c>
      <c r="P83" s="796">
        <f t="shared" si="50"/>
        <v>3251425</v>
      </c>
      <c r="Q83" s="273"/>
      <c r="R83" s="275"/>
    </row>
    <row r="84" spans="1:20" s="85" customFormat="1" ht="93" thickTop="1" thickBot="1" x14ac:dyDescent="0.25">
      <c r="A84" s="795" t="s">
        <v>355</v>
      </c>
      <c r="B84" s="795" t="s">
        <v>357</v>
      </c>
      <c r="C84" s="795" t="s">
        <v>255</v>
      </c>
      <c r="D84" s="434" t="s">
        <v>353</v>
      </c>
      <c r="E84" s="796">
        <f t="shared" si="54"/>
        <v>3016000</v>
      </c>
      <c r="F84" s="416">
        <f>(3016000)</f>
        <v>3016000</v>
      </c>
      <c r="G84" s="416"/>
      <c r="H84" s="416"/>
      <c r="I84" s="416"/>
      <c r="J84" s="796">
        <f t="shared" si="52"/>
        <v>0</v>
      </c>
      <c r="K84" s="416"/>
      <c r="L84" s="416"/>
      <c r="M84" s="416"/>
      <c r="N84" s="416"/>
      <c r="O84" s="797">
        <f t="shared" si="56"/>
        <v>0</v>
      </c>
      <c r="P84" s="796">
        <f t="shared" si="50"/>
        <v>3016000</v>
      </c>
      <c r="Q84" s="273"/>
      <c r="R84" s="275"/>
    </row>
    <row r="85" spans="1:20" s="85" customFormat="1" ht="47.25" thickTop="1" thickBot="1" x14ac:dyDescent="0.25">
      <c r="A85" s="251" t="s">
        <v>950</v>
      </c>
      <c r="B85" s="757" t="s">
        <v>948</v>
      </c>
      <c r="C85" s="757"/>
      <c r="D85" s="757" t="s">
        <v>949</v>
      </c>
      <c r="E85" s="796">
        <f>SUM(E86)</f>
        <v>0</v>
      </c>
      <c r="F85" s="796">
        <f t="shared" ref="F85:P86" si="59">SUM(F86)</f>
        <v>0</v>
      </c>
      <c r="G85" s="796">
        <f t="shared" si="59"/>
        <v>0</v>
      </c>
      <c r="H85" s="796">
        <f t="shared" si="59"/>
        <v>0</v>
      </c>
      <c r="I85" s="796">
        <f t="shared" si="59"/>
        <v>0</v>
      </c>
      <c r="J85" s="796">
        <f t="shared" si="59"/>
        <v>9431823</v>
      </c>
      <c r="K85" s="796">
        <f t="shared" si="59"/>
        <v>9431823</v>
      </c>
      <c r="L85" s="796">
        <f t="shared" si="59"/>
        <v>0</v>
      </c>
      <c r="M85" s="796">
        <f t="shared" si="59"/>
        <v>0</v>
      </c>
      <c r="N85" s="796">
        <f t="shared" si="59"/>
        <v>0</v>
      </c>
      <c r="O85" s="796">
        <f t="shared" si="59"/>
        <v>9431823</v>
      </c>
      <c r="P85" s="796">
        <f t="shared" si="59"/>
        <v>9431823</v>
      </c>
      <c r="Q85" s="273"/>
      <c r="R85" s="275"/>
    </row>
    <row r="86" spans="1:20" s="504" customFormat="1" ht="136.5" thickTop="1" thickBot="1" x14ac:dyDescent="0.25">
      <c r="A86" s="557" t="s">
        <v>922</v>
      </c>
      <c r="B86" s="557" t="s">
        <v>887</v>
      </c>
      <c r="C86" s="557"/>
      <c r="D86" s="557" t="s">
        <v>885</v>
      </c>
      <c r="E86" s="555">
        <f>SUM(E87)</f>
        <v>0</v>
      </c>
      <c r="F86" s="555">
        <f t="shared" si="59"/>
        <v>0</v>
      </c>
      <c r="G86" s="555">
        <f t="shared" si="59"/>
        <v>0</v>
      </c>
      <c r="H86" s="555">
        <f t="shared" si="59"/>
        <v>0</v>
      </c>
      <c r="I86" s="555">
        <f t="shared" si="59"/>
        <v>0</v>
      </c>
      <c r="J86" s="555">
        <f t="shared" si="59"/>
        <v>9431823</v>
      </c>
      <c r="K86" s="555">
        <f t="shared" si="59"/>
        <v>9431823</v>
      </c>
      <c r="L86" s="555">
        <f t="shared" si="59"/>
        <v>0</v>
      </c>
      <c r="M86" s="555">
        <f t="shared" si="59"/>
        <v>0</v>
      </c>
      <c r="N86" s="555">
        <f t="shared" si="59"/>
        <v>0</v>
      </c>
      <c r="O86" s="555">
        <f t="shared" si="59"/>
        <v>9431823</v>
      </c>
      <c r="P86" s="555">
        <f t="shared" si="59"/>
        <v>9431823</v>
      </c>
      <c r="Q86" s="509"/>
      <c r="R86" s="512"/>
    </row>
    <row r="87" spans="1:20" s="85" customFormat="1" ht="93" thickTop="1" thickBot="1" x14ac:dyDescent="0.25">
      <c r="A87" s="795" t="s">
        <v>476</v>
      </c>
      <c r="B87" s="795" t="s">
        <v>222</v>
      </c>
      <c r="C87" s="795" t="s">
        <v>191</v>
      </c>
      <c r="D87" s="795" t="s">
        <v>36</v>
      </c>
      <c r="E87" s="796">
        <f t="shared" si="54"/>
        <v>0</v>
      </c>
      <c r="F87" s="416"/>
      <c r="G87" s="416"/>
      <c r="H87" s="416"/>
      <c r="I87" s="416"/>
      <c r="J87" s="796">
        <f t="shared" si="52"/>
        <v>9431823</v>
      </c>
      <c r="K87" s="416">
        <f>(5413599+372664+500000+500000+201012+437500)+800000+355048+952000-100000</f>
        <v>9431823</v>
      </c>
      <c r="L87" s="416"/>
      <c r="M87" s="416"/>
      <c r="N87" s="416"/>
      <c r="O87" s="797">
        <f t="shared" si="56"/>
        <v>9431823</v>
      </c>
      <c r="P87" s="796">
        <f t="shared" si="50"/>
        <v>9431823</v>
      </c>
      <c r="Q87" s="273"/>
      <c r="R87" s="180" t="e">
        <f>K87=#REF!+#REF!+#REF!+#REF!+#REF!+#REF!+#REF!+#REF!+#REF!+#REF!+#REF!+#REF!+#REF!</f>
        <v>#REF!</v>
      </c>
    </row>
    <row r="88" spans="1:20" s="85" customFormat="1" ht="93" hidden="1" thickTop="1" thickBot="1" x14ac:dyDescent="0.25">
      <c r="A88" s="232" t="s">
        <v>568</v>
      </c>
      <c r="B88" s="232" t="s">
        <v>399</v>
      </c>
      <c r="C88" s="232" t="s">
        <v>45</v>
      </c>
      <c r="D88" s="232" t="s">
        <v>400</v>
      </c>
      <c r="E88" s="231">
        <f t="shared" si="54"/>
        <v>0</v>
      </c>
      <c r="F88" s="233"/>
      <c r="G88" s="233"/>
      <c r="H88" s="233"/>
      <c r="I88" s="233"/>
      <c r="J88" s="231">
        <f t="shared" si="52"/>
        <v>0</v>
      </c>
      <c r="K88" s="233"/>
      <c r="L88" s="233"/>
      <c r="M88" s="233"/>
      <c r="N88" s="233"/>
      <c r="O88" s="234">
        <f t="shared" si="56"/>
        <v>0</v>
      </c>
      <c r="P88" s="231">
        <f t="shared" si="50"/>
        <v>0</v>
      </c>
      <c r="Q88" s="273"/>
      <c r="R88" s="270"/>
    </row>
    <row r="89" spans="1:20" ht="226.5" thickTop="1" thickBot="1" x14ac:dyDescent="0.25">
      <c r="A89" s="680" t="s">
        <v>177</v>
      </c>
      <c r="B89" s="680"/>
      <c r="C89" s="680"/>
      <c r="D89" s="681" t="s">
        <v>39</v>
      </c>
      <c r="E89" s="682">
        <f>E90</f>
        <v>218329629</v>
      </c>
      <c r="F89" s="683">
        <f t="shared" ref="F89:G89" si="60">F90</f>
        <v>218329629</v>
      </c>
      <c r="G89" s="683">
        <f t="shared" si="60"/>
        <v>68381820</v>
      </c>
      <c r="H89" s="683">
        <f>H90</f>
        <v>2088707</v>
      </c>
      <c r="I89" s="683">
        <f t="shared" ref="I89" si="61">I90</f>
        <v>0</v>
      </c>
      <c r="J89" s="682">
        <f>J90</f>
        <v>6906780</v>
      </c>
      <c r="K89" s="683">
        <f>K90</f>
        <v>6289780</v>
      </c>
      <c r="L89" s="683">
        <f>L90</f>
        <v>617000</v>
      </c>
      <c r="M89" s="683">
        <f t="shared" ref="M89" si="62">M90</f>
        <v>104000</v>
      </c>
      <c r="N89" s="682">
        <f>N90</f>
        <v>137000</v>
      </c>
      <c r="O89" s="682">
        <f>O90</f>
        <v>6289780</v>
      </c>
      <c r="P89" s="683">
        <f>P90</f>
        <v>225236409</v>
      </c>
    </row>
    <row r="90" spans="1:20" ht="226.5" thickTop="1" thickBot="1" x14ac:dyDescent="0.25">
      <c r="A90" s="684" t="s">
        <v>178</v>
      </c>
      <c r="B90" s="684"/>
      <c r="C90" s="684"/>
      <c r="D90" s="685" t="s">
        <v>40</v>
      </c>
      <c r="E90" s="686">
        <f>E91+E95+E119+E122</f>
        <v>218329629</v>
      </c>
      <c r="F90" s="686">
        <f t="shared" ref="F90:I90" si="63">F91+F95+F119+F122</f>
        <v>218329629</v>
      </c>
      <c r="G90" s="686">
        <f t="shared" si="63"/>
        <v>68381820</v>
      </c>
      <c r="H90" s="686">
        <f t="shared" si="63"/>
        <v>2088707</v>
      </c>
      <c r="I90" s="686">
        <f t="shared" si="63"/>
        <v>0</v>
      </c>
      <c r="J90" s="686">
        <f t="shared" ref="J90:J115" si="64">L90+O90</f>
        <v>6906780</v>
      </c>
      <c r="K90" s="686">
        <f t="shared" ref="K90:O90" si="65">K91+K95+K119+K122</f>
        <v>6289780</v>
      </c>
      <c r="L90" s="686">
        <f t="shared" si="65"/>
        <v>617000</v>
      </c>
      <c r="M90" s="686">
        <f t="shared" si="65"/>
        <v>104000</v>
      </c>
      <c r="N90" s="686">
        <f t="shared" si="65"/>
        <v>137000</v>
      </c>
      <c r="O90" s="686">
        <f t="shared" si="65"/>
        <v>6289780</v>
      </c>
      <c r="P90" s="687">
        <f t="shared" ref="P90:P107" si="66">E90+J90</f>
        <v>225236409</v>
      </c>
      <c r="Q90" s="181" t="b">
        <f>P90=P92+P93+P97+P98+P99+P100+P101+P106+P107+P108+P111+P113+P115+P117+P118+P121+P128+P102+P104+P110+P94+P103+P125</f>
        <v>1</v>
      </c>
      <c r="R90" s="317" t="e">
        <f>K90=#REF!</f>
        <v>#REF!</v>
      </c>
      <c r="S90" s="317" t="b">
        <f>P90=P91+P95+P119+P122</f>
        <v>1</v>
      </c>
      <c r="T90" s="181"/>
    </row>
    <row r="91" spans="1:20" ht="47.25" thickTop="1" thickBot="1" x14ac:dyDescent="0.25">
      <c r="A91" s="251" t="s">
        <v>924</v>
      </c>
      <c r="B91" s="251" t="s">
        <v>880</v>
      </c>
      <c r="C91" s="251"/>
      <c r="D91" s="251" t="s">
        <v>881</v>
      </c>
      <c r="E91" s="796">
        <f t="shared" ref="E91:P91" si="67">SUM(E92:E94)</f>
        <v>52532540</v>
      </c>
      <c r="F91" s="796">
        <f t="shared" si="67"/>
        <v>52532540</v>
      </c>
      <c r="G91" s="796">
        <f t="shared" si="67"/>
        <v>38906520</v>
      </c>
      <c r="H91" s="796">
        <f t="shared" si="67"/>
        <v>856085</v>
      </c>
      <c r="I91" s="796">
        <f t="shared" si="67"/>
        <v>0</v>
      </c>
      <c r="J91" s="796">
        <f t="shared" si="67"/>
        <v>1161000</v>
      </c>
      <c r="K91" s="796">
        <f t="shared" si="67"/>
        <v>1161000</v>
      </c>
      <c r="L91" s="796">
        <f t="shared" si="67"/>
        <v>0</v>
      </c>
      <c r="M91" s="796">
        <f t="shared" si="67"/>
        <v>0</v>
      </c>
      <c r="N91" s="796">
        <f t="shared" si="67"/>
        <v>0</v>
      </c>
      <c r="O91" s="796">
        <f t="shared" si="67"/>
        <v>1161000</v>
      </c>
      <c r="P91" s="796">
        <f t="shared" si="67"/>
        <v>53693540</v>
      </c>
      <c r="Q91" s="181"/>
      <c r="R91" s="317"/>
      <c r="T91" s="181"/>
    </row>
    <row r="92" spans="1:20" ht="230.25" thickTop="1" thickBot="1" x14ac:dyDescent="0.25">
      <c r="A92" s="795" t="s">
        <v>453</v>
      </c>
      <c r="B92" s="795" t="s">
        <v>261</v>
      </c>
      <c r="C92" s="795" t="s">
        <v>259</v>
      </c>
      <c r="D92" s="795" t="s">
        <v>260</v>
      </c>
      <c r="E92" s="796">
        <f t="shared" ref="E92:E94" si="68">F92</f>
        <v>52492540</v>
      </c>
      <c r="F92" s="416">
        <f>(51797540-10000)+205000+300000+200000</f>
        <v>52492540</v>
      </c>
      <c r="G92" s="416">
        <v>38906520</v>
      </c>
      <c r="H92" s="416">
        <f>(511665+29000+284370+31050)</f>
        <v>856085</v>
      </c>
      <c r="I92" s="416"/>
      <c r="J92" s="796">
        <f t="shared" si="64"/>
        <v>1161000</v>
      </c>
      <c r="K92" s="416">
        <f>(911000)+250000</f>
        <v>1161000</v>
      </c>
      <c r="L92" s="416"/>
      <c r="M92" s="416"/>
      <c r="N92" s="416"/>
      <c r="O92" s="797">
        <f>K92</f>
        <v>1161000</v>
      </c>
      <c r="P92" s="796">
        <f t="shared" si="66"/>
        <v>53653540</v>
      </c>
      <c r="Q92" s="276"/>
      <c r="R92" s="317" t="e">
        <f>K92=#REF!+#REF!</f>
        <v>#REF!</v>
      </c>
      <c r="T92" s="181"/>
    </row>
    <row r="93" spans="1:20" ht="184.5" thickTop="1" thickBot="1" x14ac:dyDescent="0.25">
      <c r="A93" s="795" t="s">
        <v>823</v>
      </c>
      <c r="B93" s="795" t="s">
        <v>398</v>
      </c>
      <c r="C93" s="795" t="s">
        <v>815</v>
      </c>
      <c r="D93" s="795" t="s">
        <v>816</v>
      </c>
      <c r="E93" s="796">
        <f t="shared" si="68"/>
        <v>10000</v>
      </c>
      <c r="F93" s="416">
        <v>10000</v>
      </c>
      <c r="G93" s="416"/>
      <c r="H93" s="416"/>
      <c r="I93" s="416"/>
      <c r="J93" s="796">
        <f t="shared" si="64"/>
        <v>0</v>
      </c>
      <c r="K93" s="416"/>
      <c r="L93" s="416"/>
      <c r="M93" s="416"/>
      <c r="N93" s="416"/>
      <c r="O93" s="797">
        <f>K93</f>
        <v>0</v>
      </c>
      <c r="P93" s="796">
        <f t="shared" si="66"/>
        <v>10000</v>
      </c>
      <c r="Q93" s="276"/>
      <c r="R93" s="317"/>
      <c r="T93" s="181"/>
    </row>
    <row r="94" spans="1:20" ht="93" thickTop="1" thickBot="1" x14ac:dyDescent="0.25">
      <c r="A94" s="804" t="s">
        <v>1187</v>
      </c>
      <c r="B94" s="804" t="s">
        <v>45</v>
      </c>
      <c r="C94" s="804" t="s">
        <v>44</v>
      </c>
      <c r="D94" s="804" t="s">
        <v>273</v>
      </c>
      <c r="E94" s="796">
        <f t="shared" si="68"/>
        <v>30000</v>
      </c>
      <c r="F94" s="416">
        <v>30000</v>
      </c>
      <c r="G94" s="416"/>
      <c r="H94" s="416"/>
      <c r="I94" s="416"/>
      <c r="J94" s="796">
        <f t="shared" si="64"/>
        <v>0</v>
      </c>
      <c r="K94" s="416"/>
      <c r="L94" s="416"/>
      <c r="M94" s="416"/>
      <c r="N94" s="416"/>
      <c r="O94" s="797"/>
      <c r="P94" s="796">
        <f t="shared" si="66"/>
        <v>30000</v>
      </c>
      <c r="Q94" s="276"/>
      <c r="R94" s="317"/>
      <c r="T94" s="181"/>
    </row>
    <row r="95" spans="1:20" ht="91.5" thickTop="1" thickBot="1" x14ac:dyDescent="0.25">
      <c r="A95" s="251" t="s">
        <v>925</v>
      </c>
      <c r="B95" s="251" t="s">
        <v>907</v>
      </c>
      <c r="C95" s="251"/>
      <c r="D95" s="251" t="s">
        <v>908</v>
      </c>
      <c r="E95" s="796">
        <f>SUM(E96:E118)-E96-E105-E112-E114-E116-E109</f>
        <v>165797089</v>
      </c>
      <c r="F95" s="796">
        <f>SUM(F96:F118)-F96-F105-F112-F114-F116-F109</f>
        <v>165797089</v>
      </c>
      <c r="G95" s="796">
        <f>SUM(G96:G118)-G96-G105-G112-G114-G116-G109</f>
        <v>29475300</v>
      </c>
      <c r="H95" s="796">
        <f>SUM(H96:H118)-H96-H105-H112-H114-H116-H109</f>
        <v>1232622</v>
      </c>
      <c r="I95" s="796">
        <f>SUM(I96:I118)-I96-I105-I112-I114-I116-I110</f>
        <v>0</v>
      </c>
      <c r="J95" s="796">
        <f>SUM(J96:J118)-J96-J105-J112-J114-J116-J109</f>
        <v>1203780</v>
      </c>
      <c r="K95" s="796">
        <f>SUM(K96:K118)-K96-K105-K112-K114-K116-K110</f>
        <v>908780</v>
      </c>
      <c r="L95" s="796">
        <f>SUM(L96:L118)-L96-L105-L112-L114-L116-L110</f>
        <v>295000</v>
      </c>
      <c r="M95" s="796">
        <f>SUM(M96:M118)-M96-M105-M112-M114-M116-M110</f>
        <v>104000</v>
      </c>
      <c r="N95" s="796">
        <f>SUM(N96:N118)-N96-N105-N112-N114-N116-N110</f>
        <v>137000</v>
      </c>
      <c r="O95" s="796">
        <f>SUM(O96:O118)-O96-O105-O112-O114-O116-O109</f>
        <v>908780</v>
      </c>
      <c r="P95" s="796">
        <f>SUM(P96:P118)-P96-P105-P112-P114-P116-P109</f>
        <v>167000869</v>
      </c>
      <c r="Q95" s="276"/>
      <c r="R95" s="317"/>
      <c r="T95" s="181"/>
    </row>
    <row r="96" spans="1:20" ht="321.75" thickTop="1" thickBot="1" x14ac:dyDescent="0.25">
      <c r="A96" s="552" t="s">
        <v>926</v>
      </c>
      <c r="B96" s="552" t="s">
        <v>927</v>
      </c>
      <c r="C96" s="552"/>
      <c r="D96" s="552" t="s">
        <v>928</v>
      </c>
      <c r="E96" s="553">
        <f>SUM(E97:E101)</f>
        <v>88312240</v>
      </c>
      <c r="F96" s="553">
        <f t="shared" ref="F96:P96" si="69">SUM(F97:F101)</f>
        <v>88312240</v>
      </c>
      <c r="G96" s="553">
        <f t="shared" si="69"/>
        <v>0</v>
      </c>
      <c r="H96" s="553">
        <f t="shared" si="69"/>
        <v>0</v>
      </c>
      <c r="I96" s="553">
        <f t="shared" si="69"/>
        <v>0</v>
      </c>
      <c r="J96" s="553">
        <f t="shared" si="69"/>
        <v>199000</v>
      </c>
      <c r="K96" s="553">
        <f t="shared" si="69"/>
        <v>199000</v>
      </c>
      <c r="L96" s="553">
        <f t="shared" si="69"/>
        <v>0</v>
      </c>
      <c r="M96" s="553">
        <f t="shared" si="69"/>
        <v>0</v>
      </c>
      <c r="N96" s="553">
        <f t="shared" si="69"/>
        <v>0</v>
      </c>
      <c r="O96" s="553">
        <f t="shared" si="69"/>
        <v>199000</v>
      </c>
      <c r="P96" s="553">
        <f t="shared" si="69"/>
        <v>88511240</v>
      </c>
      <c r="Q96" s="302"/>
      <c r="R96" s="550"/>
      <c r="T96" s="551"/>
    </row>
    <row r="97" spans="1:18" s="85" customFormat="1" ht="138.75" thickTop="1" thickBot="1" x14ac:dyDescent="0.25">
      <c r="A97" s="795" t="s">
        <v>294</v>
      </c>
      <c r="B97" s="795" t="s">
        <v>295</v>
      </c>
      <c r="C97" s="795" t="s">
        <v>230</v>
      </c>
      <c r="D97" s="361" t="s">
        <v>296</v>
      </c>
      <c r="E97" s="796">
        <f>F97</f>
        <v>270000</v>
      </c>
      <c r="F97" s="416">
        <f>(570000)-300000</f>
        <v>270000</v>
      </c>
      <c r="G97" s="416"/>
      <c r="H97" s="416"/>
      <c r="I97" s="416"/>
      <c r="J97" s="796">
        <f t="shared" si="64"/>
        <v>199000</v>
      </c>
      <c r="K97" s="416">
        <v>199000</v>
      </c>
      <c r="L97" s="416"/>
      <c r="M97" s="416"/>
      <c r="N97" s="416"/>
      <c r="O97" s="797">
        <f t="shared" ref="O97:O115" si="70">K97</f>
        <v>199000</v>
      </c>
      <c r="P97" s="796">
        <f t="shared" si="66"/>
        <v>469000</v>
      </c>
      <c r="Q97" s="273"/>
      <c r="R97" s="317" t="e">
        <f>K97=#REF!</f>
        <v>#REF!</v>
      </c>
    </row>
    <row r="98" spans="1:18" s="85" customFormat="1" ht="138.75" thickTop="1" thickBot="1" x14ac:dyDescent="0.25">
      <c r="A98" s="795" t="s">
        <v>297</v>
      </c>
      <c r="B98" s="795" t="s">
        <v>298</v>
      </c>
      <c r="C98" s="795" t="s">
        <v>231</v>
      </c>
      <c r="D98" s="795" t="s">
        <v>6</v>
      </c>
      <c r="E98" s="796">
        <f t="shared" ref="E98:E128" si="71">F98</f>
        <v>1350000</v>
      </c>
      <c r="F98" s="416">
        <v>1350000</v>
      </c>
      <c r="G98" s="416"/>
      <c r="H98" s="416"/>
      <c r="I98" s="416"/>
      <c r="J98" s="796">
        <f t="shared" si="64"/>
        <v>0</v>
      </c>
      <c r="K98" s="416"/>
      <c r="L98" s="416"/>
      <c r="M98" s="416"/>
      <c r="N98" s="416"/>
      <c r="O98" s="797">
        <f t="shared" si="70"/>
        <v>0</v>
      </c>
      <c r="P98" s="796">
        <f t="shared" si="66"/>
        <v>1350000</v>
      </c>
      <c r="Q98" s="273"/>
      <c r="R98" s="277"/>
    </row>
    <row r="99" spans="1:18" s="85" customFormat="1" ht="184.5" thickTop="1" thickBot="1" x14ac:dyDescent="0.25">
      <c r="A99" s="795" t="s">
        <v>300</v>
      </c>
      <c r="B99" s="795" t="s">
        <v>301</v>
      </c>
      <c r="C99" s="795" t="s">
        <v>231</v>
      </c>
      <c r="D99" s="795" t="s">
        <v>7</v>
      </c>
      <c r="E99" s="796">
        <f t="shared" si="71"/>
        <v>11250000</v>
      </c>
      <c r="F99" s="416">
        <v>11250000</v>
      </c>
      <c r="G99" s="416"/>
      <c r="H99" s="416"/>
      <c r="I99" s="416"/>
      <c r="J99" s="796">
        <f t="shared" si="64"/>
        <v>0</v>
      </c>
      <c r="K99" s="416"/>
      <c r="L99" s="416"/>
      <c r="M99" s="416"/>
      <c r="N99" s="416"/>
      <c r="O99" s="797">
        <f t="shared" si="70"/>
        <v>0</v>
      </c>
      <c r="P99" s="796">
        <f t="shared" si="66"/>
        <v>11250000</v>
      </c>
      <c r="Q99" s="273"/>
      <c r="R99" s="277"/>
    </row>
    <row r="100" spans="1:18" s="85" customFormat="1" ht="184.5" thickTop="1" thickBot="1" x14ac:dyDescent="0.25">
      <c r="A100" s="795" t="s">
        <v>302</v>
      </c>
      <c r="B100" s="795" t="s">
        <v>299</v>
      </c>
      <c r="C100" s="795" t="s">
        <v>231</v>
      </c>
      <c r="D100" s="795" t="s">
        <v>8</v>
      </c>
      <c r="E100" s="796">
        <f t="shared" si="71"/>
        <v>500000</v>
      </c>
      <c r="F100" s="416">
        <v>500000</v>
      </c>
      <c r="G100" s="416"/>
      <c r="H100" s="416"/>
      <c r="I100" s="416"/>
      <c r="J100" s="796">
        <f t="shared" si="64"/>
        <v>0</v>
      </c>
      <c r="K100" s="416"/>
      <c r="L100" s="416"/>
      <c r="M100" s="416"/>
      <c r="N100" s="416"/>
      <c r="O100" s="797">
        <f t="shared" si="70"/>
        <v>0</v>
      </c>
      <c r="P100" s="796">
        <f t="shared" si="66"/>
        <v>500000</v>
      </c>
      <c r="Q100" s="273"/>
      <c r="R100" s="277"/>
    </row>
    <row r="101" spans="1:18" s="85" customFormat="1" ht="184.5" thickTop="1" thickBot="1" x14ac:dyDescent="0.25">
      <c r="A101" s="795" t="s">
        <v>303</v>
      </c>
      <c r="B101" s="795" t="s">
        <v>304</v>
      </c>
      <c r="C101" s="795" t="s">
        <v>231</v>
      </c>
      <c r="D101" s="795" t="s">
        <v>9</v>
      </c>
      <c r="E101" s="796">
        <f t="shared" si="71"/>
        <v>74942240</v>
      </c>
      <c r="F101" s="416">
        <f>74942240</f>
        <v>74942240</v>
      </c>
      <c r="G101" s="416"/>
      <c r="H101" s="416"/>
      <c r="I101" s="416"/>
      <c r="J101" s="796">
        <f t="shared" si="64"/>
        <v>0</v>
      </c>
      <c r="K101" s="416"/>
      <c r="L101" s="416"/>
      <c r="M101" s="416"/>
      <c r="N101" s="416"/>
      <c r="O101" s="797">
        <f t="shared" si="70"/>
        <v>0</v>
      </c>
      <c r="P101" s="796">
        <f t="shared" si="66"/>
        <v>74942240</v>
      </c>
      <c r="Q101" s="273"/>
      <c r="R101" s="277"/>
    </row>
    <row r="102" spans="1:18" s="85" customFormat="1" ht="184.5" thickTop="1" thickBot="1" x14ac:dyDescent="0.25">
      <c r="A102" s="795" t="s">
        <v>533</v>
      </c>
      <c r="B102" s="795" t="s">
        <v>534</v>
      </c>
      <c r="C102" s="795" t="s">
        <v>231</v>
      </c>
      <c r="D102" s="795" t="s">
        <v>535</v>
      </c>
      <c r="E102" s="796">
        <f t="shared" si="71"/>
        <v>206796</v>
      </c>
      <c r="F102" s="416">
        <v>206796</v>
      </c>
      <c r="G102" s="416"/>
      <c r="H102" s="416"/>
      <c r="I102" s="416"/>
      <c r="J102" s="796">
        <f t="shared" si="64"/>
        <v>0</v>
      </c>
      <c r="K102" s="416"/>
      <c r="L102" s="416"/>
      <c r="M102" s="416"/>
      <c r="N102" s="416"/>
      <c r="O102" s="797">
        <f t="shared" si="70"/>
        <v>0</v>
      </c>
      <c r="P102" s="796">
        <f t="shared" si="66"/>
        <v>206796</v>
      </c>
      <c r="Q102" s="273"/>
      <c r="R102" s="277"/>
    </row>
    <row r="103" spans="1:18" s="85" customFormat="1" ht="138.75" thickTop="1" thickBot="1" x14ac:dyDescent="0.25">
      <c r="A103" s="795" t="s">
        <v>1189</v>
      </c>
      <c r="B103" s="795" t="s">
        <v>1190</v>
      </c>
      <c r="C103" s="795" t="s">
        <v>231</v>
      </c>
      <c r="D103" s="795" t="s">
        <v>1191</v>
      </c>
      <c r="E103" s="796">
        <f t="shared" si="71"/>
        <v>180000</v>
      </c>
      <c r="F103" s="416">
        <v>180000</v>
      </c>
      <c r="G103" s="416"/>
      <c r="H103" s="416"/>
      <c r="I103" s="416"/>
      <c r="J103" s="796">
        <f t="shared" si="64"/>
        <v>0</v>
      </c>
      <c r="K103" s="416"/>
      <c r="L103" s="416"/>
      <c r="M103" s="416"/>
      <c r="N103" s="416"/>
      <c r="O103" s="797">
        <f t="shared" si="70"/>
        <v>0</v>
      </c>
      <c r="P103" s="796">
        <f t="shared" si="66"/>
        <v>180000</v>
      </c>
      <c r="Q103" s="273"/>
      <c r="R103" s="277"/>
    </row>
    <row r="104" spans="1:18" ht="138.75" thickTop="1" thickBot="1" x14ac:dyDescent="0.25">
      <c r="A104" s="795" t="s">
        <v>536</v>
      </c>
      <c r="B104" s="795" t="s">
        <v>537</v>
      </c>
      <c r="C104" s="795" t="s">
        <v>230</v>
      </c>
      <c r="D104" s="795" t="s">
        <v>538</v>
      </c>
      <c r="E104" s="796">
        <f t="shared" si="71"/>
        <v>353047</v>
      </c>
      <c r="F104" s="416">
        <v>353047</v>
      </c>
      <c r="G104" s="416"/>
      <c r="H104" s="416"/>
      <c r="I104" s="416"/>
      <c r="J104" s="796">
        <f t="shared" si="64"/>
        <v>0</v>
      </c>
      <c r="K104" s="416"/>
      <c r="L104" s="416"/>
      <c r="M104" s="416"/>
      <c r="N104" s="416"/>
      <c r="O104" s="797">
        <f>K104</f>
        <v>0</v>
      </c>
      <c r="P104" s="796">
        <f t="shared" si="66"/>
        <v>353047</v>
      </c>
      <c r="R104" s="277"/>
    </row>
    <row r="105" spans="1:18" s="85" customFormat="1" ht="276" thickTop="1" thickBot="1" x14ac:dyDescent="0.25">
      <c r="A105" s="552" t="s">
        <v>929</v>
      </c>
      <c r="B105" s="552" t="s">
        <v>930</v>
      </c>
      <c r="C105" s="552"/>
      <c r="D105" s="552" t="s">
        <v>931</v>
      </c>
      <c r="E105" s="553">
        <f>SUM(E106:E107)</f>
        <v>35503210</v>
      </c>
      <c r="F105" s="553">
        <f t="shared" ref="F105:P105" si="72">SUM(F106:F107)</f>
        <v>35503210</v>
      </c>
      <c r="G105" s="553">
        <f t="shared" si="72"/>
        <v>25148685</v>
      </c>
      <c r="H105" s="553">
        <f t="shared" si="72"/>
        <v>742295</v>
      </c>
      <c r="I105" s="553">
        <f t="shared" si="72"/>
        <v>0</v>
      </c>
      <c r="J105" s="553">
        <f t="shared" si="72"/>
        <v>321440</v>
      </c>
      <c r="K105" s="553">
        <f t="shared" si="72"/>
        <v>171440</v>
      </c>
      <c r="L105" s="553">
        <f t="shared" si="72"/>
        <v>150000</v>
      </c>
      <c r="M105" s="553">
        <f t="shared" si="72"/>
        <v>100000</v>
      </c>
      <c r="N105" s="553">
        <f t="shared" si="72"/>
        <v>3000</v>
      </c>
      <c r="O105" s="553">
        <f t="shared" si="72"/>
        <v>171440</v>
      </c>
      <c r="P105" s="553">
        <f t="shared" si="72"/>
        <v>35824650</v>
      </c>
      <c r="Q105" s="273"/>
      <c r="R105" s="554"/>
    </row>
    <row r="106" spans="1:18" ht="276" thickTop="1" thickBot="1" x14ac:dyDescent="0.25">
      <c r="A106" s="795" t="s">
        <v>292</v>
      </c>
      <c r="B106" s="795" t="s">
        <v>290</v>
      </c>
      <c r="C106" s="795" t="s">
        <v>225</v>
      </c>
      <c r="D106" s="795" t="s">
        <v>17</v>
      </c>
      <c r="E106" s="796">
        <f t="shared" si="71"/>
        <v>27961120</v>
      </c>
      <c r="F106" s="416">
        <f>(27960820)-25000+2060+10800+12440</f>
        <v>27961120</v>
      </c>
      <c r="G106" s="416">
        <v>19746545</v>
      </c>
      <c r="H106" s="416">
        <f>(266000+30800+72660+10800)+2060+10800+12440</f>
        <v>405560</v>
      </c>
      <c r="I106" s="416"/>
      <c r="J106" s="796">
        <f t="shared" si="64"/>
        <v>278000</v>
      </c>
      <c r="K106" s="416">
        <f>58000+15000+25000+30000</f>
        <v>128000</v>
      </c>
      <c r="L106" s="416">
        <f>(100000+22000+15000+4000+6000+1500+500+1000)</f>
        <v>150000</v>
      </c>
      <c r="M106" s="416">
        <v>100000</v>
      </c>
      <c r="N106" s="416">
        <f>(1500+500+1000)</f>
        <v>3000</v>
      </c>
      <c r="O106" s="797">
        <f t="shared" si="70"/>
        <v>128000</v>
      </c>
      <c r="P106" s="796">
        <f t="shared" si="66"/>
        <v>28239120</v>
      </c>
      <c r="R106" s="317" t="e">
        <f>K106=#REF!</f>
        <v>#REF!</v>
      </c>
    </row>
    <row r="107" spans="1:18" ht="138.75" thickTop="1" thickBot="1" x14ac:dyDescent="0.25">
      <c r="A107" s="795" t="s">
        <v>293</v>
      </c>
      <c r="B107" s="795" t="s">
        <v>291</v>
      </c>
      <c r="C107" s="795" t="s">
        <v>224</v>
      </c>
      <c r="D107" s="795" t="s">
        <v>501</v>
      </c>
      <c r="E107" s="796">
        <f t="shared" si="71"/>
        <v>7542090</v>
      </c>
      <c r="F107" s="416">
        <f>(7298180)+112800+1570+107500+19900+2140</f>
        <v>7542090</v>
      </c>
      <c r="G107" s="416">
        <f>(3013390+2388750)</f>
        <v>5402140</v>
      </c>
      <c r="H107" s="416">
        <f>(133610+1950+28250+148195+4870+19620+240)</f>
        <v>336735</v>
      </c>
      <c r="I107" s="416"/>
      <c r="J107" s="796">
        <f t="shared" si="64"/>
        <v>43440</v>
      </c>
      <c r="K107" s="416">
        <v>43440</v>
      </c>
      <c r="L107" s="416"/>
      <c r="M107" s="416"/>
      <c r="N107" s="416"/>
      <c r="O107" s="797">
        <f t="shared" si="70"/>
        <v>43440</v>
      </c>
      <c r="P107" s="796">
        <f t="shared" si="66"/>
        <v>7585530</v>
      </c>
      <c r="R107" s="317" t="e">
        <f>K107=#REF!</f>
        <v>#REF!</v>
      </c>
    </row>
    <row r="108" spans="1:18" ht="409.6" thickTop="1" thickBot="1" x14ac:dyDescent="0.25">
      <c r="A108" s="795" t="s">
        <v>288</v>
      </c>
      <c r="B108" s="795" t="s">
        <v>289</v>
      </c>
      <c r="C108" s="795" t="s">
        <v>224</v>
      </c>
      <c r="D108" s="795" t="s">
        <v>499</v>
      </c>
      <c r="E108" s="796">
        <f t="shared" si="71"/>
        <v>2242695</v>
      </c>
      <c r="F108" s="416">
        <f>(1242695)+1000000</f>
        <v>2242695</v>
      </c>
      <c r="G108" s="416"/>
      <c r="H108" s="416"/>
      <c r="I108" s="416"/>
      <c r="J108" s="796">
        <f t="shared" si="64"/>
        <v>0</v>
      </c>
      <c r="K108" s="796"/>
      <c r="L108" s="416"/>
      <c r="M108" s="416"/>
      <c r="N108" s="416"/>
      <c r="O108" s="797">
        <f t="shared" si="70"/>
        <v>0</v>
      </c>
      <c r="P108" s="796">
        <f>+J108+E108</f>
        <v>2242695</v>
      </c>
      <c r="R108" s="277"/>
    </row>
    <row r="109" spans="1:18" ht="138.75" thickTop="1" thickBot="1" x14ac:dyDescent="0.25">
      <c r="A109" s="552" t="s">
        <v>1098</v>
      </c>
      <c r="B109" s="552" t="s">
        <v>1099</v>
      </c>
      <c r="C109" s="552"/>
      <c r="D109" s="552" t="s">
        <v>1100</v>
      </c>
      <c r="E109" s="553">
        <f t="shared" si="71"/>
        <v>147491</v>
      </c>
      <c r="F109" s="553">
        <f>F110</f>
        <v>147491</v>
      </c>
      <c r="G109" s="553">
        <f t="shared" ref="G109:I109" si="73">G110</f>
        <v>0</v>
      </c>
      <c r="H109" s="553">
        <f t="shared" si="73"/>
        <v>0</v>
      </c>
      <c r="I109" s="553">
        <f t="shared" si="73"/>
        <v>0</v>
      </c>
      <c r="J109" s="553">
        <f t="shared" si="64"/>
        <v>0</v>
      </c>
      <c r="K109" s="553">
        <f t="shared" ref="K109:N109" si="74">K110</f>
        <v>0</v>
      </c>
      <c r="L109" s="553">
        <f t="shared" si="74"/>
        <v>0</v>
      </c>
      <c r="M109" s="553">
        <f t="shared" si="74"/>
        <v>0</v>
      </c>
      <c r="N109" s="553">
        <f t="shared" si="74"/>
        <v>0</v>
      </c>
      <c r="O109" s="553">
        <f t="shared" si="70"/>
        <v>0</v>
      </c>
      <c r="P109" s="553">
        <f>+J109+E109</f>
        <v>147491</v>
      </c>
      <c r="R109" s="277"/>
    </row>
    <row r="110" spans="1:18" ht="276" thickTop="1" thickBot="1" x14ac:dyDescent="0.25">
      <c r="A110" s="795" t="s">
        <v>539</v>
      </c>
      <c r="B110" s="795" t="s">
        <v>540</v>
      </c>
      <c r="C110" s="795" t="s">
        <v>224</v>
      </c>
      <c r="D110" s="795" t="s">
        <v>541</v>
      </c>
      <c r="E110" s="796">
        <f t="shared" si="71"/>
        <v>147491</v>
      </c>
      <c r="F110" s="416">
        <v>147491</v>
      </c>
      <c r="G110" s="416"/>
      <c r="H110" s="416"/>
      <c r="I110" s="416"/>
      <c r="J110" s="796">
        <f t="shared" si="64"/>
        <v>0</v>
      </c>
      <c r="K110" s="796"/>
      <c r="L110" s="416"/>
      <c r="M110" s="416"/>
      <c r="N110" s="416"/>
      <c r="O110" s="797">
        <f t="shared" si="70"/>
        <v>0</v>
      </c>
      <c r="P110" s="796">
        <f>+J110+E110</f>
        <v>147491</v>
      </c>
      <c r="R110" s="277"/>
    </row>
    <row r="111" spans="1:18" ht="367.5" thickTop="1" thickBot="1" x14ac:dyDescent="0.25">
      <c r="A111" s="795" t="s">
        <v>382</v>
      </c>
      <c r="B111" s="795" t="s">
        <v>381</v>
      </c>
      <c r="C111" s="795" t="s">
        <v>52</v>
      </c>
      <c r="D111" s="795" t="s">
        <v>500</v>
      </c>
      <c r="E111" s="796">
        <f t="shared" si="71"/>
        <v>2625425</v>
      </c>
      <c r="F111" s="416">
        <v>2625425</v>
      </c>
      <c r="G111" s="416"/>
      <c r="H111" s="416"/>
      <c r="I111" s="416"/>
      <c r="J111" s="796">
        <f t="shared" si="64"/>
        <v>0</v>
      </c>
      <c r="K111" s="796"/>
      <c r="L111" s="416"/>
      <c r="M111" s="416"/>
      <c r="N111" s="416"/>
      <c r="O111" s="797">
        <f t="shared" si="70"/>
        <v>0</v>
      </c>
      <c r="P111" s="796">
        <f>E111+J111</f>
        <v>2625425</v>
      </c>
      <c r="R111" s="277"/>
    </row>
    <row r="112" spans="1:18" s="85" customFormat="1" ht="93" thickTop="1" thickBot="1" x14ac:dyDescent="0.25">
      <c r="A112" s="552" t="s">
        <v>932</v>
      </c>
      <c r="B112" s="552" t="s">
        <v>933</v>
      </c>
      <c r="C112" s="552"/>
      <c r="D112" s="552" t="s">
        <v>934</v>
      </c>
      <c r="E112" s="553">
        <f>E113</f>
        <v>500000</v>
      </c>
      <c r="F112" s="553">
        <f t="shared" ref="F112:P112" si="75">F113</f>
        <v>500000</v>
      </c>
      <c r="G112" s="553">
        <f t="shared" si="75"/>
        <v>0</v>
      </c>
      <c r="H112" s="553">
        <f t="shared" si="75"/>
        <v>0</v>
      </c>
      <c r="I112" s="553">
        <f t="shared" si="75"/>
        <v>0</v>
      </c>
      <c r="J112" s="553">
        <f t="shared" si="75"/>
        <v>0</v>
      </c>
      <c r="K112" s="553">
        <f t="shared" si="75"/>
        <v>0</v>
      </c>
      <c r="L112" s="553">
        <f t="shared" si="75"/>
        <v>0</v>
      </c>
      <c r="M112" s="553">
        <f t="shared" si="75"/>
        <v>0</v>
      </c>
      <c r="N112" s="553">
        <f t="shared" si="75"/>
        <v>0</v>
      </c>
      <c r="O112" s="553">
        <f t="shared" si="75"/>
        <v>0</v>
      </c>
      <c r="P112" s="553">
        <f t="shared" si="75"/>
        <v>500000</v>
      </c>
      <c r="Q112" s="273"/>
      <c r="R112" s="554"/>
    </row>
    <row r="113" spans="1:18" ht="230.25" thickTop="1" thickBot="1" x14ac:dyDescent="0.25">
      <c r="A113" s="795" t="s">
        <v>358</v>
      </c>
      <c r="B113" s="795" t="s">
        <v>359</v>
      </c>
      <c r="C113" s="795" t="s">
        <v>230</v>
      </c>
      <c r="D113" s="795" t="s">
        <v>830</v>
      </c>
      <c r="E113" s="796">
        <f t="shared" si="71"/>
        <v>500000</v>
      </c>
      <c r="F113" s="416">
        <f>(500000)</f>
        <v>500000</v>
      </c>
      <c r="G113" s="416"/>
      <c r="H113" s="416"/>
      <c r="I113" s="416"/>
      <c r="J113" s="796">
        <f t="shared" si="64"/>
        <v>0</v>
      </c>
      <c r="K113" s="416"/>
      <c r="L113" s="416"/>
      <c r="M113" s="416"/>
      <c r="N113" s="416"/>
      <c r="O113" s="797">
        <f t="shared" si="70"/>
        <v>0</v>
      </c>
      <c r="P113" s="796">
        <f>E113+J113</f>
        <v>500000</v>
      </c>
      <c r="R113" s="277"/>
    </row>
    <row r="114" spans="1:18" s="85" customFormat="1" ht="184.5" thickTop="1" thickBot="1" x14ac:dyDescent="0.25">
      <c r="A114" s="552" t="s">
        <v>935</v>
      </c>
      <c r="B114" s="552" t="s">
        <v>936</v>
      </c>
      <c r="C114" s="552"/>
      <c r="D114" s="552" t="s">
        <v>937</v>
      </c>
      <c r="E114" s="553">
        <f t="shared" ref="E114:P114" si="76">E115</f>
        <v>100040</v>
      </c>
      <c r="F114" s="553">
        <f t="shared" si="76"/>
        <v>100040</v>
      </c>
      <c r="G114" s="553">
        <f t="shared" si="76"/>
        <v>82000</v>
      </c>
      <c r="H114" s="553">
        <f t="shared" si="76"/>
        <v>0</v>
      </c>
      <c r="I114" s="553">
        <f t="shared" si="76"/>
        <v>0</v>
      </c>
      <c r="J114" s="553">
        <f t="shared" si="76"/>
        <v>0</v>
      </c>
      <c r="K114" s="553">
        <f t="shared" si="76"/>
        <v>0</v>
      </c>
      <c r="L114" s="553">
        <f t="shared" si="76"/>
        <v>0</v>
      </c>
      <c r="M114" s="553">
        <f t="shared" si="76"/>
        <v>0</v>
      </c>
      <c r="N114" s="553">
        <f t="shared" si="76"/>
        <v>0</v>
      </c>
      <c r="O114" s="553">
        <f t="shared" si="76"/>
        <v>0</v>
      </c>
      <c r="P114" s="553">
        <f t="shared" si="76"/>
        <v>100040</v>
      </c>
      <c r="Q114" s="273"/>
      <c r="R114" s="554"/>
    </row>
    <row r="115" spans="1:18" ht="93" thickTop="1" thickBot="1" x14ac:dyDescent="0.25">
      <c r="A115" s="795" t="s">
        <v>466</v>
      </c>
      <c r="B115" s="795" t="s">
        <v>408</v>
      </c>
      <c r="C115" s="795" t="s">
        <v>409</v>
      </c>
      <c r="D115" s="795" t="s">
        <v>407</v>
      </c>
      <c r="E115" s="435">
        <f t="shared" si="71"/>
        <v>100040</v>
      </c>
      <c r="F115" s="416">
        <v>100040</v>
      </c>
      <c r="G115" s="416">
        <v>82000</v>
      </c>
      <c r="H115" s="416"/>
      <c r="I115" s="416"/>
      <c r="J115" s="796">
        <f t="shared" si="64"/>
        <v>0</v>
      </c>
      <c r="K115" s="416"/>
      <c r="L115" s="416"/>
      <c r="M115" s="416"/>
      <c r="N115" s="416"/>
      <c r="O115" s="797">
        <f t="shared" si="70"/>
        <v>0</v>
      </c>
      <c r="P115" s="796">
        <f>E115+J115</f>
        <v>100040</v>
      </c>
      <c r="R115" s="277"/>
    </row>
    <row r="116" spans="1:18" s="85" customFormat="1" ht="48" thickTop="1" thickBot="1" x14ac:dyDescent="0.25">
      <c r="A116" s="552" t="s">
        <v>938</v>
      </c>
      <c r="B116" s="552" t="s">
        <v>939</v>
      </c>
      <c r="C116" s="552"/>
      <c r="D116" s="552" t="s">
        <v>940</v>
      </c>
      <c r="E116" s="553">
        <f>SUM(E117:E118)</f>
        <v>35626145</v>
      </c>
      <c r="F116" s="553">
        <f t="shared" ref="F116:P116" si="77">SUM(F117:F118)</f>
        <v>35626145</v>
      </c>
      <c r="G116" s="553">
        <f t="shared" si="77"/>
        <v>4244615</v>
      </c>
      <c r="H116" s="553">
        <f t="shared" si="77"/>
        <v>490327</v>
      </c>
      <c r="I116" s="553">
        <f t="shared" si="77"/>
        <v>0</v>
      </c>
      <c r="J116" s="553">
        <f t="shared" si="77"/>
        <v>683340</v>
      </c>
      <c r="K116" s="553">
        <f t="shared" si="77"/>
        <v>538340</v>
      </c>
      <c r="L116" s="553">
        <f t="shared" si="77"/>
        <v>145000</v>
      </c>
      <c r="M116" s="553">
        <f t="shared" si="77"/>
        <v>4000</v>
      </c>
      <c r="N116" s="553">
        <f t="shared" si="77"/>
        <v>134000</v>
      </c>
      <c r="O116" s="553">
        <f t="shared" si="77"/>
        <v>538340</v>
      </c>
      <c r="P116" s="553">
        <f t="shared" si="77"/>
        <v>36309485</v>
      </c>
      <c r="Q116" s="273"/>
      <c r="R116" s="554"/>
    </row>
    <row r="117" spans="1:18" ht="184.5" thickTop="1" thickBot="1" x14ac:dyDescent="0.25">
      <c r="A117" s="795" t="s">
        <v>360</v>
      </c>
      <c r="B117" s="795" t="s">
        <v>362</v>
      </c>
      <c r="C117" s="795" t="s">
        <v>216</v>
      </c>
      <c r="D117" s="434" t="s">
        <v>364</v>
      </c>
      <c r="E117" s="796">
        <f t="shared" si="71"/>
        <v>7847022</v>
      </c>
      <c r="F117" s="416">
        <f>(8173362-388340)+17000+45000</f>
        <v>7847022</v>
      </c>
      <c r="G117" s="247">
        <f>(1948670+2295945)</f>
        <v>4244615</v>
      </c>
      <c r="H117" s="247">
        <f>(245557+131600+6000+27000+40000+39000+1170)</f>
        <v>490327</v>
      </c>
      <c r="I117" s="416"/>
      <c r="J117" s="796">
        <f t="shared" ref="J117:J128" si="78">L117+O117</f>
        <v>533340</v>
      </c>
      <c r="K117" s="416">
        <f>(72894+138259+40788+136399)</f>
        <v>388340</v>
      </c>
      <c r="L117" s="416">
        <f>(4000+900+6100+23000+65000+45000+1000)</f>
        <v>145000</v>
      </c>
      <c r="M117" s="416">
        <v>4000</v>
      </c>
      <c r="N117" s="416">
        <f>(23000+65000+45000+1000)</f>
        <v>134000</v>
      </c>
      <c r="O117" s="797">
        <f t="shared" ref="O117:O128" si="79">K117</f>
        <v>388340</v>
      </c>
      <c r="P117" s="796">
        <f t="shared" ref="P117:P128" si="80">E117+J117</f>
        <v>8380362</v>
      </c>
      <c r="R117" s="317" t="e">
        <f>K117=#REF!</f>
        <v>#REF!</v>
      </c>
    </row>
    <row r="118" spans="1:18" ht="138.75" thickTop="1" thickBot="1" x14ac:dyDescent="0.25">
      <c r="A118" s="795" t="s">
        <v>361</v>
      </c>
      <c r="B118" s="795" t="s">
        <v>363</v>
      </c>
      <c r="C118" s="795" t="s">
        <v>216</v>
      </c>
      <c r="D118" s="434" t="s">
        <v>365</v>
      </c>
      <c r="E118" s="796">
        <f t="shared" si="71"/>
        <v>27779123</v>
      </c>
      <c r="F118" s="416">
        <f>(27403151)+44000+81972+200000+50000</f>
        <v>27779123</v>
      </c>
      <c r="G118" s="416"/>
      <c r="H118" s="416"/>
      <c r="I118" s="416"/>
      <c r="J118" s="796">
        <f t="shared" si="78"/>
        <v>150000</v>
      </c>
      <c r="K118" s="416">
        <v>150000</v>
      </c>
      <c r="L118" s="416"/>
      <c r="M118" s="416"/>
      <c r="N118" s="416"/>
      <c r="O118" s="797">
        <f t="shared" si="79"/>
        <v>150000</v>
      </c>
      <c r="P118" s="796">
        <f t="shared" si="80"/>
        <v>27929123</v>
      </c>
      <c r="R118" s="317" t="e">
        <f>K118=#REF!</f>
        <v>#REF!</v>
      </c>
    </row>
    <row r="119" spans="1:18" ht="91.5" thickTop="1" thickBot="1" x14ac:dyDescent="0.25">
      <c r="A119" s="251" t="s">
        <v>941</v>
      </c>
      <c r="B119" s="251" t="s">
        <v>942</v>
      </c>
      <c r="C119" s="251"/>
      <c r="D119" s="556" t="s">
        <v>943</v>
      </c>
      <c r="E119" s="796">
        <f>SUM(E120)</f>
        <v>0</v>
      </c>
      <c r="F119" s="796">
        <f t="shared" ref="F119:P120" si="81">SUM(F120)</f>
        <v>0</v>
      </c>
      <c r="G119" s="796">
        <f t="shared" si="81"/>
        <v>0</v>
      </c>
      <c r="H119" s="796">
        <f t="shared" si="81"/>
        <v>0</v>
      </c>
      <c r="I119" s="796">
        <f t="shared" si="81"/>
        <v>0</v>
      </c>
      <c r="J119" s="796">
        <f t="shared" si="81"/>
        <v>4000000</v>
      </c>
      <c r="K119" s="796">
        <f t="shared" si="81"/>
        <v>4000000</v>
      </c>
      <c r="L119" s="796">
        <f t="shared" si="81"/>
        <v>0</v>
      </c>
      <c r="M119" s="796">
        <f t="shared" si="81"/>
        <v>0</v>
      </c>
      <c r="N119" s="796">
        <f t="shared" si="81"/>
        <v>0</v>
      </c>
      <c r="O119" s="796">
        <f t="shared" si="81"/>
        <v>4000000</v>
      </c>
      <c r="P119" s="796">
        <f t="shared" si="81"/>
        <v>4000000</v>
      </c>
      <c r="R119" s="317"/>
    </row>
    <row r="120" spans="1:18" s="85" customFormat="1" ht="93" thickTop="1" thickBot="1" x14ac:dyDescent="0.25">
      <c r="A120" s="552" t="s">
        <v>944</v>
      </c>
      <c r="B120" s="552" t="s">
        <v>945</v>
      </c>
      <c r="C120" s="552"/>
      <c r="D120" s="558" t="s">
        <v>946</v>
      </c>
      <c r="E120" s="553">
        <f>SUM(E121)</f>
        <v>0</v>
      </c>
      <c r="F120" s="553">
        <f t="shared" si="81"/>
        <v>0</v>
      </c>
      <c r="G120" s="553">
        <f t="shared" si="81"/>
        <v>0</v>
      </c>
      <c r="H120" s="553">
        <f t="shared" si="81"/>
        <v>0</v>
      </c>
      <c r="I120" s="553">
        <f t="shared" si="81"/>
        <v>0</v>
      </c>
      <c r="J120" s="553">
        <f t="shared" si="81"/>
        <v>4000000</v>
      </c>
      <c r="K120" s="553">
        <f t="shared" si="81"/>
        <v>4000000</v>
      </c>
      <c r="L120" s="553">
        <f t="shared" si="81"/>
        <v>0</v>
      </c>
      <c r="M120" s="553">
        <f t="shared" si="81"/>
        <v>0</v>
      </c>
      <c r="N120" s="553">
        <f t="shared" si="81"/>
        <v>0</v>
      </c>
      <c r="O120" s="553">
        <f t="shared" si="81"/>
        <v>4000000</v>
      </c>
      <c r="P120" s="553">
        <f t="shared" si="81"/>
        <v>4000000</v>
      </c>
      <c r="Q120" s="273"/>
      <c r="R120" s="560"/>
    </row>
    <row r="121" spans="1:18" ht="138.75" thickTop="1" thickBot="1" x14ac:dyDescent="0.25">
      <c r="A121" s="795" t="s">
        <v>403</v>
      </c>
      <c r="B121" s="795" t="s">
        <v>401</v>
      </c>
      <c r="C121" s="795" t="s">
        <v>373</v>
      </c>
      <c r="D121" s="434" t="s">
        <v>402</v>
      </c>
      <c r="E121" s="796">
        <f t="shared" si="71"/>
        <v>0</v>
      </c>
      <c r="F121" s="416"/>
      <c r="G121" s="416"/>
      <c r="H121" s="416"/>
      <c r="I121" s="416"/>
      <c r="J121" s="796">
        <f t="shared" si="78"/>
        <v>4000000</v>
      </c>
      <c r="K121" s="416">
        <v>4000000</v>
      </c>
      <c r="L121" s="416"/>
      <c r="M121" s="416"/>
      <c r="N121" s="416"/>
      <c r="O121" s="797">
        <f t="shared" si="79"/>
        <v>4000000</v>
      </c>
      <c r="P121" s="796">
        <f t="shared" si="80"/>
        <v>4000000</v>
      </c>
      <c r="R121" s="317" t="e">
        <f>K121=#REF!</f>
        <v>#REF!</v>
      </c>
    </row>
    <row r="122" spans="1:18" ht="47.25" thickTop="1" thickBot="1" x14ac:dyDescent="0.25">
      <c r="A122" s="251" t="s">
        <v>951</v>
      </c>
      <c r="B122" s="757" t="s">
        <v>948</v>
      </c>
      <c r="C122" s="757"/>
      <c r="D122" s="757" t="s">
        <v>949</v>
      </c>
      <c r="E122" s="796">
        <f t="shared" ref="E122:P122" si="82">E126+E123</f>
        <v>0</v>
      </c>
      <c r="F122" s="796">
        <f t="shared" si="82"/>
        <v>0</v>
      </c>
      <c r="G122" s="796">
        <f t="shared" si="82"/>
        <v>0</v>
      </c>
      <c r="H122" s="796">
        <f t="shared" si="82"/>
        <v>0</v>
      </c>
      <c r="I122" s="796">
        <f t="shared" si="82"/>
        <v>0</v>
      </c>
      <c r="J122" s="796">
        <f t="shared" si="82"/>
        <v>542000</v>
      </c>
      <c r="K122" s="796">
        <f t="shared" si="82"/>
        <v>220000</v>
      </c>
      <c r="L122" s="796">
        <f t="shared" si="82"/>
        <v>322000</v>
      </c>
      <c r="M122" s="796">
        <f t="shared" si="82"/>
        <v>0</v>
      </c>
      <c r="N122" s="796">
        <f t="shared" si="82"/>
        <v>0</v>
      </c>
      <c r="O122" s="796">
        <f t="shared" si="82"/>
        <v>220000</v>
      </c>
      <c r="P122" s="796">
        <f t="shared" si="82"/>
        <v>542000</v>
      </c>
      <c r="R122" s="317"/>
    </row>
    <row r="123" spans="1:18" ht="91.5" thickTop="1" thickBot="1" x14ac:dyDescent="0.25">
      <c r="A123" s="557" t="s">
        <v>1198</v>
      </c>
      <c r="B123" s="758" t="s">
        <v>1004</v>
      </c>
      <c r="C123" s="758"/>
      <c r="D123" s="758" t="s">
        <v>1005</v>
      </c>
      <c r="E123" s="555">
        <f>E124</f>
        <v>0</v>
      </c>
      <c r="F123" s="555">
        <f t="shared" ref="F123:P127" si="83">F124</f>
        <v>0</v>
      </c>
      <c r="G123" s="555">
        <f t="shared" si="83"/>
        <v>0</v>
      </c>
      <c r="H123" s="555">
        <f t="shared" si="83"/>
        <v>0</v>
      </c>
      <c r="I123" s="555">
        <f t="shared" si="83"/>
        <v>0</v>
      </c>
      <c r="J123" s="555">
        <f t="shared" si="83"/>
        <v>220000</v>
      </c>
      <c r="K123" s="555">
        <f t="shared" si="83"/>
        <v>220000</v>
      </c>
      <c r="L123" s="555">
        <f t="shared" si="83"/>
        <v>0</v>
      </c>
      <c r="M123" s="555">
        <f t="shared" si="83"/>
        <v>0</v>
      </c>
      <c r="N123" s="555">
        <f t="shared" si="83"/>
        <v>0</v>
      </c>
      <c r="O123" s="555">
        <f t="shared" si="83"/>
        <v>220000</v>
      </c>
      <c r="P123" s="555">
        <f t="shared" si="83"/>
        <v>220000</v>
      </c>
      <c r="R123" s="317"/>
    </row>
    <row r="124" spans="1:18" ht="146.25" thickTop="1" thickBot="1" x14ac:dyDescent="0.25">
      <c r="A124" s="552" t="s">
        <v>1194</v>
      </c>
      <c r="B124" s="552" t="s">
        <v>1023</v>
      </c>
      <c r="C124" s="552"/>
      <c r="D124" s="552" t="s">
        <v>1024</v>
      </c>
      <c r="E124" s="553">
        <f>E125</f>
        <v>0</v>
      </c>
      <c r="F124" s="553">
        <f t="shared" si="83"/>
        <v>0</v>
      </c>
      <c r="G124" s="553">
        <f t="shared" si="83"/>
        <v>0</v>
      </c>
      <c r="H124" s="553">
        <f t="shared" si="83"/>
        <v>0</v>
      </c>
      <c r="I124" s="553">
        <f t="shared" si="83"/>
        <v>0</v>
      </c>
      <c r="J124" s="553">
        <f t="shared" si="83"/>
        <v>220000</v>
      </c>
      <c r="K124" s="553">
        <f t="shared" si="83"/>
        <v>220000</v>
      </c>
      <c r="L124" s="553">
        <f t="shared" si="83"/>
        <v>0</v>
      </c>
      <c r="M124" s="553">
        <f t="shared" si="83"/>
        <v>0</v>
      </c>
      <c r="N124" s="553">
        <f t="shared" si="83"/>
        <v>0</v>
      </c>
      <c r="O124" s="553">
        <f t="shared" si="83"/>
        <v>220000</v>
      </c>
      <c r="P124" s="553">
        <f t="shared" si="83"/>
        <v>220000</v>
      </c>
      <c r="R124" s="317"/>
    </row>
    <row r="125" spans="1:18" ht="99.75" thickTop="1" thickBot="1" x14ac:dyDescent="0.25">
      <c r="A125" s="795" t="s">
        <v>1195</v>
      </c>
      <c r="B125" s="795" t="s">
        <v>1196</v>
      </c>
      <c r="C125" s="795" t="s">
        <v>330</v>
      </c>
      <c r="D125" s="795" t="s">
        <v>1197</v>
      </c>
      <c r="E125" s="796">
        <f>E126</f>
        <v>0</v>
      </c>
      <c r="F125" s="416"/>
      <c r="G125" s="416"/>
      <c r="H125" s="416"/>
      <c r="I125" s="416"/>
      <c r="J125" s="796">
        <f>L125+O125</f>
        <v>220000</v>
      </c>
      <c r="K125" s="416">
        <f>180000+40000</f>
        <v>220000</v>
      </c>
      <c r="L125" s="416"/>
      <c r="M125" s="416"/>
      <c r="N125" s="416"/>
      <c r="O125" s="797">
        <f>K125</f>
        <v>220000</v>
      </c>
      <c r="P125" s="796">
        <f>E125+J125</f>
        <v>220000</v>
      </c>
      <c r="R125" s="317" t="e">
        <f>K125=#REF!</f>
        <v>#REF!</v>
      </c>
    </row>
    <row r="126" spans="1:18" ht="136.5" thickTop="1" thickBot="1" x14ac:dyDescent="0.25">
      <c r="A126" s="557" t="s">
        <v>953</v>
      </c>
      <c r="B126" s="758" t="s">
        <v>887</v>
      </c>
      <c r="C126" s="758"/>
      <c r="D126" s="758" t="s">
        <v>885</v>
      </c>
      <c r="E126" s="555">
        <f>E127</f>
        <v>0</v>
      </c>
      <c r="F126" s="555">
        <f t="shared" si="83"/>
        <v>0</v>
      </c>
      <c r="G126" s="555">
        <f t="shared" si="83"/>
        <v>0</v>
      </c>
      <c r="H126" s="555">
        <f t="shared" si="83"/>
        <v>0</v>
      </c>
      <c r="I126" s="555">
        <f t="shared" si="83"/>
        <v>0</v>
      </c>
      <c r="J126" s="555">
        <f t="shared" si="83"/>
        <v>322000</v>
      </c>
      <c r="K126" s="555">
        <f t="shared" si="83"/>
        <v>0</v>
      </c>
      <c r="L126" s="555">
        <f t="shared" si="83"/>
        <v>322000</v>
      </c>
      <c r="M126" s="555">
        <f t="shared" si="83"/>
        <v>0</v>
      </c>
      <c r="N126" s="555">
        <f t="shared" si="83"/>
        <v>0</v>
      </c>
      <c r="O126" s="555">
        <f t="shared" si="83"/>
        <v>0</v>
      </c>
      <c r="P126" s="555">
        <f t="shared" si="83"/>
        <v>322000</v>
      </c>
      <c r="R126" s="317"/>
    </row>
    <row r="127" spans="1:18" ht="48" thickTop="1" thickBot="1" x14ac:dyDescent="0.25">
      <c r="A127" s="759" t="s">
        <v>952</v>
      </c>
      <c r="B127" s="759" t="s">
        <v>890</v>
      </c>
      <c r="C127" s="759"/>
      <c r="D127" s="558" t="s">
        <v>888</v>
      </c>
      <c r="E127" s="553">
        <f>E128</f>
        <v>0</v>
      </c>
      <c r="F127" s="553">
        <f t="shared" si="83"/>
        <v>0</v>
      </c>
      <c r="G127" s="553">
        <f t="shared" si="83"/>
        <v>0</v>
      </c>
      <c r="H127" s="553">
        <f t="shared" si="83"/>
        <v>0</v>
      </c>
      <c r="I127" s="553">
        <f t="shared" si="83"/>
        <v>0</v>
      </c>
      <c r="J127" s="553">
        <f t="shared" si="83"/>
        <v>322000</v>
      </c>
      <c r="K127" s="553">
        <f t="shared" si="83"/>
        <v>0</v>
      </c>
      <c r="L127" s="553">
        <f t="shared" si="83"/>
        <v>322000</v>
      </c>
      <c r="M127" s="553">
        <f t="shared" si="83"/>
        <v>0</v>
      </c>
      <c r="N127" s="553">
        <f t="shared" si="83"/>
        <v>0</v>
      </c>
      <c r="O127" s="553">
        <f t="shared" si="83"/>
        <v>0</v>
      </c>
      <c r="P127" s="553">
        <f t="shared" si="83"/>
        <v>322000</v>
      </c>
      <c r="R127" s="317"/>
    </row>
    <row r="128" spans="1:18" ht="409.6" thickTop="1" thickBot="1" x14ac:dyDescent="0.7">
      <c r="A128" s="875" t="s">
        <v>461</v>
      </c>
      <c r="B128" s="875" t="s">
        <v>371</v>
      </c>
      <c r="C128" s="875" t="s">
        <v>191</v>
      </c>
      <c r="D128" s="420" t="s">
        <v>483</v>
      </c>
      <c r="E128" s="864">
        <f t="shared" si="71"/>
        <v>0</v>
      </c>
      <c r="F128" s="866"/>
      <c r="G128" s="866"/>
      <c r="H128" s="866"/>
      <c r="I128" s="866"/>
      <c r="J128" s="864">
        <f t="shared" si="78"/>
        <v>322000</v>
      </c>
      <c r="K128" s="866"/>
      <c r="L128" s="866">
        <v>322000</v>
      </c>
      <c r="M128" s="866"/>
      <c r="N128" s="866"/>
      <c r="O128" s="868">
        <f t="shared" si="79"/>
        <v>0</v>
      </c>
      <c r="P128" s="870">
        <f t="shared" si="80"/>
        <v>322000</v>
      </c>
      <c r="R128" s="277"/>
    </row>
    <row r="129" spans="1:18" ht="184.5" thickTop="1" thickBot="1" x14ac:dyDescent="0.25">
      <c r="A129" s="984"/>
      <c r="B129" s="876"/>
      <c r="C129" s="984"/>
      <c r="D129" s="424" t="s">
        <v>484</v>
      </c>
      <c r="E129" s="984"/>
      <c r="F129" s="985"/>
      <c r="G129" s="985"/>
      <c r="H129" s="985"/>
      <c r="I129" s="985"/>
      <c r="J129" s="984"/>
      <c r="K129" s="984"/>
      <c r="L129" s="985"/>
      <c r="M129" s="985"/>
      <c r="N129" s="985"/>
      <c r="O129" s="988"/>
      <c r="P129" s="871"/>
      <c r="R129" s="277"/>
    </row>
    <row r="130" spans="1:18" ht="181.5" thickTop="1" thickBot="1" x14ac:dyDescent="0.25">
      <c r="A130" s="680">
        <v>1000000</v>
      </c>
      <c r="B130" s="680"/>
      <c r="C130" s="680"/>
      <c r="D130" s="681" t="s">
        <v>24</v>
      </c>
      <c r="E130" s="682">
        <f>E131</f>
        <v>123163207</v>
      </c>
      <c r="F130" s="683">
        <f t="shared" ref="F130:G130" si="84">F131</f>
        <v>123163207</v>
      </c>
      <c r="G130" s="683">
        <f t="shared" si="84"/>
        <v>90402850</v>
      </c>
      <c r="H130" s="683">
        <f>H131</f>
        <v>3907125</v>
      </c>
      <c r="I130" s="683">
        <f>I131</f>
        <v>0</v>
      </c>
      <c r="J130" s="682">
        <f>J131</f>
        <v>17296400</v>
      </c>
      <c r="K130" s="683">
        <f>K131</f>
        <v>7466000</v>
      </c>
      <c r="L130" s="683">
        <f>L131</f>
        <v>9724400</v>
      </c>
      <c r="M130" s="683">
        <f t="shared" ref="M130" si="85">M131</f>
        <v>7345900</v>
      </c>
      <c r="N130" s="682">
        <f>N131</f>
        <v>257400</v>
      </c>
      <c r="O130" s="682">
        <f>O131</f>
        <v>7572000</v>
      </c>
      <c r="P130" s="683">
        <f t="shared" ref="P130" si="86">P131</f>
        <v>140459607</v>
      </c>
    </row>
    <row r="131" spans="1:18" ht="181.5" thickTop="1" thickBot="1" x14ac:dyDescent="0.25">
      <c r="A131" s="684">
        <v>1010000</v>
      </c>
      <c r="B131" s="684"/>
      <c r="C131" s="684"/>
      <c r="D131" s="685" t="s">
        <v>41</v>
      </c>
      <c r="E131" s="686">
        <f>E132+E134+E145+E142</f>
        <v>123163207</v>
      </c>
      <c r="F131" s="686">
        <f>F132+F134+F145+F142</f>
        <v>123163207</v>
      </c>
      <c r="G131" s="686">
        <f>G132+G134+G145+G142</f>
        <v>90402850</v>
      </c>
      <c r="H131" s="686">
        <f>H132+H134+H145+H142</f>
        <v>3907125</v>
      </c>
      <c r="I131" s="686">
        <f>I132+I134+I145+I142</f>
        <v>0</v>
      </c>
      <c r="J131" s="686">
        <f t="shared" ref="J131:J141" si="87">L131+O131</f>
        <v>17296400</v>
      </c>
      <c r="K131" s="686">
        <f>K132+K134+K145+K142</f>
        <v>7466000</v>
      </c>
      <c r="L131" s="686">
        <f>L132+L134+L145+L142</f>
        <v>9724400</v>
      </c>
      <c r="M131" s="686">
        <f>M132+M134+M145+M142</f>
        <v>7345900</v>
      </c>
      <c r="N131" s="686">
        <f>N132+N134+N145+N142</f>
        <v>257400</v>
      </c>
      <c r="O131" s="686">
        <f>O132+O134+O145+O142</f>
        <v>7572000</v>
      </c>
      <c r="P131" s="687">
        <f t="shared" ref="P131:P141" si="88">E131+J131</f>
        <v>140459607</v>
      </c>
      <c r="Q131" s="181" t="b">
        <f>P131=P133+P135+P136+P137+P138+P140+P141+P147+P144</f>
        <v>1</v>
      </c>
      <c r="R131" s="317" t="e">
        <f>K131=#REF!</f>
        <v>#REF!</v>
      </c>
    </row>
    <row r="132" spans="1:18" ht="47.25" thickTop="1" thickBot="1" x14ac:dyDescent="0.25">
      <c r="A132" s="251" t="s">
        <v>954</v>
      </c>
      <c r="B132" s="251" t="s">
        <v>904</v>
      </c>
      <c r="C132" s="251"/>
      <c r="D132" s="251" t="s">
        <v>905</v>
      </c>
      <c r="E132" s="796">
        <f>E133</f>
        <v>68969585</v>
      </c>
      <c r="F132" s="796">
        <f t="shared" ref="F132:P132" si="89">F133</f>
        <v>68969585</v>
      </c>
      <c r="G132" s="796">
        <f t="shared" si="89"/>
        <v>54164900</v>
      </c>
      <c r="H132" s="796">
        <f t="shared" si="89"/>
        <v>2247815</v>
      </c>
      <c r="I132" s="796">
        <f t="shared" si="89"/>
        <v>0</v>
      </c>
      <c r="J132" s="796">
        <f t="shared" si="89"/>
        <v>10062100</v>
      </c>
      <c r="K132" s="796">
        <f t="shared" si="89"/>
        <v>1000000</v>
      </c>
      <c r="L132" s="796">
        <f t="shared" si="89"/>
        <v>9029100</v>
      </c>
      <c r="M132" s="796">
        <f t="shared" si="89"/>
        <v>6977500</v>
      </c>
      <c r="N132" s="796">
        <f t="shared" si="89"/>
        <v>190100</v>
      </c>
      <c r="O132" s="796">
        <f t="shared" si="89"/>
        <v>1033000</v>
      </c>
      <c r="P132" s="796">
        <f t="shared" si="89"/>
        <v>79031685</v>
      </c>
      <c r="Q132" s="181"/>
      <c r="R132" s="317"/>
    </row>
    <row r="133" spans="1:18" ht="93" thickTop="1" thickBot="1" x14ac:dyDescent="0.25">
      <c r="A133" s="795" t="s">
        <v>831</v>
      </c>
      <c r="B133" s="795" t="s">
        <v>832</v>
      </c>
      <c r="C133" s="795" t="s">
        <v>206</v>
      </c>
      <c r="D133" s="795" t="s">
        <v>558</v>
      </c>
      <c r="E133" s="796">
        <f>F133</f>
        <v>68969585</v>
      </c>
      <c r="F133" s="416">
        <f>(54164900+11916270+176295+394855+51550+1849900+30235+235500+100600+31580+17900)</f>
        <v>68969585</v>
      </c>
      <c r="G133" s="416">
        <f>(54164900)</f>
        <v>54164900</v>
      </c>
      <c r="H133" s="416">
        <f>(1849900+30235+235500+100600+31580)</f>
        <v>2247815</v>
      </c>
      <c r="I133" s="416"/>
      <c r="J133" s="796">
        <f t="shared" si="87"/>
        <v>10062100</v>
      </c>
      <c r="K133" s="416">
        <v>1000000</v>
      </c>
      <c r="L133" s="416">
        <f>(6977500+1530200+218650+101550+5500+190100+4000+1600)</f>
        <v>9029100</v>
      </c>
      <c r="M133" s="416">
        <v>6977500</v>
      </c>
      <c r="N133" s="416">
        <f>(160400+4900+18800+6000)</f>
        <v>190100</v>
      </c>
      <c r="O133" s="797">
        <f>K133+33000</f>
        <v>1033000</v>
      </c>
      <c r="P133" s="796">
        <f t="shared" si="88"/>
        <v>79031685</v>
      </c>
      <c r="R133" s="317" t="e">
        <f>K133=#REF!</f>
        <v>#REF!</v>
      </c>
    </row>
    <row r="134" spans="1:18" s="2" customFormat="1" ht="47.25" thickTop="1" thickBot="1" x14ac:dyDescent="0.25">
      <c r="A134" s="251" t="s">
        <v>955</v>
      </c>
      <c r="B134" s="251" t="s">
        <v>956</v>
      </c>
      <c r="C134" s="251"/>
      <c r="D134" s="251" t="s">
        <v>957</v>
      </c>
      <c r="E134" s="796">
        <f>SUM(E135:E141)-E139</f>
        <v>53635485</v>
      </c>
      <c r="F134" s="796">
        <f t="shared" ref="F134:P134" si="90">SUM(F135:F141)-F139</f>
        <v>53635485</v>
      </c>
      <c r="G134" s="796">
        <f t="shared" si="90"/>
        <v>36237950</v>
      </c>
      <c r="H134" s="796">
        <f t="shared" si="90"/>
        <v>1659310</v>
      </c>
      <c r="I134" s="796">
        <f t="shared" si="90"/>
        <v>0</v>
      </c>
      <c r="J134" s="796">
        <f t="shared" si="90"/>
        <v>7034300</v>
      </c>
      <c r="K134" s="796">
        <f t="shared" si="90"/>
        <v>6266000</v>
      </c>
      <c r="L134" s="796">
        <f t="shared" si="90"/>
        <v>695300</v>
      </c>
      <c r="M134" s="796">
        <f t="shared" si="90"/>
        <v>368400</v>
      </c>
      <c r="N134" s="796">
        <f t="shared" si="90"/>
        <v>67300</v>
      </c>
      <c r="O134" s="796">
        <f t="shared" si="90"/>
        <v>6339000</v>
      </c>
      <c r="P134" s="796">
        <f t="shared" si="90"/>
        <v>60669785</v>
      </c>
      <c r="Q134" s="269"/>
      <c r="R134" s="277"/>
    </row>
    <row r="135" spans="1:18" ht="48" thickTop="1" thickBot="1" x14ac:dyDescent="0.25">
      <c r="A135" s="795" t="s">
        <v>192</v>
      </c>
      <c r="B135" s="795" t="s">
        <v>193</v>
      </c>
      <c r="C135" s="795" t="s">
        <v>195</v>
      </c>
      <c r="D135" s="795" t="s">
        <v>196</v>
      </c>
      <c r="E135" s="796">
        <f t="shared" ref="E135:E138" si="91">F135</f>
        <v>1030790</v>
      </c>
      <c r="F135" s="416">
        <f>(964300)+66490</f>
        <v>1030790</v>
      </c>
      <c r="G135" s="416"/>
      <c r="H135" s="416"/>
      <c r="I135" s="416"/>
      <c r="J135" s="796">
        <f t="shared" si="87"/>
        <v>0</v>
      </c>
      <c r="K135" s="416"/>
      <c r="L135" s="416"/>
      <c r="M135" s="416"/>
      <c r="N135" s="416"/>
      <c r="O135" s="797">
        <f t="shared" ref="O135:O141" si="92">K135</f>
        <v>0</v>
      </c>
      <c r="P135" s="796">
        <f t="shared" si="88"/>
        <v>1030790</v>
      </c>
      <c r="R135" s="277"/>
    </row>
    <row r="136" spans="1:18" ht="93" thickTop="1" thickBot="1" x14ac:dyDescent="0.25">
      <c r="A136" s="795" t="s">
        <v>197</v>
      </c>
      <c r="B136" s="795" t="s">
        <v>198</v>
      </c>
      <c r="C136" s="795" t="s">
        <v>199</v>
      </c>
      <c r="D136" s="795" t="s">
        <v>200</v>
      </c>
      <c r="E136" s="796">
        <f t="shared" si="91"/>
        <v>13756395</v>
      </c>
      <c r="F136" s="416">
        <f>(10344300+2275745+143250+311400+5000+399000+9000+108420+19500+19280+56000+55000)+10500</f>
        <v>13756395</v>
      </c>
      <c r="G136" s="416">
        <v>10344300</v>
      </c>
      <c r="H136" s="416">
        <f>(399000+9000+108420+19500+19280)</f>
        <v>555200</v>
      </c>
      <c r="I136" s="416"/>
      <c r="J136" s="796">
        <f t="shared" si="87"/>
        <v>1050000</v>
      </c>
      <c r="K136" s="416">
        <f>(10000+84000+28000+67000)+766000</f>
        <v>955000</v>
      </c>
      <c r="L136" s="416">
        <f>(15600+4400+29500+26200+19000+300)</f>
        <v>95000</v>
      </c>
      <c r="M136" s="416">
        <v>15600</v>
      </c>
      <c r="N136" s="416">
        <f>(17500+500+1000)</f>
        <v>19000</v>
      </c>
      <c r="O136" s="797">
        <f t="shared" si="92"/>
        <v>955000</v>
      </c>
      <c r="P136" s="796">
        <f t="shared" si="88"/>
        <v>14806395</v>
      </c>
      <c r="R136" s="317" t="e">
        <f>K136=#REF!+#REF!+#REF!</f>
        <v>#REF!</v>
      </c>
    </row>
    <row r="137" spans="1:18" ht="93" thickTop="1" thickBot="1" x14ac:dyDescent="0.25">
      <c r="A137" s="795" t="s">
        <v>201</v>
      </c>
      <c r="B137" s="795" t="s">
        <v>202</v>
      </c>
      <c r="C137" s="795" t="s">
        <v>199</v>
      </c>
      <c r="D137" s="795" t="s">
        <v>511</v>
      </c>
      <c r="E137" s="796">
        <f t="shared" si="91"/>
        <v>1856955</v>
      </c>
      <c r="F137" s="416">
        <f>(1328500+292270+14055+20330+139800+4305+53715+3980)</f>
        <v>1856955</v>
      </c>
      <c r="G137" s="416">
        <v>1328500</v>
      </c>
      <c r="H137" s="416">
        <f>(139800+4305+53715+3980)</f>
        <v>201800</v>
      </c>
      <c r="I137" s="416"/>
      <c r="J137" s="796">
        <f t="shared" si="87"/>
        <v>5245100</v>
      </c>
      <c r="K137" s="416">
        <f>(3000000)+2000000+14900+150000</f>
        <v>5164900</v>
      </c>
      <c r="L137" s="416">
        <f>(8100+1900+35800+27700+5700+1000)</f>
        <v>80200</v>
      </c>
      <c r="M137" s="416">
        <v>8100</v>
      </c>
      <c r="N137" s="416">
        <f>(3800+400+1500)</f>
        <v>5700</v>
      </c>
      <c r="O137" s="797">
        <f t="shared" si="92"/>
        <v>5164900</v>
      </c>
      <c r="P137" s="796">
        <f t="shared" si="88"/>
        <v>7102055</v>
      </c>
      <c r="R137" s="317" t="e">
        <f>K137=#REF!+#REF!</f>
        <v>#REF!</v>
      </c>
    </row>
    <row r="138" spans="1:18" ht="184.5" thickTop="1" thickBot="1" x14ac:dyDescent="0.25">
      <c r="A138" s="795" t="s">
        <v>203</v>
      </c>
      <c r="B138" s="795" t="s">
        <v>194</v>
      </c>
      <c r="C138" s="795" t="s">
        <v>204</v>
      </c>
      <c r="D138" s="795" t="s">
        <v>205</v>
      </c>
      <c r="E138" s="796">
        <f t="shared" si="91"/>
        <v>13492915</v>
      </c>
      <c r="F138" s="416">
        <f>(8640350+1900875+330000+342570+7900+428200+11375+288695+93120+37570+3760+24800)+7500+7000+1122300+246900</f>
        <v>13492915</v>
      </c>
      <c r="G138" s="416">
        <f>(8640350)+1122300</f>
        <v>9762650</v>
      </c>
      <c r="H138" s="416">
        <f>(428200+11375+288695+93120+37570)</f>
        <v>858960</v>
      </c>
      <c r="I138" s="416"/>
      <c r="J138" s="796">
        <f t="shared" si="87"/>
        <v>602200</v>
      </c>
      <c r="K138" s="416">
        <f>(124500)+16500+5100</f>
        <v>146100</v>
      </c>
      <c r="L138" s="416">
        <f>(334300+73600+5500+42600+100)</f>
        <v>456100</v>
      </c>
      <c r="M138" s="416">
        <v>334300</v>
      </c>
      <c r="N138" s="416">
        <f>(32600+800+9200)</f>
        <v>42600</v>
      </c>
      <c r="O138" s="797">
        <f>K138</f>
        <v>146100</v>
      </c>
      <c r="P138" s="796">
        <f t="shared" si="88"/>
        <v>14095115</v>
      </c>
      <c r="R138" s="317" t="e">
        <f>K138=#REF!</f>
        <v>#REF!</v>
      </c>
    </row>
    <row r="139" spans="1:18" ht="93" thickTop="1" thickBot="1" x14ac:dyDescent="0.25">
      <c r="A139" s="552" t="s">
        <v>958</v>
      </c>
      <c r="B139" s="552" t="s">
        <v>959</v>
      </c>
      <c r="C139" s="552"/>
      <c r="D139" s="552" t="s">
        <v>960</v>
      </c>
      <c r="E139" s="553">
        <f>SUM(E140:E141)</f>
        <v>23498430</v>
      </c>
      <c r="F139" s="553">
        <f t="shared" ref="F139:P139" si="93">SUM(F140:F141)</f>
        <v>23498430</v>
      </c>
      <c r="G139" s="553">
        <f t="shared" si="93"/>
        <v>14802500</v>
      </c>
      <c r="H139" s="553">
        <f t="shared" si="93"/>
        <v>43350</v>
      </c>
      <c r="I139" s="553">
        <f t="shared" si="93"/>
        <v>0</v>
      </c>
      <c r="J139" s="553">
        <f t="shared" si="93"/>
        <v>137000</v>
      </c>
      <c r="K139" s="553">
        <f t="shared" si="93"/>
        <v>0</v>
      </c>
      <c r="L139" s="553">
        <f t="shared" si="93"/>
        <v>64000</v>
      </c>
      <c r="M139" s="553">
        <f t="shared" si="93"/>
        <v>10400</v>
      </c>
      <c r="N139" s="553">
        <f t="shared" si="93"/>
        <v>0</v>
      </c>
      <c r="O139" s="553">
        <f t="shared" si="93"/>
        <v>73000</v>
      </c>
      <c r="P139" s="553">
        <f t="shared" si="93"/>
        <v>23635430</v>
      </c>
      <c r="R139" s="317"/>
    </row>
    <row r="140" spans="1:18" ht="138.75" thickTop="1" thickBot="1" x14ac:dyDescent="0.25">
      <c r="A140" s="795" t="s">
        <v>366</v>
      </c>
      <c r="B140" s="795" t="s">
        <v>367</v>
      </c>
      <c r="C140" s="795" t="s">
        <v>207</v>
      </c>
      <c r="D140" s="795" t="s">
        <v>512</v>
      </c>
      <c r="E140" s="796">
        <f>F140</f>
        <v>19182270</v>
      </c>
      <c r="F140" s="416">
        <f>(14802500+3256550+131640+99230+39000+3900+450+804000)+45000</f>
        <v>19182270</v>
      </c>
      <c r="G140" s="416">
        <v>14802500</v>
      </c>
      <c r="H140" s="416">
        <f>(39000+3900+450)</f>
        <v>43350</v>
      </c>
      <c r="I140" s="416"/>
      <c r="J140" s="796">
        <f t="shared" si="87"/>
        <v>137000</v>
      </c>
      <c r="K140" s="416"/>
      <c r="L140" s="416">
        <f>(10400+2200+6000+45400)</f>
        <v>64000</v>
      </c>
      <c r="M140" s="416">
        <v>10400</v>
      </c>
      <c r="N140" s="416"/>
      <c r="O140" s="797">
        <f>K140+73000</f>
        <v>73000</v>
      </c>
      <c r="P140" s="796">
        <f t="shared" si="88"/>
        <v>19319270</v>
      </c>
      <c r="R140" s="277"/>
    </row>
    <row r="141" spans="1:18" ht="93" thickTop="1" thickBot="1" x14ac:dyDescent="0.25">
      <c r="A141" s="795" t="s">
        <v>368</v>
      </c>
      <c r="B141" s="795" t="s">
        <v>369</v>
      </c>
      <c r="C141" s="795" t="s">
        <v>207</v>
      </c>
      <c r="D141" s="795" t="s">
        <v>513</v>
      </c>
      <c r="E141" s="796">
        <f>F141</f>
        <v>4316160</v>
      </c>
      <c r="F141" s="416">
        <f>(1195320+2805840+315000)</f>
        <v>4316160</v>
      </c>
      <c r="G141" s="416"/>
      <c r="H141" s="416"/>
      <c r="I141" s="416"/>
      <c r="J141" s="796">
        <f t="shared" si="87"/>
        <v>0</v>
      </c>
      <c r="K141" s="416"/>
      <c r="L141" s="416"/>
      <c r="M141" s="416"/>
      <c r="N141" s="416"/>
      <c r="O141" s="797">
        <f t="shared" si="92"/>
        <v>0</v>
      </c>
      <c r="P141" s="796">
        <f t="shared" si="88"/>
        <v>4316160</v>
      </c>
      <c r="R141" s="277"/>
    </row>
    <row r="142" spans="1:18" ht="47.25" thickTop="1" thickBot="1" x14ac:dyDescent="0.25">
      <c r="A142" s="251" t="s">
        <v>1172</v>
      </c>
      <c r="B142" s="757" t="s">
        <v>948</v>
      </c>
      <c r="C142" s="757"/>
      <c r="D142" s="757" t="s">
        <v>949</v>
      </c>
      <c r="E142" s="796">
        <f>SUM(E143)</f>
        <v>0</v>
      </c>
      <c r="F142" s="796">
        <f t="shared" ref="F142:P143" si="94">SUM(F143)</f>
        <v>0</v>
      </c>
      <c r="G142" s="796">
        <f t="shared" si="94"/>
        <v>0</v>
      </c>
      <c r="H142" s="796">
        <f t="shared" si="94"/>
        <v>0</v>
      </c>
      <c r="I142" s="796">
        <f t="shared" si="94"/>
        <v>0</v>
      </c>
      <c r="J142" s="796">
        <f t="shared" si="94"/>
        <v>200000</v>
      </c>
      <c r="K142" s="796">
        <f t="shared" si="94"/>
        <v>200000</v>
      </c>
      <c r="L142" s="796">
        <f t="shared" si="94"/>
        <v>0</v>
      </c>
      <c r="M142" s="796">
        <f t="shared" si="94"/>
        <v>0</v>
      </c>
      <c r="N142" s="796">
        <f t="shared" si="94"/>
        <v>0</v>
      </c>
      <c r="O142" s="796">
        <f t="shared" si="94"/>
        <v>200000</v>
      </c>
      <c r="P142" s="796">
        <f t="shared" si="94"/>
        <v>200000</v>
      </c>
      <c r="R142" s="277"/>
    </row>
    <row r="143" spans="1:18" ht="136.5" thickTop="1" thickBot="1" x14ac:dyDescent="0.25">
      <c r="A143" s="557" t="s">
        <v>1173</v>
      </c>
      <c r="B143" s="557" t="s">
        <v>887</v>
      </c>
      <c r="C143" s="557"/>
      <c r="D143" s="557" t="s">
        <v>885</v>
      </c>
      <c r="E143" s="555">
        <f>SUM(E144)</f>
        <v>0</v>
      </c>
      <c r="F143" s="555">
        <f t="shared" si="94"/>
        <v>0</v>
      </c>
      <c r="G143" s="555">
        <f t="shared" si="94"/>
        <v>0</v>
      </c>
      <c r="H143" s="555">
        <f t="shared" si="94"/>
        <v>0</v>
      </c>
      <c r="I143" s="555">
        <f t="shared" si="94"/>
        <v>0</v>
      </c>
      <c r="J143" s="555">
        <f t="shared" si="94"/>
        <v>200000</v>
      </c>
      <c r="K143" s="555">
        <f t="shared" si="94"/>
        <v>200000</v>
      </c>
      <c r="L143" s="555">
        <f t="shared" si="94"/>
        <v>0</v>
      </c>
      <c r="M143" s="555">
        <f t="shared" si="94"/>
        <v>0</v>
      </c>
      <c r="N143" s="555">
        <f t="shared" si="94"/>
        <v>0</v>
      </c>
      <c r="O143" s="555">
        <f t="shared" si="94"/>
        <v>200000</v>
      </c>
      <c r="P143" s="555">
        <f t="shared" si="94"/>
        <v>200000</v>
      </c>
      <c r="R143" s="277"/>
    </row>
    <row r="144" spans="1:18" ht="93" thickTop="1" thickBot="1" x14ac:dyDescent="0.25">
      <c r="A144" s="795" t="s">
        <v>1174</v>
      </c>
      <c r="B144" s="795" t="s">
        <v>222</v>
      </c>
      <c r="C144" s="795" t="s">
        <v>191</v>
      </c>
      <c r="D144" s="795" t="s">
        <v>36</v>
      </c>
      <c r="E144" s="796">
        <f t="shared" ref="E144" si="95">F144</f>
        <v>0</v>
      </c>
      <c r="F144" s="416"/>
      <c r="G144" s="416"/>
      <c r="H144" s="416"/>
      <c r="I144" s="416"/>
      <c r="J144" s="796">
        <f t="shared" ref="J144" si="96">L144+O144</f>
        <v>200000</v>
      </c>
      <c r="K144" s="416">
        <v>200000</v>
      </c>
      <c r="L144" s="416"/>
      <c r="M144" s="416"/>
      <c r="N144" s="416"/>
      <c r="O144" s="797">
        <f t="shared" ref="O144" si="97">K144</f>
        <v>200000</v>
      </c>
      <c r="P144" s="796">
        <f t="shared" ref="P144" si="98">E144+J144</f>
        <v>200000</v>
      </c>
      <c r="R144" s="317" t="e">
        <f>K144=#REF!</f>
        <v>#REF!</v>
      </c>
    </row>
    <row r="145" spans="1:18" ht="47.25" thickTop="1" thickBot="1" x14ac:dyDescent="0.25">
      <c r="A145" s="251" t="s">
        <v>961</v>
      </c>
      <c r="B145" s="251" t="s">
        <v>898</v>
      </c>
      <c r="C145" s="251"/>
      <c r="D145" s="251" t="s">
        <v>899</v>
      </c>
      <c r="E145" s="796">
        <f>E146</f>
        <v>558137</v>
      </c>
      <c r="F145" s="796">
        <f t="shared" ref="F145:P146" si="99">F146</f>
        <v>558137</v>
      </c>
      <c r="G145" s="796">
        <f t="shared" si="99"/>
        <v>0</v>
      </c>
      <c r="H145" s="796">
        <f t="shared" si="99"/>
        <v>0</v>
      </c>
      <c r="I145" s="796">
        <f t="shared" si="99"/>
        <v>0</v>
      </c>
      <c r="J145" s="796">
        <f t="shared" si="99"/>
        <v>0</v>
      </c>
      <c r="K145" s="796">
        <f t="shared" si="99"/>
        <v>0</v>
      </c>
      <c r="L145" s="796">
        <f t="shared" si="99"/>
        <v>0</v>
      </c>
      <c r="M145" s="796">
        <f t="shared" si="99"/>
        <v>0</v>
      </c>
      <c r="N145" s="796">
        <f t="shared" si="99"/>
        <v>0</v>
      </c>
      <c r="O145" s="796">
        <f t="shared" si="99"/>
        <v>0</v>
      </c>
      <c r="P145" s="796">
        <f t="shared" si="99"/>
        <v>558137</v>
      </c>
      <c r="R145" s="277"/>
    </row>
    <row r="146" spans="1:18" ht="271.5" thickTop="1" thickBot="1" x14ac:dyDescent="0.25">
      <c r="A146" s="557" t="s">
        <v>962</v>
      </c>
      <c r="B146" s="557" t="s">
        <v>901</v>
      </c>
      <c r="C146" s="557"/>
      <c r="D146" s="557" t="s">
        <v>902</v>
      </c>
      <c r="E146" s="555">
        <f>E147</f>
        <v>558137</v>
      </c>
      <c r="F146" s="555">
        <f t="shared" si="99"/>
        <v>558137</v>
      </c>
      <c r="G146" s="555">
        <f t="shared" si="99"/>
        <v>0</v>
      </c>
      <c r="H146" s="555">
        <f t="shared" si="99"/>
        <v>0</v>
      </c>
      <c r="I146" s="555">
        <f t="shared" si="99"/>
        <v>0</v>
      </c>
      <c r="J146" s="555">
        <f t="shared" si="99"/>
        <v>0</v>
      </c>
      <c r="K146" s="555">
        <f t="shared" si="99"/>
        <v>0</v>
      </c>
      <c r="L146" s="555">
        <f t="shared" si="99"/>
        <v>0</v>
      </c>
      <c r="M146" s="555">
        <f t="shared" si="99"/>
        <v>0</v>
      </c>
      <c r="N146" s="555">
        <f t="shared" si="99"/>
        <v>0</v>
      </c>
      <c r="O146" s="555">
        <f t="shared" si="99"/>
        <v>0</v>
      </c>
      <c r="P146" s="555">
        <f t="shared" si="99"/>
        <v>558137</v>
      </c>
      <c r="R146" s="277"/>
    </row>
    <row r="147" spans="1:18" ht="93" thickTop="1" thickBot="1" x14ac:dyDescent="0.25">
      <c r="A147" s="795" t="s">
        <v>746</v>
      </c>
      <c r="B147" s="795" t="s">
        <v>399</v>
      </c>
      <c r="C147" s="795" t="s">
        <v>45</v>
      </c>
      <c r="D147" s="795" t="s">
        <v>400</v>
      </c>
      <c r="E147" s="796">
        <f t="shared" ref="E147" si="100">F147</f>
        <v>558137</v>
      </c>
      <c r="F147" s="416">
        <v>558137</v>
      </c>
      <c r="G147" s="416"/>
      <c r="H147" s="416"/>
      <c r="I147" s="416"/>
      <c r="J147" s="796">
        <f>L147+O147</f>
        <v>0</v>
      </c>
      <c r="K147" s="416"/>
      <c r="L147" s="416"/>
      <c r="M147" s="416"/>
      <c r="N147" s="416"/>
      <c r="O147" s="797">
        <f>K147</f>
        <v>0</v>
      </c>
      <c r="P147" s="796">
        <f>E147+J147</f>
        <v>558137</v>
      </c>
      <c r="R147" s="277"/>
    </row>
    <row r="148" spans="1:18" ht="136.5" thickTop="1" thickBot="1" x14ac:dyDescent="0.25">
      <c r="A148" s="680" t="s">
        <v>22</v>
      </c>
      <c r="B148" s="680"/>
      <c r="C148" s="680"/>
      <c r="D148" s="681" t="s">
        <v>23</v>
      </c>
      <c r="E148" s="682">
        <f>E149</f>
        <v>87814266.530000001</v>
      </c>
      <c r="F148" s="683">
        <f t="shared" ref="F148:G148" si="101">F149</f>
        <v>87814266.530000001</v>
      </c>
      <c r="G148" s="683">
        <f t="shared" si="101"/>
        <v>40854695</v>
      </c>
      <c r="H148" s="683">
        <f>H149</f>
        <v>2243165</v>
      </c>
      <c r="I148" s="683">
        <f t="shared" ref="I148" si="102">I149</f>
        <v>0</v>
      </c>
      <c r="J148" s="682">
        <f>J149</f>
        <v>6171703</v>
      </c>
      <c r="K148" s="683">
        <f>K149</f>
        <v>4267458</v>
      </c>
      <c r="L148" s="683">
        <f>L149</f>
        <v>1894298</v>
      </c>
      <c r="M148" s="683">
        <f t="shared" ref="M148" si="103">M149</f>
        <v>866362</v>
      </c>
      <c r="N148" s="682">
        <f>N149</f>
        <v>308978</v>
      </c>
      <c r="O148" s="682">
        <f>O149</f>
        <v>4277405</v>
      </c>
      <c r="P148" s="683">
        <f t="shared" ref="P148" si="104">P149</f>
        <v>93985969.530000001</v>
      </c>
    </row>
    <row r="149" spans="1:18" ht="136.5" thickTop="1" thickBot="1" x14ac:dyDescent="0.25">
      <c r="A149" s="684" t="s">
        <v>21</v>
      </c>
      <c r="B149" s="684"/>
      <c r="C149" s="684"/>
      <c r="D149" s="685" t="s">
        <v>37</v>
      </c>
      <c r="E149" s="686">
        <f>E150+E156+E169+E172</f>
        <v>87814266.530000001</v>
      </c>
      <c r="F149" s="686">
        <f t="shared" ref="F149:I149" si="105">F150+F156+F169+F172</f>
        <v>87814266.530000001</v>
      </c>
      <c r="G149" s="686">
        <f t="shared" si="105"/>
        <v>40854695</v>
      </c>
      <c r="H149" s="686">
        <f t="shared" si="105"/>
        <v>2243165</v>
      </c>
      <c r="I149" s="686">
        <f t="shared" si="105"/>
        <v>0</v>
      </c>
      <c r="J149" s="686">
        <f>L149+O149</f>
        <v>6171703</v>
      </c>
      <c r="K149" s="686">
        <f t="shared" ref="K149:N149" si="106">K150+K156+K169+K172</f>
        <v>4267458</v>
      </c>
      <c r="L149" s="686">
        <f t="shared" si="106"/>
        <v>1894298</v>
      </c>
      <c r="M149" s="686">
        <f t="shared" si="106"/>
        <v>866362</v>
      </c>
      <c r="N149" s="686">
        <f t="shared" si="106"/>
        <v>308978</v>
      </c>
      <c r="O149" s="686">
        <f>O150+O156+O169+O172</f>
        <v>4277405</v>
      </c>
      <c r="P149" s="687">
        <f>E149+J149</f>
        <v>93985969.530000001</v>
      </c>
      <c r="Q149" s="181" t="b">
        <f>P149=P152+P154+P155+P158+P159+P161+P163+P164+P166+P167+P168+P171+P174</f>
        <v>1</v>
      </c>
      <c r="R149" s="317" t="e">
        <f>K149=#REF!</f>
        <v>#REF!</v>
      </c>
    </row>
    <row r="150" spans="1:18" ht="91.5" thickTop="1" thickBot="1" x14ac:dyDescent="0.25">
      <c r="A150" s="251" t="s">
        <v>963</v>
      </c>
      <c r="B150" s="251" t="s">
        <v>907</v>
      </c>
      <c r="C150" s="251"/>
      <c r="D150" s="251" t="s">
        <v>908</v>
      </c>
      <c r="E150" s="572">
        <f>SUM(E151:E155)-E151-E153</f>
        <v>16518191</v>
      </c>
      <c r="F150" s="572">
        <f t="shared" ref="F150:P150" si="107">SUM(F151:F155)-F151-F153</f>
        <v>16518191</v>
      </c>
      <c r="G150" s="572">
        <f t="shared" si="107"/>
        <v>7871695</v>
      </c>
      <c r="H150" s="572">
        <f t="shared" si="107"/>
        <v>636305</v>
      </c>
      <c r="I150" s="572">
        <f t="shared" si="107"/>
        <v>0</v>
      </c>
      <c r="J150" s="572">
        <f t="shared" si="107"/>
        <v>1061957</v>
      </c>
      <c r="K150" s="572">
        <f t="shared" si="107"/>
        <v>733957</v>
      </c>
      <c r="L150" s="572">
        <f t="shared" si="107"/>
        <v>318053</v>
      </c>
      <c r="M150" s="572">
        <f t="shared" si="107"/>
        <v>175000</v>
      </c>
      <c r="N150" s="572">
        <f t="shared" si="107"/>
        <v>78200</v>
      </c>
      <c r="O150" s="572">
        <f t="shared" si="107"/>
        <v>743904</v>
      </c>
      <c r="P150" s="572">
        <f t="shared" si="107"/>
        <v>17580148</v>
      </c>
      <c r="Q150" s="181"/>
      <c r="R150" s="317"/>
    </row>
    <row r="151" spans="1:18" s="85" customFormat="1" ht="138.75" thickTop="1" thickBot="1" x14ac:dyDescent="0.25">
      <c r="A151" s="552" t="s">
        <v>964</v>
      </c>
      <c r="B151" s="552" t="s">
        <v>965</v>
      </c>
      <c r="C151" s="552"/>
      <c r="D151" s="552" t="s">
        <v>966</v>
      </c>
      <c r="E151" s="569">
        <f>E152</f>
        <v>5303095</v>
      </c>
      <c r="F151" s="569">
        <f t="shared" ref="F151:P151" si="108">F152</f>
        <v>5303095</v>
      </c>
      <c r="G151" s="569">
        <f t="shared" si="108"/>
        <v>4125520</v>
      </c>
      <c r="H151" s="569">
        <f t="shared" si="108"/>
        <v>90420</v>
      </c>
      <c r="I151" s="569">
        <f t="shared" si="108"/>
        <v>0</v>
      </c>
      <c r="J151" s="569">
        <f t="shared" si="108"/>
        <v>0</v>
      </c>
      <c r="K151" s="569">
        <f t="shared" si="108"/>
        <v>0</v>
      </c>
      <c r="L151" s="569">
        <f t="shared" si="108"/>
        <v>0</v>
      </c>
      <c r="M151" s="569">
        <f t="shared" si="108"/>
        <v>0</v>
      </c>
      <c r="N151" s="569">
        <f t="shared" si="108"/>
        <v>0</v>
      </c>
      <c r="O151" s="569">
        <f t="shared" si="108"/>
        <v>0</v>
      </c>
      <c r="P151" s="569">
        <f t="shared" si="108"/>
        <v>5303095</v>
      </c>
      <c r="Q151" s="568"/>
      <c r="R151" s="560"/>
    </row>
    <row r="152" spans="1:18" ht="138.75" thickTop="1" thickBot="1" x14ac:dyDescent="0.25">
      <c r="A152" s="795" t="s">
        <v>208</v>
      </c>
      <c r="B152" s="795" t="s">
        <v>209</v>
      </c>
      <c r="C152" s="795" t="s">
        <v>210</v>
      </c>
      <c r="D152" s="795" t="s">
        <v>833</v>
      </c>
      <c r="E152" s="418">
        <f t="shared" ref="E152:E167" si="109">F152</f>
        <v>5303095</v>
      </c>
      <c r="F152" s="247">
        <f>(4125520+907615+59600+79015+35280+49795+2585+34440+3600+2145)+3500</f>
        <v>5303095</v>
      </c>
      <c r="G152" s="247">
        <v>4125520</v>
      </c>
      <c r="H152" s="247">
        <f>(49795+2585+34440+3600)</f>
        <v>90420</v>
      </c>
      <c r="I152" s="247"/>
      <c r="J152" s="796">
        <f t="shared" ref="J152:J174" si="110">L152+O152</f>
        <v>0</v>
      </c>
      <c r="K152" s="247"/>
      <c r="L152" s="248"/>
      <c r="M152" s="248"/>
      <c r="N152" s="248"/>
      <c r="O152" s="797">
        <f t="shared" ref="O152:O174" si="111">K152</f>
        <v>0</v>
      </c>
      <c r="P152" s="796">
        <f>+J152+E152</f>
        <v>5303095</v>
      </c>
      <c r="Q152" s="277"/>
      <c r="R152" s="277"/>
    </row>
    <row r="153" spans="1:18" s="85" customFormat="1" ht="93" thickTop="1" thickBot="1" x14ac:dyDescent="0.25">
      <c r="A153" s="552" t="s">
        <v>967</v>
      </c>
      <c r="B153" s="552" t="s">
        <v>968</v>
      </c>
      <c r="C153" s="552"/>
      <c r="D153" s="552" t="s">
        <v>969</v>
      </c>
      <c r="E153" s="571">
        <f>SUM(E154:E155)</f>
        <v>11215096</v>
      </c>
      <c r="F153" s="571">
        <f t="shared" ref="F153:P153" si="112">SUM(F154:F155)</f>
        <v>11215096</v>
      </c>
      <c r="G153" s="571">
        <f t="shared" si="112"/>
        <v>3746175</v>
      </c>
      <c r="H153" s="571">
        <f t="shared" si="112"/>
        <v>545885</v>
      </c>
      <c r="I153" s="571">
        <f t="shared" si="112"/>
        <v>0</v>
      </c>
      <c r="J153" s="571">
        <f t="shared" si="112"/>
        <v>1061957</v>
      </c>
      <c r="K153" s="571">
        <f t="shared" si="112"/>
        <v>733957</v>
      </c>
      <c r="L153" s="571">
        <f t="shared" si="112"/>
        <v>318053</v>
      </c>
      <c r="M153" s="571">
        <f t="shared" si="112"/>
        <v>175000</v>
      </c>
      <c r="N153" s="571">
        <f t="shared" si="112"/>
        <v>78200</v>
      </c>
      <c r="O153" s="571">
        <f t="shared" si="112"/>
        <v>743904</v>
      </c>
      <c r="P153" s="571">
        <f t="shared" si="112"/>
        <v>12277053</v>
      </c>
      <c r="Q153" s="554"/>
      <c r="R153" s="554"/>
    </row>
    <row r="154" spans="1:18" s="612" customFormat="1" ht="93" thickTop="1" thickBot="1" x14ac:dyDescent="0.25">
      <c r="A154" s="795" t="s">
        <v>214</v>
      </c>
      <c r="B154" s="795" t="s">
        <v>215</v>
      </c>
      <c r="C154" s="795" t="s">
        <v>210</v>
      </c>
      <c r="D154" s="795" t="s">
        <v>10</v>
      </c>
      <c r="E154" s="418">
        <f t="shared" si="109"/>
        <v>4435310</v>
      </c>
      <c r="F154" s="247">
        <f>(2725415+599590+377485+251835+384905+4560+86670+3450+1400)</f>
        <v>4435310</v>
      </c>
      <c r="G154" s="247">
        <v>2725415</v>
      </c>
      <c r="H154" s="247">
        <f>(384905+4560+86670+3450)</f>
        <v>479585</v>
      </c>
      <c r="I154" s="247"/>
      <c r="J154" s="796">
        <f t="shared" si="110"/>
        <v>1058957</v>
      </c>
      <c r="K154" s="247">
        <f>(733957)</f>
        <v>733957</v>
      </c>
      <c r="L154" s="248">
        <f>(175000+38500+27300+5000+36500+4800+35400+1500+1000)-9947</f>
        <v>315053</v>
      </c>
      <c r="M154" s="248">
        <v>175000</v>
      </c>
      <c r="N154" s="248">
        <f>(36500+4800+35400+1500)</f>
        <v>78200</v>
      </c>
      <c r="O154" s="797">
        <f>K154+9947</f>
        <v>743904</v>
      </c>
      <c r="P154" s="796">
        <f t="shared" ref="P154:P174" si="113">E154+J154</f>
        <v>5494267</v>
      </c>
      <c r="Q154" s="610"/>
      <c r="R154" s="613" t="e">
        <f>K154=#REF!</f>
        <v>#REF!</v>
      </c>
    </row>
    <row r="155" spans="1:18" ht="93" thickTop="1" thickBot="1" x14ac:dyDescent="0.25">
      <c r="A155" s="795" t="s">
        <v>385</v>
      </c>
      <c r="B155" s="795" t="s">
        <v>386</v>
      </c>
      <c r="C155" s="795" t="s">
        <v>210</v>
      </c>
      <c r="D155" s="795" t="s">
        <v>387</v>
      </c>
      <c r="E155" s="418">
        <f t="shared" si="109"/>
        <v>6779786</v>
      </c>
      <c r="F155" s="247">
        <f>(83645+830710+1020760+224570+61795+14860+37320+2075+23905+3000+2478500+545270+473390+27940+536310+404810)+10926</f>
        <v>6779786</v>
      </c>
      <c r="G155" s="247">
        <v>1020760</v>
      </c>
      <c r="H155" s="247">
        <f>(37320+2075+23905+3000)</f>
        <v>66300</v>
      </c>
      <c r="I155" s="247"/>
      <c r="J155" s="796">
        <f t="shared" si="110"/>
        <v>3000</v>
      </c>
      <c r="K155" s="247"/>
      <c r="L155" s="248">
        <v>3000</v>
      </c>
      <c r="M155" s="248"/>
      <c r="N155" s="248"/>
      <c r="O155" s="797">
        <f t="shared" si="111"/>
        <v>0</v>
      </c>
      <c r="P155" s="796">
        <f t="shared" si="113"/>
        <v>6782786</v>
      </c>
      <c r="R155" s="317"/>
    </row>
    <row r="156" spans="1:18" ht="47.25" thickTop="1" thickBot="1" x14ac:dyDescent="0.25">
      <c r="A156" s="251" t="s">
        <v>970</v>
      </c>
      <c r="B156" s="251" t="s">
        <v>971</v>
      </c>
      <c r="C156" s="795"/>
      <c r="D156" s="251" t="s">
        <v>972</v>
      </c>
      <c r="E156" s="418">
        <f>SUM(E157:E168)-E157-E160-E162-E165</f>
        <v>71270651</v>
      </c>
      <c r="F156" s="418">
        <f t="shared" ref="F156:P156" si="114">SUM(F157:F168)-F157-F160-F162-F165</f>
        <v>71270651</v>
      </c>
      <c r="G156" s="418">
        <f t="shared" si="114"/>
        <v>32983000</v>
      </c>
      <c r="H156" s="418">
        <f t="shared" si="114"/>
        <v>1606860</v>
      </c>
      <c r="I156" s="418">
        <f t="shared" si="114"/>
        <v>0</v>
      </c>
      <c r="J156" s="418">
        <f t="shared" si="114"/>
        <v>4088272</v>
      </c>
      <c r="K156" s="418">
        <f t="shared" si="114"/>
        <v>2512027</v>
      </c>
      <c r="L156" s="418">
        <f t="shared" si="114"/>
        <v>1576245</v>
      </c>
      <c r="M156" s="418">
        <f t="shared" si="114"/>
        <v>691362</v>
      </c>
      <c r="N156" s="418">
        <f t="shared" si="114"/>
        <v>230778</v>
      </c>
      <c r="O156" s="418">
        <f t="shared" si="114"/>
        <v>2512027</v>
      </c>
      <c r="P156" s="418">
        <f t="shared" si="114"/>
        <v>75358923</v>
      </c>
      <c r="R156" s="317"/>
    </row>
    <row r="157" spans="1:18" s="85" customFormat="1" ht="93" thickTop="1" thickBot="1" x14ac:dyDescent="0.25">
      <c r="A157" s="552" t="s">
        <v>973</v>
      </c>
      <c r="B157" s="552" t="s">
        <v>974</v>
      </c>
      <c r="C157" s="552"/>
      <c r="D157" s="552" t="s">
        <v>975</v>
      </c>
      <c r="E157" s="571">
        <f>SUM(E158:E159)</f>
        <v>14074487</v>
      </c>
      <c r="F157" s="571">
        <f t="shared" ref="F157:P157" si="115">SUM(F158:F159)</f>
        <v>14074487</v>
      </c>
      <c r="G157" s="571">
        <f t="shared" si="115"/>
        <v>0</v>
      </c>
      <c r="H157" s="571">
        <f t="shared" si="115"/>
        <v>0</v>
      </c>
      <c r="I157" s="571">
        <f t="shared" si="115"/>
        <v>0</v>
      </c>
      <c r="J157" s="571">
        <f t="shared" si="115"/>
        <v>0</v>
      </c>
      <c r="K157" s="571">
        <f t="shared" si="115"/>
        <v>0</v>
      </c>
      <c r="L157" s="571">
        <f t="shared" si="115"/>
        <v>0</v>
      </c>
      <c r="M157" s="571">
        <f t="shared" si="115"/>
        <v>0</v>
      </c>
      <c r="N157" s="571">
        <f t="shared" si="115"/>
        <v>0</v>
      </c>
      <c r="O157" s="571">
        <f t="shared" si="115"/>
        <v>0</v>
      </c>
      <c r="P157" s="571">
        <f t="shared" si="115"/>
        <v>14074487</v>
      </c>
      <c r="Q157" s="273"/>
      <c r="R157" s="560"/>
    </row>
    <row r="158" spans="1:18" s="612" customFormat="1" ht="138.75" thickTop="1" thickBot="1" x14ac:dyDescent="0.25">
      <c r="A158" s="795" t="s">
        <v>46</v>
      </c>
      <c r="B158" s="795" t="s">
        <v>211</v>
      </c>
      <c r="C158" s="795" t="s">
        <v>220</v>
      </c>
      <c r="D158" s="795" t="s">
        <v>47</v>
      </c>
      <c r="E158" s="418">
        <f t="shared" si="109"/>
        <v>12164902</v>
      </c>
      <c r="F158" s="247">
        <f>(171260+11395570)+500000+98072</f>
        <v>12164902</v>
      </c>
      <c r="G158" s="416"/>
      <c r="H158" s="416"/>
      <c r="I158" s="416"/>
      <c r="J158" s="796">
        <f t="shared" si="110"/>
        <v>0</v>
      </c>
      <c r="K158" s="416"/>
      <c r="L158" s="416"/>
      <c r="M158" s="416"/>
      <c r="N158" s="416"/>
      <c r="O158" s="797">
        <f t="shared" si="111"/>
        <v>0</v>
      </c>
      <c r="P158" s="796">
        <f t="shared" si="113"/>
        <v>12164902</v>
      </c>
      <c r="Q158" s="610"/>
      <c r="R158" s="613"/>
    </row>
    <row r="159" spans="1:18" s="612" customFormat="1" ht="138.75" thickTop="1" thickBot="1" x14ac:dyDescent="0.25">
      <c r="A159" s="795" t="s">
        <v>48</v>
      </c>
      <c r="B159" s="795" t="s">
        <v>212</v>
      </c>
      <c r="C159" s="795" t="s">
        <v>220</v>
      </c>
      <c r="D159" s="795" t="s">
        <v>4</v>
      </c>
      <c r="E159" s="418">
        <f t="shared" si="109"/>
        <v>1909585</v>
      </c>
      <c r="F159" s="247">
        <f>(99315+1810270)</f>
        <v>1909585</v>
      </c>
      <c r="G159" s="416"/>
      <c r="H159" s="416"/>
      <c r="I159" s="416"/>
      <c r="J159" s="796">
        <f t="shared" si="110"/>
        <v>0</v>
      </c>
      <c r="K159" s="416"/>
      <c r="L159" s="416"/>
      <c r="M159" s="416"/>
      <c r="N159" s="416"/>
      <c r="O159" s="797">
        <f t="shared" si="111"/>
        <v>0</v>
      </c>
      <c r="P159" s="796">
        <f t="shared" si="113"/>
        <v>1909585</v>
      </c>
      <c r="Q159" s="610"/>
      <c r="R159" s="613"/>
    </row>
    <row r="160" spans="1:18" s="85" customFormat="1" ht="184.5" thickTop="1" thickBot="1" x14ac:dyDescent="0.25">
      <c r="A160" s="552" t="s">
        <v>976</v>
      </c>
      <c r="B160" s="552" t="s">
        <v>977</v>
      </c>
      <c r="C160" s="552"/>
      <c r="D160" s="552" t="s">
        <v>978</v>
      </c>
      <c r="E160" s="571">
        <f>E161</f>
        <v>60300</v>
      </c>
      <c r="F160" s="571">
        <f t="shared" ref="F160:P160" si="116">F161</f>
        <v>60300</v>
      </c>
      <c r="G160" s="571">
        <f t="shared" si="116"/>
        <v>0</v>
      </c>
      <c r="H160" s="571">
        <f t="shared" si="116"/>
        <v>0</v>
      </c>
      <c r="I160" s="571">
        <f t="shared" si="116"/>
        <v>0</v>
      </c>
      <c r="J160" s="571">
        <f t="shared" si="116"/>
        <v>0</v>
      </c>
      <c r="K160" s="571">
        <f t="shared" si="116"/>
        <v>0</v>
      </c>
      <c r="L160" s="571">
        <f t="shared" si="116"/>
        <v>0</v>
      </c>
      <c r="M160" s="571">
        <f t="shared" si="116"/>
        <v>0</v>
      </c>
      <c r="N160" s="571">
        <f t="shared" si="116"/>
        <v>0</v>
      </c>
      <c r="O160" s="571">
        <f t="shared" si="116"/>
        <v>0</v>
      </c>
      <c r="P160" s="571">
        <f t="shared" si="116"/>
        <v>60300</v>
      </c>
      <c r="Q160" s="273"/>
      <c r="R160" s="559"/>
    </row>
    <row r="161" spans="1:18" s="612" customFormat="1" ht="184.5" thickTop="1" thickBot="1" x14ac:dyDescent="0.25">
      <c r="A161" s="795" t="s">
        <v>49</v>
      </c>
      <c r="B161" s="795" t="s">
        <v>213</v>
      </c>
      <c r="C161" s="795" t="s">
        <v>220</v>
      </c>
      <c r="D161" s="795" t="s">
        <v>383</v>
      </c>
      <c r="E161" s="418">
        <f>F161</f>
        <v>60300</v>
      </c>
      <c r="F161" s="247">
        <f>(4295+56005)</f>
        <v>60300</v>
      </c>
      <c r="G161" s="247"/>
      <c r="H161" s="247"/>
      <c r="I161" s="416"/>
      <c r="J161" s="796">
        <f t="shared" si="110"/>
        <v>0</v>
      </c>
      <c r="K161" s="416"/>
      <c r="L161" s="247"/>
      <c r="M161" s="247"/>
      <c r="N161" s="247"/>
      <c r="O161" s="797">
        <f t="shared" si="111"/>
        <v>0</v>
      </c>
      <c r="P161" s="796">
        <f t="shared" si="113"/>
        <v>60300</v>
      </c>
      <c r="Q161" s="610"/>
      <c r="R161" s="613"/>
    </row>
    <row r="162" spans="1:18" ht="93" thickTop="1" thickBot="1" x14ac:dyDescent="0.25">
      <c r="A162" s="552" t="s">
        <v>979</v>
      </c>
      <c r="B162" s="552" t="s">
        <v>980</v>
      </c>
      <c r="C162" s="552"/>
      <c r="D162" s="552" t="s">
        <v>981</v>
      </c>
      <c r="E162" s="571">
        <f>SUM(E163:E164)</f>
        <v>52686293</v>
      </c>
      <c r="F162" s="571">
        <f t="shared" ref="F162:P162" si="117">SUM(F163:F164)</f>
        <v>52686293</v>
      </c>
      <c r="G162" s="571">
        <f t="shared" si="117"/>
        <v>31776270</v>
      </c>
      <c r="H162" s="571">
        <f t="shared" si="117"/>
        <v>1606860</v>
      </c>
      <c r="I162" s="571">
        <f t="shared" si="117"/>
        <v>0</v>
      </c>
      <c r="J162" s="571">
        <f t="shared" si="117"/>
        <v>4058272</v>
      </c>
      <c r="K162" s="571">
        <f t="shared" si="117"/>
        <v>2482027</v>
      </c>
      <c r="L162" s="571">
        <f t="shared" si="117"/>
        <v>1576245</v>
      </c>
      <c r="M162" s="571">
        <f t="shared" si="117"/>
        <v>691362</v>
      </c>
      <c r="N162" s="571">
        <f t="shared" si="117"/>
        <v>230778</v>
      </c>
      <c r="O162" s="571">
        <f t="shared" si="117"/>
        <v>2482027</v>
      </c>
      <c r="P162" s="571">
        <f t="shared" si="117"/>
        <v>56744565</v>
      </c>
      <c r="R162" s="317"/>
    </row>
    <row r="163" spans="1:18" s="612" customFormat="1" ht="184.5" thickTop="1" thickBot="1" x14ac:dyDescent="0.25">
      <c r="A163" s="795" t="s">
        <v>28</v>
      </c>
      <c r="B163" s="795" t="s">
        <v>217</v>
      </c>
      <c r="C163" s="795" t="s">
        <v>220</v>
      </c>
      <c r="D163" s="795" t="s">
        <v>50</v>
      </c>
      <c r="E163" s="418">
        <f t="shared" si="109"/>
        <v>44588703</v>
      </c>
      <c r="F163" s="247">
        <f>(44066325)+254271+54363+132144+3050+3780+5880+7980+8760+19000+19150+14000</f>
        <v>44588703</v>
      </c>
      <c r="G163" s="247">
        <v>31776270</v>
      </c>
      <c r="H163" s="247">
        <f>(559555+134000+494595+408705+10005)</f>
        <v>1606860</v>
      </c>
      <c r="I163" s="247"/>
      <c r="J163" s="796">
        <f t="shared" si="110"/>
        <v>4043072</v>
      </c>
      <c r="K163" s="247">
        <f>(91670+32400+77910+16200+405800+200000)+4838-255801+48600+1509600+86000+33250+216360</f>
        <v>2466827</v>
      </c>
      <c r="L163" s="247">
        <f>(691362+141099+226744+1030+112354+105648+5500+230778+2000+59730)</f>
        <v>1576245</v>
      </c>
      <c r="M163" s="247">
        <v>691362</v>
      </c>
      <c r="N163" s="247">
        <f>(92672+44368+72322+15587+5829)</f>
        <v>230778</v>
      </c>
      <c r="O163" s="797">
        <f>(K163)</f>
        <v>2466827</v>
      </c>
      <c r="P163" s="796">
        <f t="shared" si="113"/>
        <v>48631775</v>
      </c>
      <c r="Q163" s="610"/>
      <c r="R163" s="613" t="e">
        <f>K163=#REF!+#REF!+#REF!+#REF!+#REF!+#REF!</f>
        <v>#REF!</v>
      </c>
    </row>
    <row r="164" spans="1:18" s="612" customFormat="1" ht="184.5" thickTop="1" thickBot="1" x14ac:dyDescent="0.25">
      <c r="A164" s="795" t="s">
        <v>29</v>
      </c>
      <c r="B164" s="795" t="s">
        <v>218</v>
      </c>
      <c r="C164" s="795" t="s">
        <v>220</v>
      </c>
      <c r="D164" s="795" t="s">
        <v>51</v>
      </c>
      <c r="E164" s="418">
        <f t="shared" si="109"/>
        <v>8097590</v>
      </c>
      <c r="F164" s="247">
        <v>8097590</v>
      </c>
      <c r="G164" s="247"/>
      <c r="H164" s="247"/>
      <c r="I164" s="247"/>
      <c r="J164" s="796">
        <f t="shared" si="110"/>
        <v>15200</v>
      </c>
      <c r="K164" s="247">
        <f>(15200)</f>
        <v>15200</v>
      </c>
      <c r="L164" s="247"/>
      <c r="M164" s="247"/>
      <c r="N164" s="247"/>
      <c r="O164" s="797">
        <f t="shared" si="111"/>
        <v>15200</v>
      </c>
      <c r="P164" s="796">
        <f t="shared" si="113"/>
        <v>8112790</v>
      </c>
      <c r="Q164" s="610"/>
      <c r="R164" s="613" t="e">
        <f>K164=#REF!</f>
        <v>#REF!</v>
      </c>
    </row>
    <row r="165" spans="1:18" ht="93" thickTop="1" thickBot="1" x14ac:dyDescent="0.25">
      <c r="A165" s="762" t="s">
        <v>982</v>
      </c>
      <c r="B165" s="552" t="s">
        <v>983</v>
      </c>
      <c r="C165" s="552"/>
      <c r="D165" s="552" t="s">
        <v>984</v>
      </c>
      <c r="E165" s="571">
        <f>SUM(E166:E168)</f>
        <v>4449571</v>
      </c>
      <c r="F165" s="571">
        <f t="shared" ref="F165:P165" si="118">SUM(F166:F168)</f>
        <v>4449571</v>
      </c>
      <c r="G165" s="571">
        <f t="shared" si="118"/>
        <v>1206730</v>
      </c>
      <c r="H165" s="571">
        <f t="shared" si="118"/>
        <v>0</v>
      </c>
      <c r="I165" s="571">
        <f t="shared" si="118"/>
        <v>0</v>
      </c>
      <c r="J165" s="571">
        <f t="shared" si="118"/>
        <v>30000</v>
      </c>
      <c r="K165" s="571">
        <f t="shared" si="118"/>
        <v>30000</v>
      </c>
      <c r="L165" s="571">
        <f t="shared" si="118"/>
        <v>0</v>
      </c>
      <c r="M165" s="571">
        <f t="shared" si="118"/>
        <v>0</v>
      </c>
      <c r="N165" s="571">
        <f t="shared" si="118"/>
        <v>0</v>
      </c>
      <c r="O165" s="571">
        <f t="shared" si="118"/>
        <v>30000</v>
      </c>
      <c r="P165" s="571">
        <f t="shared" si="118"/>
        <v>4479571</v>
      </c>
      <c r="R165" s="317"/>
    </row>
    <row r="166" spans="1:18" s="612" customFormat="1" ht="276" thickTop="1" thickBot="1" x14ac:dyDescent="0.25">
      <c r="A166" s="498" t="s">
        <v>30</v>
      </c>
      <c r="B166" s="498" t="s">
        <v>219</v>
      </c>
      <c r="C166" s="498" t="s">
        <v>220</v>
      </c>
      <c r="D166" s="795" t="s">
        <v>31</v>
      </c>
      <c r="E166" s="418">
        <f t="shared" si="109"/>
        <v>768820</v>
      </c>
      <c r="F166" s="247">
        <f>(48380+64440)+500000+156000</f>
        <v>768820</v>
      </c>
      <c r="G166" s="416"/>
      <c r="H166" s="416"/>
      <c r="I166" s="416"/>
      <c r="J166" s="796">
        <f t="shared" si="110"/>
        <v>0</v>
      </c>
      <c r="K166" s="416"/>
      <c r="L166" s="416"/>
      <c r="M166" s="416"/>
      <c r="N166" s="416"/>
      <c r="O166" s="797">
        <f t="shared" si="111"/>
        <v>0</v>
      </c>
      <c r="P166" s="796">
        <f t="shared" si="113"/>
        <v>768820</v>
      </c>
      <c r="Q166" s="610"/>
      <c r="R166" s="613"/>
    </row>
    <row r="167" spans="1:18" s="612" customFormat="1" ht="184.5" thickTop="1" thickBot="1" x14ac:dyDescent="0.25">
      <c r="A167" s="498" t="s">
        <v>571</v>
      </c>
      <c r="B167" s="498" t="s">
        <v>569</v>
      </c>
      <c r="C167" s="498" t="s">
        <v>220</v>
      </c>
      <c r="D167" s="795" t="s">
        <v>570</v>
      </c>
      <c r="E167" s="418">
        <f t="shared" si="109"/>
        <v>1969086</v>
      </c>
      <c r="F167" s="247">
        <f>(1968927)-98072+98231</f>
        <v>1969086</v>
      </c>
      <c r="G167" s="416"/>
      <c r="H167" s="416"/>
      <c r="I167" s="416"/>
      <c r="J167" s="796">
        <f t="shared" si="110"/>
        <v>0</v>
      </c>
      <c r="K167" s="416"/>
      <c r="L167" s="416"/>
      <c r="M167" s="416"/>
      <c r="N167" s="416"/>
      <c r="O167" s="797">
        <f t="shared" si="111"/>
        <v>0</v>
      </c>
      <c r="P167" s="796">
        <f t="shared" si="113"/>
        <v>1969086</v>
      </c>
      <c r="Q167" s="610"/>
      <c r="R167" s="613"/>
    </row>
    <row r="168" spans="1:18" s="612" customFormat="1" ht="93" thickTop="1" thickBot="1" x14ac:dyDescent="0.25">
      <c r="A168" s="498" t="s">
        <v>32</v>
      </c>
      <c r="B168" s="498" t="s">
        <v>221</v>
      </c>
      <c r="C168" s="498" t="s">
        <v>220</v>
      </c>
      <c r="D168" s="795" t="s">
        <v>33</v>
      </c>
      <c r="E168" s="418">
        <f>F168</f>
        <v>1711665</v>
      </c>
      <c r="F168" s="247">
        <f>(1206730+265480+98410+141045)</f>
        <v>1711665</v>
      </c>
      <c r="G168" s="416">
        <v>1206730</v>
      </c>
      <c r="H168" s="416"/>
      <c r="I168" s="416"/>
      <c r="J168" s="796">
        <f t="shared" si="110"/>
        <v>30000</v>
      </c>
      <c r="K168" s="416">
        <f>(30000)</f>
        <v>30000</v>
      </c>
      <c r="L168" s="416"/>
      <c r="M168" s="416"/>
      <c r="N168" s="416"/>
      <c r="O168" s="797">
        <f t="shared" si="111"/>
        <v>30000</v>
      </c>
      <c r="P168" s="796">
        <f t="shared" si="113"/>
        <v>1741665</v>
      </c>
      <c r="Q168" s="610"/>
      <c r="R168" s="613" t="e">
        <f>K168=#REF!</f>
        <v>#REF!</v>
      </c>
    </row>
    <row r="169" spans="1:18" ht="91.5" thickTop="1" thickBot="1" x14ac:dyDescent="0.25">
      <c r="A169" s="251" t="s">
        <v>985</v>
      </c>
      <c r="B169" s="251" t="s">
        <v>942</v>
      </c>
      <c r="C169" s="251"/>
      <c r="D169" s="556" t="s">
        <v>943</v>
      </c>
      <c r="E169" s="418">
        <f>E170</f>
        <v>25424.53</v>
      </c>
      <c r="F169" s="418">
        <f t="shared" ref="F169:P170" si="119">F170</f>
        <v>25424.53</v>
      </c>
      <c r="G169" s="418">
        <f t="shared" si="119"/>
        <v>0</v>
      </c>
      <c r="H169" s="418">
        <f t="shared" si="119"/>
        <v>0</v>
      </c>
      <c r="I169" s="418">
        <f t="shared" si="119"/>
        <v>0</v>
      </c>
      <c r="J169" s="418">
        <f t="shared" si="119"/>
        <v>0</v>
      </c>
      <c r="K169" s="418">
        <f t="shared" si="119"/>
        <v>0</v>
      </c>
      <c r="L169" s="418">
        <f t="shared" si="119"/>
        <v>0</v>
      </c>
      <c r="M169" s="418">
        <f t="shared" si="119"/>
        <v>0</v>
      </c>
      <c r="N169" s="418">
        <f t="shared" si="119"/>
        <v>0</v>
      </c>
      <c r="O169" s="418">
        <f t="shared" si="119"/>
        <v>0</v>
      </c>
      <c r="P169" s="418">
        <f t="shared" si="119"/>
        <v>25424.53</v>
      </c>
      <c r="R169" s="317"/>
    </row>
    <row r="170" spans="1:18" ht="93" thickTop="1" thickBot="1" x14ac:dyDescent="0.25">
      <c r="A170" s="762" t="s">
        <v>986</v>
      </c>
      <c r="B170" s="762" t="s">
        <v>945</v>
      </c>
      <c r="C170" s="762"/>
      <c r="D170" s="552" t="s">
        <v>946</v>
      </c>
      <c r="E170" s="571">
        <f>E171</f>
        <v>25424.53</v>
      </c>
      <c r="F170" s="571">
        <f t="shared" si="119"/>
        <v>25424.53</v>
      </c>
      <c r="G170" s="571">
        <f t="shared" si="119"/>
        <v>0</v>
      </c>
      <c r="H170" s="571">
        <f t="shared" si="119"/>
        <v>0</v>
      </c>
      <c r="I170" s="571">
        <f t="shared" si="119"/>
        <v>0</v>
      </c>
      <c r="J170" s="571">
        <f t="shared" si="119"/>
        <v>0</v>
      </c>
      <c r="K170" s="571">
        <f t="shared" si="119"/>
        <v>0</v>
      </c>
      <c r="L170" s="571">
        <f t="shared" si="119"/>
        <v>0</v>
      </c>
      <c r="M170" s="571">
        <f t="shared" si="119"/>
        <v>0</v>
      </c>
      <c r="N170" s="571">
        <f t="shared" si="119"/>
        <v>0</v>
      </c>
      <c r="O170" s="571">
        <f t="shared" si="119"/>
        <v>0</v>
      </c>
      <c r="P170" s="571">
        <f t="shared" si="119"/>
        <v>25424.53</v>
      </c>
      <c r="R170" s="317"/>
    </row>
    <row r="171" spans="1:18" s="612" customFormat="1" ht="276" thickTop="1" thickBot="1" x14ac:dyDescent="0.25">
      <c r="A171" s="498" t="s">
        <v>375</v>
      </c>
      <c r="B171" s="498" t="s">
        <v>374</v>
      </c>
      <c r="C171" s="498" t="s">
        <v>373</v>
      </c>
      <c r="D171" s="795" t="s">
        <v>834</v>
      </c>
      <c r="E171" s="418">
        <f>F171</f>
        <v>25424.53</v>
      </c>
      <c r="F171" s="247">
        <f>(18000)+7424.53</f>
        <v>25424.53</v>
      </c>
      <c r="G171" s="416"/>
      <c r="H171" s="416"/>
      <c r="I171" s="416"/>
      <c r="J171" s="796">
        <f t="shared" si="110"/>
        <v>0</v>
      </c>
      <c r="K171" s="416"/>
      <c r="L171" s="416"/>
      <c r="M171" s="416"/>
      <c r="N171" s="416"/>
      <c r="O171" s="797">
        <f t="shared" si="111"/>
        <v>0</v>
      </c>
      <c r="P171" s="796">
        <f t="shared" si="113"/>
        <v>25424.53</v>
      </c>
      <c r="Q171" s="610"/>
      <c r="R171" s="611"/>
    </row>
    <row r="172" spans="1:18" ht="47.25" thickTop="1" thickBot="1" x14ac:dyDescent="0.25">
      <c r="A172" s="251" t="s">
        <v>987</v>
      </c>
      <c r="B172" s="757" t="s">
        <v>948</v>
      </c>
      <c r="C172" s="757"/>
      <c r="D172" s="757" t="s">
        <v>949</v>
      </c>
      <c r="E172" s="418">
        <f>E173</f>
        <v>0</v>
      </c>
      <c r="F172" s="418">
        <f t="shared" ref="F172:P173" si="120">F173</f>
        <v>0</v>
      </c>
      <c r="G172" s="418">
        <f t="shared" si="120"/>
        <v>0</v>
      </c>
      <c r="H172" s="418">
        <f t="shared" si="120"/>
        <v>0</v>
      </c>
      <c r="I172" s="418">
        <f t="shared" si="120"/>
        <v>0</v>
      </c>
      <c r="J172" s="418">
        <f t="shared" si="120"/>
        <v>1021474</v>
      </c>
      <c r="K172" s="418">
        <f t="shared" si="120"/>
        <v>1021474</v>
      </c>
      <c r="L172" s="418">
        <f t="shared" si="120"/>
        <v>0</v>
      </c>
      <c r="M172" s="418">
        <f t="shared" si="120"/>
        <v>0</v>
      </c>
      <c r="N172" s="418">
        <f t="shared" si="120"/>
        <v>0</v>
      </c>
      <c r="O172" s="418">
        <f t="shared" si="120"/>
        <v>1021474</v>
      </c>
      <c r="P172" s="418">
        <f t="shared" si="120"/>
        <v>1021474</v>
      </c>
      <c r="R172" s="277"/>
    </row>
    <row r="173" spans="1:18" ht="136.5" thickTop="1" thickBot="1" x14ac:dyDescent="0.25">
      <c r="A173" s="557" t="s">
        <v>988</v>
      </c>
      <c r="B173" s="557" t="s">
        <v>887</v>
      </c>
      <c r="C173" s="557"/>
      <c r="D173" s="557" t="s">
        <v>885</v>
      </c>
      <c r="E173" s="570">
        <f>E174</f>
        <v>0</v>
      </c>
      <c r="F173" s="570">
        <f t="shared" si="120"/>
        <v>0</v>
      </c>
      <c r="G173" s="570">
        <f t="shared" si="120"/>
        <v>0</v>
      </c>
      <c r="H173" s="570">
        <f t="shared" si="120"/>
        <v>0</v>
      </c>
      <c r="I173" s="570">
        <f t="shared" si="120"/>
        <v>0</v>
      </c>
      <c r="J173" s="570">
        <f t="shared" si="120"/>
        <v>1021474</v>
      </c>
      <c r="K173" s="570">
        <f t="shared" si="120"/>
        <v>1021474</v>
      </c>
      <c r="L173" s="570">
        <f t="shared" si="120"/>
        <v>0</v>
      </c>
      <c r="M173" s="570">
        <f t="shared" si="120"/>
        <v>0</v>
      </c>
      <c r="N173" s="570">
        <f t="shared" si="120"/>
        <v>0</v>
      </c>
      <c r="O173" s="570">
        <f t="shared" si="120"/>
        <v>1021474</v>
      </c>
      <c r="P173" s="570">
        <f t="shared" si="120"/>
        <v>1021474</v>
      </c>
      <c r="R173" s="277"/>
    </row>
    <row r="174" spans="1:18" s="612" customFormat="1" ht="93" thickTop="1" thickBot="1" x14ac:dyDescent="0.25">
      <c r="A174" s="795" t="s">
        <v>777</v>
      </c>
      <c r="B174" s="795" t="s">
        <v>222</v>
      </c>
      <c r="C174" s="795" t="s">
        <v>191</v>
      </c>
      <c r="D174" s="795" t="s">
        <v>36</v>
      </c>
      <c r="E174" s="796">
        <f t="shared" ref="E174" si="121">F174</f>
        <v>0</v>
      </c>
      <c r="F174" s="416"/>
      <c r="G174" s="416"/>
      <c r="H174" s="416"/>
      <c r="I174" s="416"/>
      <c r="J174" s="796">
        <f t="shared" si="110"/>
        <v>1021474</v>
      </c>
      <c r="K174" s="416">
        <f>(45144)+976330</f>
        <v>1021474</v>
      </c>
      <c r="L174" s="416"/>
      <c r="M174" s="416"/>
      <c r="N174" s="416"/>
      <c r="O174" s="797">
        <f t="shared" si="111"/>
        <v>1021474</v>
      </c>
      <c r="P174" s="796">
        <f t="shared" si="113"/>
        <v>1021474</v>
      </c>
      <c r="Q174" s="610"/>
      <c r="R174" s="613" t="e">
        <f>K174=#REF!</f>
        <v>#REF!</v>
      </c>
    </row>
    <row r="175" spans="1:18" ht="181.5" thickTop="1" thickBot="1" x14ac:dyDescent="0.25">
      <c r="A175" s="680" t="s">
        <v>179</v>
      </c>
      <c r="B175" s="680"/>
      <c r="C175" s="680"/>
      <c r="D175" s="681" t="s">
        <v>698</v>
      </c>
      <c r="E175" s="682">
        <f>E176</f>
        <v>25382295</v>
      </c>
      <c r="F175" s="683">
        <f t="shared" ref="F175:G175" si="122">F176</f>
        <v>25382295</v>
      </c>
      <c r="G175" s="683">
        <f t="shared" si="122"/>
        <v>5441675</v>
      </c>
      <c r="H175" s="683">
        <f>H176</f>
        <v>137385</v>
      </c>
      <c r="I175" s="683">
        <f t="shared" ref="I175" si="123">I176</f>
        <v>0</v>
      </c>
      <c r="J175" s="682">
        <f>J176</f>
        <v>31309249</v>
      </c>
      <c r="K175" s="683">
        <f>K176</f>
        <v>31119249</v>
      </c>
      <c r="L175" s="683">
        <f>L176</f>
        <v>190000</v>
      </c>
      <c r="M175" s="683">
        <f t="shared" ref="M175" si="124">M176</f>
        <v>0</v>
      </c>
      <c r="N175" s="682">
        <f>N176</f>
        <v>0</v>
      </c>
      <c r="O175" s="682">
        <f>O176</f>
        <v>31119249</v>
      </c>
      <c r="P175" s="683">
        <f>P176</f>
        <v>56691544</v>
      </c>
      <c r="R175" s="277"/>
    </row>
    <row r="176" spans="1:18" ht="181.5" thickTop="1" thickBot="1" x14ac:dyDescent="0.25">
      <c r="A176" s="684" t="s">
        <v>180</v>
      </c>
      <c r="B176" s="684"/>
      <c r="C176" s="684"/>
      <c r="D176" s="685" t="s">
        <v>699</v>
      </c>
      <c r="E176" s="686">
        <f>E177+E180+E187</f>
        <v>25382295</v>
      </c>
      <c r="F176" s="686">
        <f t="shared" ref="F176:I176" si="125">F177+F180+F187</f>
        <v>25382295</v>
      </c>
      <c r="G176" s="686">
        <f t="shared" si="125"/>
        <v>5441675</v>
      </c>
      <c r="H176" s="686">
        <f t="shared" si="125"/>
        <v>137385</v>
      </c>
      <c r="I176" s="686">
        <f t="shared" si="125"/>
        <v>0</v>
      </c>
      <c r="J176" s="686">
        <f t="shared" ref="J176:J192" si="126">L176+O176</f>
        <v>31309249</v>
      </c>
      <c r="K176" s="686">
        <f t="shared" ref="K176:O176" si="127">K177+K180+K187</f>
        <v>31119249</v>
      </c>
      <c r="L176" s="686">
        <f t="shared" si="127"/>
        <v>190000</v>
      </c>
      <c r="M176" s="686">
        <f t="shared" si="127"/>
        <v>0</v>
      </c>
      <c r="N176" s="686">
        <f t="shared" si="127"/>
        <v>0</v>
      </c>
      <c r="O176" s="686">
        <f t="shared" si="127"/>
        <v>31119249</v>
      </c>
      <c r="P176" s="687">
        <f>E176+J176</f>
        <v>56691544</v>
      </c>
      <c r="Q176" s="336" t="b">
        <f>P176=P178+P182+P183+P184+P186+P189+P192+P179+P190+P185</f>
        <v>1</v>
      </c>
      <c r="R176" s="336" t="e">
        <f>K176=#REF!</f>
        <v>#REF!</v>
      </c>
    </row>
    <row r="177" spans="1:18" ht="47.25" thickTop="1" thickBot="1" x14ac:dyDescent="0.25">
      <c r="A177" s="251" t="s">
        <v>989</v>
      </c>
      <c r="B177" s="251" t="s">
        <v>880</v>
      </c>
      <c r="C177" s="251"/>
      <c r="D177" s="251" t="s">
        <v>881</v>
      </c>
      <c r="E177" s="796">
        <f>SUM(E178:E179)</f>
        <v>7556995</v>
      </c>
      <c r="F177" s="796">
        <f t="shared" ref="F177:N177" si="128">SUM(F178:F179)</f>
        <v>7556995</v>
      </c>
      <c r="G177" s="796">
        <f t="shared" si="128"/>
        <v>5441675</v>
      </c>
      <c r="H177" s="796">
        <f t="shared" si="128"/>
        <v>137385</v>
      </c>
      <c r="I177" s="796">
        <f t="shared" si="128"/>
        <v>0</v>
      </c>
      <c r="J177" s="796">
        <f t="shared" si="128"/>
        <v>163248</v>
      </c>
      <c r="K177" s="796">
        <f t="shared" si="128"/>
        <v>163248</v>
      </c>
      <c r="L177" s="796">
        <f t="shared" si="128"/>
        <v>0</v>
      </c>
      <c r="M177" s="796">
        <f t="shared" si="128"/>
        <v>0</v>
      </c>
      <c r="N177" s="796">
        <f t="shared" si="128"/>
        <v>0</v>
      </c>
      <c r="O177" s="796">
        <f>SUM(O178:O179)</f>
        <v>163248</v>
      </c>
      <c r="P177" s="796">
        <f t="shared" ref="P177" si="129">SUM(P178:P179)</f>
        <v>7720243</v>
      </c>
      <c r="Q177" s="336"/>
      <c r="R177" s="336"/>
    </row>
    <row r="178" spans="1:18" ht="230.25" thickTop="1" thickBot="1" x14ac:dyDescent="0.25">
      <c r="A178" s="795" t="s">
        <v>459</v>
      </c>
      <c r="B178" s="795" t="s">
        <v>261</v>
      </c>
      <c r="C178" s="795" t="s">
        <v>259</v>
      </c>
      <c r="D178" s="795" t="s">
        <v>260</v>
      </c>
      <c r="E178" s="418">
        <f>F178</f>
        <v>7544995</v>
      </c>
      <c r="F178" s="247">
        <f>(5441675+1197170+253395+210390+14760+39015+5208+25686+4476+3400+34020-12000)+199000+65800+39500+23500</f>
        <v>7544995</v>
      </c>
      <c r="G178" s="247">
        <v>5441675</v>
      </c>
      <c r="H178" s="247">
        <f>(39015+5208+25686+4476)+39500+23500</f>
        <v>137385</v>
      </c>
      <c r="I178" s="247"/>
      <c r="J178" s="796">
        <f t="shared" si="126"/>
        <v>163248</v>
      </c>
      <c r="K178" s="247">
        <f>(36000)+31812+95436</f>
        <v>163248</v>
      </c>
      <c r="L178" s="248"/>
      <c r="M178" s="248"/>
      <c r="N178" s="248"/>
      <c r="O178" s="797">
        <f t="shared" ref="O178:O190" si="130">K178</f>
        <v>163248</v>
      </c>
      <c r="P178" s="796">
        <f t="shared" ref="P178:P185" si="131">+J178+E178</f>
        <v>7708243</v>
      </c>
      <c r="R178" s="336" t="e">
        <f>K178=#REF!</f>
        <v>#REF!</v>
      </c>
    </row>
    <row r="179" spans="1:18" ht="184.5" thickTop="1" thickBot="1" x14ac:dyDescent="0.25">
      <c r="A179" s="804" t="s">
        <v>822</v>
      </c>
      <c r="B179" s="804" t="s">
        <v>398</v>
      </c>
      <c r="C179" s="804" t="s">
        <v>815</v>
      </c>
      <c r="D179" s="804" t="s">
        <v>816</v>
      </c>
      <c r="E179" s="806">
        <f t="shared" ref="E179" si="132">F179</f>
        <v>12000</v>
      </c>
      <c r="F179" s="397">
        <v>12000</v>
      </c>
      <c r="G179" s="397"/>
      <c r="H179" s="397"/>
      <c r="I179" s="397"/>
      <c r="J179" s="806">
        <f t="shared" si="126"/>
        <v>0</v>
      </c>
      <c r="K179" s="397"/>
      <c r="L179" s="398"/>
      <c r="M179" s="399"/>
      <c r="N179" s="399"/>
      <c r="O179" s="755">
        <f t="shared" si="130"/>
        <v>0</v>
      </c>
      <c r="P179" s="806">
        <f>+J179+E179</f>
        <v>12000</v>
      </c>
      <c r="R179" s="336"/>
    </row>
    <row r="180" spans="1:18" ht="91.5" thickTop="1" thickBot="1" x14ac:dyDescent="0.25">
      <c r="A180" s="251" t="s">
        <v>990</v>
      </c>
      <c r="B180" s="757" t="s">
        <v>942</v>
      </c>
      <c r="C180" s="757"/>
      <c r="D180" s="556" t="s">
        <v>943</v>
      </c>
      <c r="E180" s="806">
        <f>SUM(E181:E186)-E181</f>
        <v>17325300</v>
      </c>
      <c r="F180" s="806">
        <f t="shared" ref="F180:P180" si="133">SUM(F181:F186)-F181</f>
        <v>17325300</v>
      </c>
      <c r="G180" s="806">
        <f t="shared" si="133"/>
        <v>0</v>
      </c>
      <c r="H180" s="806">
        <f t="shared" si="133"/>
        <v>0</v>
      </c>
      <c r="I180" s="806">
        <f t="shared" si="133"/>
        <v>0</v>
      </c>
      <c r="J180" s="806">
        <f t="shared" si="133"/>
        <v>28466001</v>
      </c>
      <c r="K180" s="806">
        <f t="shared" si="133"/>
        <v>28466001</v>
      </c>
      <c r="L180" s="806">
        <f t="shared" si="133"/>
        <v>0</v>
      </c>
      <c r="M180" s="806">
        <f t="shared" si="133"/>
        <v>0</v>
      </c>
      <c r="N180" s="806">
        <f t="shared" si="133"/>
        <v>0</v>
      </c>
      <c r="O180" s="806">
        <f t="shared" si="133"/>
        <v>28466001</v>
      </c>
      <c r="P180" s="806">
        <f t="shared" si="133"/>
        <v>45791301</v>
      </c>
      <c r="R180" s="336"/>
    </row>
    <row r="181" spans="1:18" s="85" customFormat="1" ht="184.5" thickTop="1" thickBot="1" x14ac:dyDescent="0.25">
      <c r="A181" s="552" t="s">
        <v>991</v>
      </c>
      <c r="B181" s="759" t="s">
        <v>992</v>
      </c>
      <c r="C181" s="759"/>
      <c r="D181" s="759" t="s">
        <v>993</v>
      </c>
      <c r="E181" s="763">
        <f>SUM(E182:E184)</f>
        <v>3025300</v>
      </c>
      <c r="F181" s="763">
        <f t="shared" ref="F181:P181" si="134">SUM(F182:F184)</f>
        <v>3025300</v>
      </c>
      <c r="G181" s="763">
        <f t="shared" si="134"/>
        <v>0</v>
      </c>
      <c r="H181" s="763">
        <f t="shared" si="134"/>
        <v>0</v>
      </c>
      <c r="I181" s="763">
        <f t="shared" si="134"/>
        <v>0</v>
      </c>
      <c r="J181" s="763">
        <f t="shared" si="134"/>
        <v>28466001</v>
      </c>
      <c r="K181" s="763">
        <f t="shared" si="134"/>
        <v>28466001</v>
      </c>
      <c r="L181" s="763">
        <f t="shared" si="134"/>
        <v>0</v>
      </c>
      <c r="M181" s="763">
        <f t="shared" si="134"/>
        <v>0</v>
      </c>
      <c r="N181" s="763">
        <f t="shared" si="134"/>
        <v>0</v>
      </c>
      <c r="O181" s="763">
        <f t="shared" si="134"/>
        <v>28466001</v>
      </c>
      <c r="P181" s="763">
        <f t="shared" si="134"/>
        <v>31491301</v>
      </c>
      <c r="Q181" s="273"/>
      <c r="R181" s="336"/>
    </row>
    <row r="182" spans="1:18" ht="138.75" thickTop="1" thickBot="1" x14ac:dyDescent="0.25">
      <c r="A182" s="795" t="s">
        <v>305</v>
      </c>
      <c r="B182" s="795" t="s">
        <v>306</v>
      </c>
      <c r="C182" s="795" t="s">
        <v>373</v>
      </c>
      <c r="D182" s="795" t="s">
        <v>307</v>
      </c>
      <c r="E182" s="418">
        <f t="shared" ref="E182:E192" si="135">F182</f>
        <v>2475300</v>
      </c>
      <c r="F182" s="247">
        <f>(2675300)-200000</f>
        <v>2475300</v>
      </c>
      <c r="G182" s="247"/>
      <c r="H182" s="247"/>
      <c r="I182" s="247"/>
      <c r="J182" s="796">
        <f t="shared" si="126"/>
        <v>10345240</v>
      </c>
      <c r="K182" s="247">
        <v>10345240</v>
      </c>
      <c r="L182" s="248"/>
      <c r="M182" s="248"/>
      <c r="N182" s="248"/>
      <c r="O182" s="797">
        <f t="shared" si="130"/>
        <v>10345240</v>
      </c>
      <c r="P182" s="796">
        <f t="shared" si="131"/>
        <v>12820540</v>
      </c>
      <c r="R182" s="336" t="e">
        <f>K182=#REF!</f>
        <v>#REF!</v>
      </c>
    </row>
    <row r="183" spans="1:18" ht="138.75" thickTop="1" thickBot="1" x14ac:dyDescent="0.25">
      <c r="A183" s="795" t="s">
        <v>327</v>
      </c>
      <c r="B183" s="795" t="s">
        <v>328</v>
      </c>
      <c r="C183" s="795" t="s">
        <v>308</v>
      </c>
      <c r="D183" s="795" t="s">
        <v>329</v>
      </c>
      <c r="E183" s="418">
        <f t="shared" si="135"/>
        <v>0</v>
      </c>
      <c r="F183" s="247"/>
      <c r="G183" s="247"/>
      <c r="H183" s="247"/>
      <c r="I183" s="247"/>
      <c r="J183" s="796">
        <f t="shared" si="126"/>
        <v>5000000</v>
      </c>
      <c r="K183" s="247">
        <v>5000000</v>
      </c>
      <c r="L183" s="248"/>
      <c r="M183" s="248"/>
      <c r="N183" s="248"/>
      <c r="O183" s="797">
        <f t="shared" si="130"/>
        <v>5000000</v>
      </c>
      <c r="P183" s="796">
        <f t="shared" si="131"/>
        <v>5000000</v>
      </c>
      <c r="R183" s="336" t="e">
        <f>K183=#REF!</f>
        <v>#REF!</v>
      </c>
    </row>
    <row r="184" spans="1:18" ht="184.5" thickTop="1" thickBot="1" x14ac:dyDescent="0.25">
      <c r="A184" s="795" t="s">
        <v>309</v>
      </c>
      <c r="B184" s="795" t="s">
        <v>310</v>
      </c>
      <c r="C184" s="795" t="s">
        <v>308</v>
      </c>
      <c r="D184" s="795" t="s">
        <v>514</v>
      </c>
      <c r="E184" s="418">
        <f t="shared" si="135"/>
        <v>550000</v>
      </c>
      <c r="F184" s="247">
        <v>550000</v>
      </c>
      <c r="G184" s="247"/>
      <c r="H184" s="247"/>
      <c r="I184" s="247"/>
      <c r="J184" s="796">
        <f t="shared" si="126"/>
        <v>13120761</v>
      </c>
      <c r="K184" s="247">
        <f>13120761</f>
        <v>13120761</v>
      </c>
      <c r="L184" s="248"/>
      <c r="M184" s="248"/>
      <c r="N184" s="248"/>
      <c r="O184" s="797">
        <f t="shared" si="130"/>
        <v>13120761</v>
      </c>
      <c r="P184" s="796">
        <f t="shared" si="131"/>
        <v>13670761</v>
      </c>
      <c r="R184" s="336" t="e">
        <f>K184=#REF!+#REF!+#REF!+#REF!</f>
        <v>#REF!</v>
      </c>
    </row>
    <row r="185" spans="1:18" ht="230.25" thickTop="1" thickBot="1" x14ac:dyDescent="0.25">
      <c r="A185" s="795" t="s">
        <v>1211</v>
      </c>
      <c r="B185" s="795" t="s">
        <v>323</v>
      </c>
      <c r="C185" s="795" t="s">
        <v>308</v>
      </c>
      <c r="D185" s="795" t="s">
        <v>324</v>
      </c>
      <c r="E185" s="418">
        <f t="shared" si="135"/>
        <v>200000</v>
      </c>
      <c r="F185" s="247">
        <v>200000</v>
      </c>
      <c r="G185" s="247"/>
      <c r="H185" s="247"/>
      <c r="I185" s="247"/>
      <c r="J185" s="796">
        <f t="shared" si="126"/>
        <v>0</v>
      </c>
      <c r="K185" s="247"/>
      <c r="L185" s="248"/>
      <c r="M185" s="248"/>
      <c r="N185" s="248"/>
      <c r="O185" s="797">
        <f t="shared" si="130"/>
        <v>0</v>
      </c>
      <c r="P185" s="796">
        <f t="shared" si="131"/>
        <v>200000</v>
      </c>
      <c r="R185" s="336"/>
    </row>
    <row r="186" spans="1:18" ht="93" thickTop="1" thickBot="1" x14ac:dyDescent="0.25">
      <c r="A186" s="795" t="s">
        <v>313</v>
      </c>
      <c r="B186" s="795" t="s">
        <v>314</v>
      </c>
      <c r="C186" s="795" t="s">
        <v>308</v>
      </c>
      <c r="D186" s="795" t="s">
        <v>315</v>
      </c>
      <c r="E186" s="418">
        <f t="shared" si="135"/>
        <v>14100000</v>
      </c>
      <c r="F186" s="247">
        <v>14100000</v>
      </c>
      <c r="G186" s="247"/>
      <c r="H186" s="247"/>
      <c r="I186" s="247"/>
      <c r="J186" s="796">
        <f t="shared" si="126"/>
        <v>0</v>
      </c>
      <c r="K186" s="416"/>
      <c r="L186" s="247"/>
      <c r="M186" s="247"/>
      <c r="N186" s="247"/>
      <c r="O186" s="797">
        <f t="shared" si="130"/>
        <v>0</v>
      </c>
      <c r="P186" s="796">
        <f t="shared" ref="P186" si="136">E186+J186</f>
        <v>14100000</v>
      </c>
      <c r="R186" s="277"/>
    </row>
    <row r="187" spans="1:18" ht="47.25" thickTop="1" thickBot="1" x14ac:dyDescent="0.25">
      <c r="A187" s="251" t="s">
        <v>994</v>
      </c>
      <c r="B187" s="251" t="s">
        <v>948</v>
      </c>
      <c r="C187" s="251"/>
      <c r="D187" s="251" t="s">
        <v>995</v>
      </c>
      <c r="E187" s="418">
        <f>E188</f>
        <v>500000</v>
      </c>
      <c r="F187" s="418">
        <f t="shared" ref="F187:P187" si="137">F188</f>
        <v>500000</v>
      </c>
      <c r="G187" s="418">
        <f t="shared" si="137"/>
        <v>0</v>
      </c>
      <c r="H187" s="418">
        <f t="shared" si="137"/>
        <v>0</v>
      </c>
      <c r="I187" s="418">
        <f t="shared" si="137"/>
        <v>0</v>
      </c>
      <c r="J187" s="418">
        <f>J188</f>
        <v>2680000</v>
      </c>
      <c r="K187" s="418">
        <f t="shared" si="137"/>
        <v>2490000</v>
      </c>
      <c r="L187" s="418">
        <f t="shared" si="137"/>
        <v>190000</v>
      </c>
      <c r="M187" s="418">
        <f t="shared" si="137"/>
        <v>0</v>
      </c>
      <c r="N187" s="418">
        <f t="shared" si="137"/>
        <v>0</v>
      </c>
      <c r="O187" s="418">
        <f t="shared" si="137"/>
        <v>2490000</v>
      </c>
      <c r="P187" s="418">
        <f t="shared" si="137"/>
        <v>3180000</v>
      </c>
      <c r="R187" s="277"/>
    </row>
    <row r="188" spans="1:18" ht="136.5" thickTop="1" thickBot="1" x14ac:dyDescent="0.25">
      <c r="A188" s="557" t="s">
        <v>996</v>
      </c>
      <c r="B188" s="557" t="s">
        <v>887</v>
      </c>
      <c r="C188" s="557"/>
      <c r="D188" s="557" t="s">
        <v>885</v>
      </c>
      <c r="E188" s="570">
        <f t="shared" ref="E188:P188" si="138">E189+E191+E190</f>
        <v>500000</v>
      </c>
      <c r="F188" s="570">
        <f t="shared" si="138"/>
        <v>500000</v>
      </c>
      <c r="G188" s="570">
        <f t="shared" si="138"/>
        <v>0</v>
      </c>
      <c r="H188" s="570">
        <f t="shared" si="138"/>
        <v>0</v>
      </c>
      <c r="I188" s="570">
        <f t="shared" si="138"/>
        <v>0</v>
      </c>
      <c r="J188" s="570">
        <f t="shared" si="138"/>
        <v>2680000</v>
      </c>
      <c r="K188" s="570">
        <f t="shared" si="138"/>
        <v>2490000</v>
      </c>
      <c r="L188" s="570">
        <f t="shared" si="138"/>
        <v>190000</v>
      </c>
      <c r="M188" s="570">
        <f t="shared" si="138"/>
        <v>0</v>
      </c>
      <c r="N188" s="570">
        <f t="shared" si="138"/>
        <v>0</v>
      </c>
      <c r="O188" s="570">
        <f t="shared" si="138"/>
        <v>2490000</v>
      </c>
      <c r="P188" s="570">
        <f t="shared" si="138"/>
        <v>3180000</v>
      </c>
      <c r="R188" s="277"/>
    </row>
    <row r="189" spans="1:18" ht="48" thickTop="1" thickBot="1" x14ac:dyDescent="0.25">
      <c r="A189" s="795" t="s">
        <v>322</v>
      </c>
      <c r="B189" s="795" t="s">
        <v>237</v>
      </c>
      <c r="C189" s="795" t="s">
        <v>238</v>
      </c>
      <c r="D189" s="795" t="s">
        <v>43</v>
      </c>
      <c r="E189" s="418">
        <f t="shared" si="135"/>
        <v>500000</v>
      </c>
      <c r="F189" s="247">
        <v>500000</v>
      </c>
      <c r="G189" s="247"/>
      <c r="H189" s="247"/>
      <c r="I189" s="247"/>
      <c r="J189" s="796">
        <f t="shared" si="126"/>
        <v>2100000</v>
      </c>
      <c r="K189" s="416">
        <v>2100000</v>
      </c>
      <c r="L189" s="247"/>
      <c r="M189" s="247"/>
      <c r="N189" s="247"/>
      <c r="O189" s="797">
        <f t="shared" si="130"/>
        <v>2100000</v>
      </c>
      <c r="P189" s="796">
        <f>E189+J189</f>
        <v>2600000</v>
      </c>
      <c r="R189" s="336" t="e">
        <f>K189=#REF!</f>
        <v>#REF!</v>
      </c>
    </row>
    <row r="190" spans="1:18" ht="93" thickTop="1" thickBot="1" x14ac:dyDescent="0.25">
      <c r="A190" s="795" t="s">
        <v>1178</v>
      </c>
      <c r="B190" s="795" t="s">
        <v>222</v>
      </c>
      <c r="C190" s="795" t="s">
        <v>191</v>
      </c>
      <c r="D190" s="795" t="s">
        <v>36</v>
      </c>
      <c r="E190" s="418">
        <f t="shared" si="135"/>
        <v>0</v>
      </c>
      <c r="F190" s="247"/>
      <c r="G190" s="247"/>
      <c r="H190" s="247"/>
      <c r="I190" s="247"/>
      <c r="J190" s="796">
        <f t="shared" si="126"/>
        <v>390000</v>
      </c>
      <c r="K190" s="416">
        <v>390000</v>
      </c>
      <c r="L190" s="247"/>
      <c r="M190" s="247"/>
      <c r="N190" s="247"/>
      <c r="O190" s="797">
        <f t="shared" si="130"/>
        <v>390000</v>
      </c>
      <c r="P190" s="796">
        <f>E190+J190</f>
        <v>390000</v>
      </c>
      <c r="R190" s="336" t="e">
        <f>K190=#REF!+#REF!</f>
        <v>#REF!</v>
      </c>
    </row>
    <row r="191" spans="1:18" ht="48" thickTop="1" thickBot="1" x14ac:dyDescent="0.25">
      <c r="A191" s="552" t="s">
        <v>997</v>
      </c>
      <c r="B191" s="552" t="s">
        <v>890</v>
      </c>
      <c r="C191" s="552"/>
      <c r="D191" s="552" t="s">
        <v>998</v>
      </c>
      <c r="E191" s="571">
        <f>E192</f>
        <v>0</v>
      </c>
      <c r="F191" s="571">
        <f t="shared" ref="F191:P191" si="139">F192</f>
        <v>0</v>
      </c>
      <c r="G191" s="571">
        <f t="shared" si="139"/>
        <v>0</v>
      </c>
      <c r="H191" s="571">
        <f t="shared" si="139"/>
        <v>0</v>
      </c>
      <c r="I191" s="571">
        <f t="shared" si="139"/>
        <v>0</v>
      </c>
      <c r="J191" s="571">
        <f t="shared" si="139"/>
        <v>190000</v>
      </c>
      <c r="K191" s="571">
        <f t="shared" si="139"/>
        <v>0</v>
      </c>
      <c r="L191" s="571">
        <f t="shared" si="139"/>
        <v>190000</v>
      </c>
      <c r="M191" s="571">
        <f t="shared" si="139"/>
        <v>0</v>
      </c>
      <c r="N191" s="571">
        <f t="shared" si="139"/>
        <v>0</v>
      </c>
      <c r="O191" s="571">
        <f t="shared" si="139"/>
        <v>0</v>
      </c>
      <c r="P191" s="571">
        <f t="shared" si="139"/>
        <v>190000</v>
      </c>
      <c r="R191" s="277"/>
    </row>
    <row r="192" spans="1:18" ht="409.6" thickTop="1" thickBot="1" x14ac:dyDescent="0.7">
      <c r="A192" s="875" t="s">
        <v>462</v>
      </c>
      <c r="B192" s="875" t="s">
        <v>371</v>
      </c>
      <c r="C192" s="875" t="s">
        <v>191</v>
      </c>
      <c r="D192" s="420" t="s">
        <v>483</v>
      </c>
      <c r="E192" s="864">
        <f t="shared" si="135"/>
        <v>0</v>
      </c>
      <c r="F192" s="866"/>
      <c r="G192" s="866"/>
      <c r="H192" s="866"/>
      <c r="I192" s="866"/>
      <c r="J192" s="864">
        <f t="shared" si="126"/>
        <v>190000</v>
      </c>
      <c r="K192" s="866"/>
      <c r="L192" s="866">
        <v>190000</v>
      </c>
      <c r="M192" s="866"/>
      <c r="N192" s="866"/>
      <c r="O192" s="868">
        <f>K192+0</f>
        <v>0</v>
      </c>
      <c r="P192" s="870">
        <f>E192+J192</f>
        <v>190000</v>
      </c>
      <c r="R192" s="277"/>
    </row>
    <row r="193" spans="1:18" ht="184.5" thickTop="1" thickBot="1" x14ac:dyDescent="0.25">
      <c r="A193" s="875"/>
      <c r="B193" s="875"/>
      <c r="C193" s="875"/>
      <c r="D193" s="424" t="s">
        <v>484</v>
      </c>
      <c r="E193" s="864"/>
      <c r="F193" s="866"/>
      <c r="G193" s="866"/>
      <c r="H193" s="866"/>
      <c r="I193" s="866"/>
      <c r="J193" s="864"/>
      <c r="K193" s="866"/>
      <c r="L193" s="866"/>
      <c r="M193" s="866"/>
      <c r="N193" s="866"/>
      <c r="O193" s="868"/>
      <c r="P193" s="870"/>
      <c r="R193" s="277"/>
    </row>
    <row r="194" spans="1:18" ht="181.5" thickTop="1" thickBot="1" x14ac:dyDescent="0.25">
      <c r="A194" s="680" t="s">
        <v>662</v>
      </c>
      <c r="B194" s="680"/>
      <c r="C194" s="680"/>
      <c r="D194" s="681" t="s">
        <v>696</v>
      </c>
      <c r="E194" s="682">
        <f>E195</f>
        <v>250760304</v>
      </c>
      <c r="F194" s="683">
        <f t="shared" ref="F194:G194" si="140">F195</f>
        <v>250760304</v>
      </c>
      <c r="G194" s="683">
        <f t="shared" si="140"/>
        <v>8782274</v>
      </c>
      <c r="H194" s="683">
        <f>H195</f>
        <v>154170</v>
      </c>
      <c r="I194" s="683">
        <f t="shared" ref="I194" si="141">I195</f>
        <v>0</v>
      </c>
      <c r="J194" s="682">
        <f>J195</f>
        <v>152086417.61000001</v>
      </c>
      <c r="K194" s="683">
        <f>K195</f>
        <v>151769402.57999998</v>
      </c>
      <c r="L194" s="683">
        <f>L195</f>
        <v>140000</v>
      </c>
      <c r="M194" s="683">
        <f t="shared" ref="M194" si="142">M195</f>
        <v>0</v>
      </c>
      <c r="N194" s="682">
        <f>N195</f>
        <v>0</v>
      </c>
      <c r="O194" s="682">
        <f>O195</f>
        <v>151946417.61000001</v>
      </c>
      <c r="P194" s="683">
        <f>P195</f>
        <v>402846721.61000001</v>
      </c>
      <c r="R194" s="277"/>
    </row>
    <row r="195" spans="1:18" ht="181.5" thickTop="1" thickBot="1" x14ac:dyDescent="0.25">
      <c r="A195" s="684" t="s">
        <v>663</v>
      </c>
      <c r="B195" s="684"/>
      <c r="C195" s="684"/>
      <c r="D195" s="685" t="s">
        <v>697</v>
      </c>
      <c r="E195" s="686">
        <f>E196+E200+E206+E217</f>
        <v>250760304</v>
      </c>
      <c r="F195" s="686">
        <f t="shared" ref="F195:I195" si="143">F196+F200+F206+F217</f>
        <v>250760304</v>
      </c>
      <c r="G195" s="686">
        <f t="shared" si="143"/>
        <v>8782274</v>
      </c>
      <c r="H195" s="686">
        <f t="shared" si="143"/>
        <v>154170</v>
      </c>
      <c r="I195" s="686">
        <f t="shared" si="143"/>
        <v>0</v>
      </c>
      <c r="J195" s="686">
        <f t="shared" ref="J195:J215" si="144">L195+O195</f>
        <v>152086417.61000001</v>
      </c>
      <c r="K195" s="686">
        <f t="shared" ref="K195:O195" si="145">K196+K200+K206+K217</f>
        <v>151769402.57999998</v>
      </c>
      <c r="L195" s="686">
        <f t="shared" si="145"/>
        <v>140000</v>
      </c>
      <c r="M195" s="686">
        <f t="shared" si="145"/>
        <v>0</v>
      </c>
      <c r="N195" s="686">
        <f t="shared" si="145"/>
        <v>0</v>
      </c>
      <c r="O195" s="686">
        <f t="shared" si="145"/>
        <v>151946417.61000001</v>
      </c>
      <c r="P195" s="687">
        <f>E195+J195</f>
        <v>402846721.61000001</v>
      </c>
      <c r="Q195" s="181" t="b">
        <f>P195=P197+P198+P199+P202+P203+P204+P205+P208+P210+P212+P213+P215+P219+P220+P221</f>
        <v>1</v>
      </c>
      <c r="R195" s="181" t="e">
        <f>K195=#REF!</f>
        <v>#REF!</v>
      </c>
    </row>
    <row r="196" spans="1:18" ht="47.25" thickTop="1" thickBot="1" x14ac:dyDescent="0.25">
      <c r="A196" s="251" t="s">
        <v>999</v>
      </c>
      <c r="B196" s="251" t="s">
        <v>880</v>
      </c>
      <c r="C196" s="251"/>
      <c r="D196" s="251" t="s">
        <v>881</v>
      </c>
      <c r="E196" s="796">
        <f>SUM(E197:E199)</f>
        <v>8498737</v>
      </c>
      <c r="F196" s="796">
        <f t="shared" ref="F196:P196" si="146">SUM(F197:F199)</f>
        <v>8498737</v>
      </c>
      <c r="G196" s="796">
        <f t="shared" si="146"/>
        <v>6393415</v>
      </c>
      <c r="H196" s="796">
        <f t="shared" si="146"/>
        <v>74385</v>
      </c>
      <c r="I196" s="796">
        <f t="shared" si="146"/>
        <v>0</v>
      </c>
      <c r="J196" s="796">
        <f t="shared" si="146"/>
        <v>144000</v>
      </c>
      <c r="K196" s="796">
        <f t="shared" si="146"/>
        <v>144000</v>
      </c>
      <c r="L196" s="796">
        <f t="shared" si="146"/>
        <v>0</v>
      </c>
      <c r="M196" s="796">
        <f t="shared" si="146"/>
        <v>0</v>
      </c>
      <c r="N196" s="796">
        <f t="shared" si="146"/>
        <v>0</v>
      </c>
      <c r="O196" s="796">
        <f t="shared" si="146"/>
        <v>144000</v>
      </c>
      <c r="P196" s="796">
        <f t="shared" si="146"/>
        <v>8642737</v>
      </c>
      <c r="Q196" s="181"/>
      <c r="R196" s="181"/>
    </row>
    <row r="197" spans="1:18" ht="230.25" thickTop="1" thickBot="1" x14ac:dyDescent="0.25">
      <c r="A197" s="795" t="s">
        <v>664</v>
      </c>
      <c r="B197" s="795" t="s">
        <v>261</v>
      </c>
      <c r="C197" s="795" t="s">
        <v>259</v>
      </c>
      <c r="D197" s="795" t="s">
        <v>260</v>
      </c>
      <c r="E197" s="418">
        <f>F197</f>
        <v>8390737</v>
      </c>
      <c r="F197" s="247">
        <f>(6393415+1406550+212730+120360+12160+22680+39015+5208+25686+4476-8000)+3600+6087+47020+36500+5000+41700+6400+10150</f>
        <v>8390737</v>
      </c>
      <c r="G197" s="247">
        <v>6393415</v>
      </c>
      <c r="H197" s="247">
        <f>(39015+5208+25686+4476)</f>
        <v>74385</v>
      </c>
      <c r="I197" s="247"/>
      <c r="J197" s="796">
        <f t="shared" si="144"/>
        <v>144000</v>
      </c>
      <c r="K197" s="247">
        <v>144000</v>
      </c>
      <c r="L197" s="248"/>
      <c r="M197" s="248"/>
      <c r="N197" s="248"/>
      <c r="O197" s="797">
        <f t="shared" ref="O197:O213" si="147">K197</f>
        <v>144000</v>
      </c>
      <c r="P197" s="796">
        <f t="shared" ref="P197:P203" si="148">+J197+E197</f>
        <v>8534737</v>
      </c>
      <c r="R197" s="181" t="e">
        <f>K197=#REF!</f>
        <v>#REF!</v>
      </c>
    </row>
    <row r="198" spans="1:18" ht="184.5" thickTop="1" thickBot="1" x14ac:dyDescent="0.25">
      <c r="A198" s="804" t="s">
        <v>824</v>
      </c>
      <c r="B198" s="804" t="s">
        <v>398</v>
      </c>
      <c r="C198" s="804" t="s">
        <v>815</v>
      </c>
      <c r="D198" s="804" t="s">
        <v>816</v>
      </c>
      <c r="E198" s="418">
        <f>F198</f>
        <v>8000</v>
      </c>
      <c r="F198" s="247">
        <v>8000</v>
      </c>
      <c r="G198" s="247"/>
      <c r="H198" s="247"/>
      <c r="I198" s="247"/>
      <c r="J198" s="796">
        <f t="shared" si="144"/>
        <v>0</v>
      </c>
      <c r="K198" s="247"/>
      <c r="L198" s="248"/>
      <c r="M198" s="248"/>
      <c r="N198" s="248"/>
      <c r="O198" s="797">
        <f t="shared" si="147"/>
        <v>0</v>
      </c>
      <c r="P198" s="796">
        <f t="shared" si="148"/>
        <v>8000</v>
      </c>
      <c r="R198" s="181"/>
    </row>
    <row r="199" spans="1:18" ht="93" thickTop="1" thickBot="1" x14ac:dyDescent="0.25">
      <c r="A199" s="795" t="s">
        <v>665</v>
      </c>
      <c r="B199" s="795" t="s">
        <v>45</v>
      </c>
      <c r="C199" s="795" t="s">
        <v>44</v>
      </c>
      <c r="D199" s="795" t="s">
        <v>273</v>
      </c>
      <c r="E199" s="418">
        <f>F199</f>
        <v>100000</v>
      </c>
      <c r="F199" s="247">
        <v>100000</v>
      </c>
      <c r="G199" s="247"/>
      <c r="H199" s="247"/>
      <c r="I199" s="247"/>
      <c r="J199" s="796">
        <f t="shared" si="144"/>
        <v>0</v>
      </c>
      <c r="K199" s="247"/>
      <c r="L199" s="248"/>
      <c r="M199" s="248"/>
      <c r="N199" s="248"/>
      <c r="O199" s="797">
        <f t="shared" si="147"/>
        <v>0</v>
      </c>
      <c r="P199" s="796">
        <f t="shared" si="148"/>
        <v>100000</v>
      </c>
      <c r="R199" s="277"/>
    </row>
    <row r="200" spans="1:18" ht="91.5" thickTop="1" thickBot="1" x14ac:dyDescent="0.25">
      <c r="A200" s="251" t="s">
        <v>1000</v>
      </c>
      <c r="B200" s="757" t="s">
        <v>942</v>
      </c>
      <c r="C200" s="757"/>
      <c r="D200" s="556" t="s">
        <v>943</v>
      </c>
      <c r="E200" s="418">
        <f>SUM(E201:E205)-E201</f>
        <v>186232623</v>
      </c>
      <c r="F200" s="418">
        <f t="shared" ref="F200:O200" si="149">SUM(F201:F205)-F201</f>
        <v>186232623</v>
      </c>
      <c r="G200" s="418">
        <f t="shared" si="149"/>
        <v>0</v>
      </c>
      <c r="H200" s="418">
        <f t="shared" si="149"/>
        <v>50000</v>
      </c>
      <c r="I200" s="418">
        <f t="shared" si="149"/>
        <v>0</v>
      </c>
      <c r="J200" s="418">
        <f t="shared" si="149"/>
        <v>14710148</v>
      </c>
      <c r="K200" s="418">
        <f t="shared" si="149"/>
        <v>14710148</v>
      </c>
      <c r="L200" s="418">
        <f t="shared" si="149"/>
        <v>0</v>
      </c>
      <c r="M200" s="418">
        <f t="shared" si="149"/>
        <v>0</v>
      </c>
      <c r="N200" s="418">
        <f t="shared" si="149"/>
        <v>0</v>
      </c>
      <c r="O200" s="418">
        <f t="shared" si="149"/>
        <v>14710148</v>
      </c>
      <c r="P200" s="418">
        <f t="shared" ref="P200" si="150">SUM(P201:P205)-P201</f>
        <v>200942771</v>
      </c>
      <c r="R200" s="277"/>
    </row>
    <row r="201" spans="1:18" ht="184.5" thickTop="1" thickBot="1" x14ac:dyDescent="0.25">
      <c r="A201" s="552" t="s">
        <v>1001</v>
      </c>
      <c r="B201" s="759" t="s">
        <v>992</v>
      </c>
      <c r="C201" s="759"/>
      <c r="D201" s="759" t="s">
        <v>993</v>
      </c>
      <c r="E201" s="571">
        <f>SUM(E202:E203)</f>
        <v>31751000</v>
      </c>
      <c r="F201" s="571">
        <f t="shared" ref="F201:P201" si="151">SUM(F202:F203)</f>
        <v>31751000</v>
      </c>
      <c r="G201" s="571">
        <f t="shared" si="151"/>
        <v>0</v>
      </c>
      <c r="H201" s="571">
        <f t="shared" si="151"/>
        <v>0</v>
      </c>
      <c r="I201" s="571">
        <f t="shared" si="151"/>
        <v>0</v>
      </c>
      <c r="J201" s="571">
        <f t="shared" si="151"/>
        <v>0</v>
      </c>
      <c r="K201" s="571">
        <f t="shared" si="151"/>
        <v>0</v>
      </c>
      <c r="L201" s="571">
        <f t="shared" si="151"/>
        <v>0</v>
      </c>
      <c r="M201" s="571">
        <f t="shared" si="151"/>
        <v>0</v>
      </c>
      <c r="N201" s="571">
        <f t="shared" si="151"/>
        <v>0</v>
      </c>
      <c r="O201" s="571">
        <f t="shared" si="151"/>
        <v>0</v>
      </c>
      <c r="P201" s="571">
        <f t="shared" si="151"/>
        <v>31751000</v>
      </c>
      <c r="R201" s="277"/>
    </row>
    <row r="202" spans="1:18" ht="184.5" thickTop="1" thickBot="1" x14ac:dyDescent="0.25">
      <c r="A202" s="795" t="s">
        <v>666</v>
      </c>
      <c r="B202" s="795" t="s">
        <v>413</v>
      </c>
      <c r="C202" s="795" t="s">
        <v>308</v>
      </c>
      <c r="D202" s="795" t="s">
        <v>414</v>
      </c>
      <c r="E202" s="418">
        <f t="shared" ref="E202:E213" si="152">F202</f>
        <v>28000000</v>
      </c>
      <c r="F202" s="247">
        <v>28000000</v>
      </c>
      <c r="G202" s="247"/>
      <c r="H202" s="247"/>
      <c r="I202" s="247"/>
      <c r="J202" s="796">
        <f t="shared" si="144"/>
        <v>0</v>
      </c>
      <c r="K202" s="247"/>
      <c r="L202" s="248"/>
      <c r="M202" s="248"/>
      <c r="N202" s="248"/>
      <c r="O202" s="797">
        <f t="shared" si="147"/>
        <v>0</v>
      </c>
      <c r="P202" s="796">
        <f t="shared" si="148"/>
        <v>28000000</v>
      </c>
      <c r="R202" s="277"/>
    </row>
    <row r="203" spans="1:18" ht="138.75" thickTop="1" thickBot="1" x14ac:dyDescent="0.25">
      <c r="A203" s="795" t="s">
        <v>667</v>
      </c>
      <c r="B203" s="795" t="s">
        <v>311</v>
      </c>
      <c r="C203" s="795" t="s">
        <v>308</v>
      </c>
      <c r="D203" s="795" t="s">
        <v>312</v>
      </c>
      <c r="E203" s="418">
        <f t="shared" si="152"/>
        <v>3751000</v>
      </c>
      <c r="F203" s="247">
        <v>3751000</v>
      </c>
      <c r="G203" s="247"/>
      <c r="H203" s="247"/>
      <c r="I203" s="247"/>
      <c r="J203" s="796">
        <f t="shared" si="144"/>
        <v>0</v>
      </c>
      <c r="K203" s="247"/>
      <c r="L203" s="248"/>
      <c r="M203" s="248"/>
      <c r="N203" s="248"/>
      <c r="O203" s="797">
        <f t="shared" si="147"/>
        <v>0</v>
      </c>
      <c r="P203" s="796">
        <f t="shared" si="148"/>
        <v>3751000</v>
      </c>
      <c r="R203" s="277"/>
    </row>
    <row r="204" spans="1:18" ht="230.25" thickTop="1" thickBot="1" x14ac:dyDescent="0.25">
      <c r="A204" s="795" t="s">
        <v>668</v>
      </c>
      <c r="B204" s="795" t="s">
        <v>323</v>
      </c>
      <c r="C204" s="795" t="s">
        <v>308</v>
      </c>
      <c r="D204" s="795" t="s">
        <v>324</v>
      </c>
      <c r="E204" s="418">
        <f t="shared" si="152"/>
        <v>3430000</v>
      </c>
      <c r="F204" s="247">
        <f>700000+2730000</f>
        <v>3430000</v>
      </c>
      <c r="G204" s="247"/>
      <c r="H204" s="247"/>
      <c r="I204" s="247"/>
      <c r="J204" s="796">
        <f t="shared" si="144"/>
        <v>0</v>
      </c>
      <c r="K204" s="416"/>
      <c r="L204" s="247"/>
      <c r="M204" s="247"/>
      <c r="N204" s="247"/>
      <c r="O204" s="797">
        <f t="shared" si="147"/>
        <v>0</v>
      </c>
      <c r="P204" s="796">
        <f t="shared" ref="P204:P208" si="153">E204+J204</f>
        <v>3430000</v>
      </c>
      <c r="R204" s="277"/>
    </row>
    <row r="205" spans="1:18" ht="93" thickTop="1" thickBot="1" x14ac:dyDescent="0.25">
      <c r="A205" s="795" t="s">
        <v>669</v>
      </c>
      <c r="B205" s="795" t="s">
        <v>314</v>
      </c>
      <c r="C205" s="795" t="s">
        <v>308</v>
      </c>
      <c r="D205" s="795" t="s">
        <v>315</v>
      </c>
      <c r="E205" s="418">
        <f t="shared" si="152"/>
        <v>151051623</v>
      </c>
      <c r="F205" s="247">
        <f>(149686023)+1365600</f>
        <v>151051623</v>
      </c>
      <c r="G205" s="247"/>
      <c r="H205" s="247">
        <v>50000</v>
      </c>
      <c r="I205" s="247"/>
      <c r="J205" s="796">
        <f t="shared" si="144"/>
        <v>14710148</v>
      </c>
      <c r="K205" s="416">
        <f>(15915164)-1205016</f>
        <v>14710148</v>
      </c>
      <c r="L205" s="247"/>
      <c r="M205" s="247"/>
      <c r="N205" s="247"/>
      <c r="O205" s="797">
        <f t="shared" si="147"/>
        <v>14710148</v>
      </c>
      <c r="P205" s="796">
        <f t="shared" si="153"/>
        <v>165761771</v>
      </c>
      <c r="R205" s="181" t="e">
        <f>K205=#REF!+#REF!+#REF!+#REF!+#REF!+#REF!+#REF!+#REF!+#REF!+#REF!+#REF!+#REF!+#REF!+#REF!+#REF!+#REF!</f>
        <v>#REF!</v>
      </c>
    </row>
    <row r="206" spans="1:18" ht="47.25" thickTop="1" thickBot="1" x14ac:dyDescent="0.25">
      <c r="A206" s="251" t="s">
        <v>1002</v>
      </c>
      <c r="B206" s="757" t="s">
        <v>948</v>
      </c>
      <c r="C206" s="757"/>
      <c r="D206" s="757" t="s">
        <v>949</v>
      </c>
      <c r="E206" s="418">
        <f>E207+E209+E211</f>
        <v>52868366</v>
      </c>
      <c r="F206" s="418">
        <f t="shared" ref="F206:P206" si="154">F207+F209+F211</f>
        <v>52868366</v>
      </c>
      <c r="G206" s="418">
        <f t="shared" si="154"/>
        <v>0</v>
      </c>
      <c r="H206" s="418">
        <f t="shared" si="154"/>
        <v>0</v>
      </c>
      <c r="I206" s="418">
        <f t="shared" si="154"/>
        <v>0</v>
      </c>
      <c r="J206" s="418">
        <f>J207+J209+J211</f>
        <v>137232269.61000001</v>
      </c>
      <c r="K206" s="418">
        <f t="shared" si="154"/>
        <v>136915254.57999998</v>
      </c>
      <c r="L206" s="418">
        <f t="shared" si="154"/>
        <v>140000</v>
      </c>
      <c r="M206" s="418">
        <f t="shared" si="154"/>
        <v>0</v>
      </c>
      <c r="N206" s="418">
        <f t="shared" si="154"/>
        <v>0</v>
      </c>
      <c r="O206" s="418">
        <f t="shared" si="154"/>
        <v>137092269.61000001</v>
      </c>
      <c r="P206" s="418">
        <f t="shared" si="154"/>
        <v>190100635.61000001</v>
      </c>
      <c r="R206" s="277"/>
    </row>
    <row r="207" spans="1:18" ht="91.5" thickTop="1" thickBot="1" x14ac:dyDescent="0.25">
      <c r="A207" s="557" t="s">
        <v>1003</v>
      </c>
      <c r="B207" s="557" t="s">
        <v>1004</v>
      </c>
      <c r="C207" s="557"/>
      <c r="D207" s="557" t="s">
        <v>1005</v>
      </c>
      <c r="E207" s="570">
        <f>E208</f>
        <v>0</v>
      </c>
      <c r="F207" s="570">
        <f t="shared" ref="F207:P207" si="155">F208</f>
        <v>0</v>
      </c>
      <c r="G207" s="570">
        <f t="shared" si="155"/>
        <v>0</v>
      </c>
      <c r="H207" s="570">
        <f t="shared" si="155"/>
        <v>0</v>
      </c>
      <c r="I207" s="570">
        <f t="shared" si="155"/>
        <v>0</v>
      </c>
      <c r="J207" s="570">
        <f t="shared" si="155"/>
        <v>6280522</v>
      </c>
      <c r="K207" s="570">
        <f t="shared" si="155"/>
        <v>6280522</v>
      </c>
      <c r="L207" s="570">
        <f t="shared" si="155"/>
        <v>0</v>
      </c>
      <c r="M207" s="570">
        <f t="shared" si="155"/>
        <v>0</v>
      </c>
      <c r="N207" s="570">
        <f t="shared" si="155"/>
        <v>0</v>
      </c>
      <c r="O207" s="570">
        <f t="shared" si="155"/>
        <v>6280522</v>
      </c>
      <c r="P207" s="570">
        <f t="shared" si="155"/>
        <v>6280522</v>
      </c>
      <c r="R207" s="277"/>
    </row>
    <row r="208" spans="1:18" ht="99.75" thickTop="1" thickBot="1" x14ac:dyDescent="0.25">
      <c r="A208" s="795" t="s">
        <v>670</v>
      </c>
      <c r="B208" s="795" t="s">
        <v>331</v>
      </c>
      <c r="C208" s="795" t="s">
        <v>330</v>
      </c>
      <c r="D208" s="795" t="s">
        <v>817</v>
      </c>
      <c r="E208" s="418">
        <f t="shared" si="152"/>
        <v>0</v>
      </c>
      <c r="F208" s="247"/>
      <c r="G208" s="247"/>
      <c r="H208" s="247"/>
      <c r="I208" s="247"/>
      <c r="J208" s="796">
        <f>L208+O208</f>
        <v>6280522</v>
      </c>
      <c r="K208" s="416">
        <f>(5200000)+1080522</f>
        <v>6280522</v>
      </c>
      <c r="L208" s="247"/>
      <c r="M208" s="247"/>
      <c r="N208" s="247"/>
      <c r="O208" s="797">
        <f>K208</f>
        <v>6280522</v>
      </c>
      <c r="P208" s="796">
        <f t="shared" si="153"/>
        <v>6280522</v>
      </c>
      <c r="R208" s="181" t="e">
        <f>K208=#REF!+#REF!+#REF!+#REF!+#REF!+#REF!+#REF!</f>
        <v>#REF!</v>
      </c>
    </row>
    <row r="209" spans="1:18" ht="136.5" thickTop="1" thickBot="1" x14ac:dyDescent="0.25">
      <c r="A209" s="557" t="s">
        <v>1006</v>
      </c>
      <c r="B209" s="557" t="s">
        <v>1007</v>
      </c>
      <c r="C209" s="557"/>
      <c r="D209" s="557" t="s">
        <v>1008</v>
      </c>
      <c r="E209" s="570">
        <f>E210</f>
        <v>52868366</v>
      </c>
      <c r="F209" s="570">
        <f t="shared" ref="F209:O209" si="156">F210</f>
        <v>52868366</v>
      </c>
      <c r="G209" s="570">
        <f t="shared" si="156"/>
        <v>0</v>
      </c>
      <c r="H209" s="570">
        <f t="shared" si="156"/>
        <v>0</v>
      </c>
      <c r="I209" s="570">
        <f t="shared" si="156"/>
        <v>0</v>
      </c>
      <c r="J209" s="570">
        <f t="shared" si="156"/>
        <v>71464228.030000001</v>
      </c>
      <c r="K209" s="570">
        <f t="shared" si="156"/>
        <v>71337213</v>
      </c>
      <c r="L209" s="570">
        <f t="shared" si="156"/>
        <v>0</v>
      </c>
      <c r="M209" s="570">
        <f t="shared" si="156"/>
        <v>0</v>
      </c>
      <c r="N209" s="570">
        <f t="shared" si="156"/>
        <v>0</v>
      </c>
      <c r="O209" s="570">
        <f t="shared" si="156"/>
        <v>71464228.030000001</v>
      </c>
      <c r="P209" s="570">
        <f>P210</f>
        <v>124332594.03</v>
      </c>
      <c r="R209" s="277"/>
    </row>
    <row r="210" spans="1:18" ht="230.25" thickTop="1" thickBot="1" x14ac:dyDescent="0.25">
      <c r="A210" s="795" t="s">
        <v>671</v>
      </c>
      <c r="B210" s="795" t="s">
        <v>319</v>
      </c>
      <c r="C210" s="795" t="s">
        <v>321</v>
      </c>
      <c r="D210" s="795" t="s">
        <v>320</v>
      </c>
      <c r="E210" s="418">
        <f t="shared" si="152"/>
        <v>52868366</v>
      </c>
      <c r="F210" s="247">
        <f>(48273558)+4594808</f>
        <v>52868366</v>
      </c>
      <c r="G210" s="247"/>
      <c r="H210" s="247"/>
      <c r="I210" s="247"/>
      <c r="J210" s="796">
        <f t="shared" si="144"/>
        <v>71464228.030000001</v>
      </c>
      <c r="K210" s="247">
        <f>(16932021+60000000)-5594808</f>
        <v>71337213</v>
      </c>
      <c r="L210" s="248"/>
      <c r="M210" s="248"/>
      <c r="N210" s="248"/>
      <c r="O210" s="797">
        <f>K210+127015.03</f>
        <v>71464228.030000001</v>
      </c>
      <c r="P210" s="796">
        <f>+J210+E210</f>
        <v>124332594.03</v>
      </c>
      <c r="R210" s="181" t="e">
        <f>K210=#REF!</f>
        <v>#REF!</v>
      </c>
    </row>
    <row r="211" spans="1:18" ht="136.5" thickTop="1" thickBot="1" x14ac:dyDescent="0.25">
      <c r="A211" s="557" t="s">
        <v>1009</v>
      </c>
      <c r="B211" s="557" t="s">
        <v>887</v>
      </c>
      <c r="C211" s="557"/>
      <c r="D211" s="557" t="s">
        <v>885</v>
      </c>
      <c r="E211" s="570">
        <f>SUM(E212:E216)-E214</f>
        <v>0</v>
      </c>
      <c r="F211" s="570">
        <f t="shared" ref="F211:I211" si="157">SUM(F212:F216)-F214</f>
        <v>0</v>
      </c>
      <c r="G211" s="570">
        <f t="shared" si="157"/>
        <v>0</v>
      </c>
      <c r="H211" s="570">
        <f t="shared" si="157"/>
        <v>0</v>
      </c>
      <c r="I211" s="570">
        <f t="shared" si="157"/>
        <v>0</v>
      </c>
      <c r="J211" s="570">
        <f>SUM(J212:J216)-J214</f>
        <v>59487519.579999998</v>
      </c>
      <c r="K211" s="570">
        <f t="shared" ref="K211:P211" si="158">SUM(K212:K216)-K214</f>
        <v>59297519.579999998</v>
      </c>
      <c r="L211" s="570">
        <f t="shared" si="158"/>
        <v>140000</v>
      </c>
      <c r="M211" s="570">
        <f t="shared" si="158"/>
        <v>0</v>
      </c>
      <c r="N211" s="570">
        <f t="shared" si="158"/>
        <v>0</v>
      </c>
      <c r="O211" s="570">
        <f t="shared" si="158"/>
        <v>59347519.579999998</v>
      </c>
      <c r="P211" s="570">
        <f t="shared" si="158"/>
        <v>59487519.579999998</v>
      </c>
      <c r="R211" s="181"/>
    </row>
    <row r="212" spans="1:18" ht="48" thickTop="1" thickBot="1" x14ac:dyDescent="0.25">
      <c r="A212" s="795" t="s">
        <v>672</v>
      </c>
      <c r="B212" s="795" t="s">
        <v>237</v>
      </c>
      <c r="C212" s="795" t="s">
        <v>238</v>
      </c>
      <c r="D212" s="795" t="s">
        <v>43</v>
      </c>
      <c r="E212" s="418">
        <f t="shared" si="152"/>
        <v>0</v>
      </c>
      <c r="F212" s="247"/>
      <c r="G212" s="247"/>
      <c r="H212" s="247"/>
      <c r="I212" s="247"/>
      <c r="J212" s="796">
        <f t="shared" si="144"/>
        <v>18508795.579999998</v>
      </c>
      <c r="K212" s="416">
        <v>18508795.579999998</v>
      </c>
      <c r="L212" s="247"/>
      <c r="M212" s="247"/>
      <c r="N212" s="247"/>
      <c r="O212" s="797">
        <f t="shared" si="147"/>
        <v>18508795.579999998</v>
      </c>
      <c r="P212" s="796">
        <f>E212+J212</f>
        <v>18508795.579999998</v>
      </c>
      <c r="R212" s="181" t="e">
        <f>K212=#REF!</f>
        <v>#REF!</v>
      </c>
    </row>
    <row r="213" spans="1:18" ht="93" thickTop="1" thickBot="1" x14ac:dyDescent="0.25">
      <c r="A213" s="795" t="s">
        <v>673</v>
      </c>
      <c r="B213" s="795" t="s">
        <v>222</v>
      </c>
      <c r="C213" s="795" t="s">
        <v>191</v>
      </c>
      <c r="D213" s="795" t="s">
        <v>36</v>
      </c>
      <c r="E213" s="418">
        <f t="shared" si="152"/>
        <v>0</v>
      </c>
      <c r="F213" s="247"/>
      <c r="G213" s="247"/>
      <c r="H213" s="247"/>
      <c r="I213" s="247"/>
      <c r="J213" s="796">
        <f t="shared" si="144"/>
        <v>40788724</v>
      </c>
      <c r="K213" s="416">
        <f>(14547011+1000000)+25241713</f>
        <v>40788724</v>
      </c>
      <c r="L213" s="247"/>
      <c r="M213" s="247"/>
      <c r="N213" s="247"/>
      <c r="O213" s="797">
        <f t="shared" si="147"/>
        <v>40788724</v>
      </c>
      <c r="P213" s="796">
        <f>E213+J213</f>
        <v>40788724</v>
      </c>
      <c r="R213" s="181" t="e">
        <f>K213=#REF!+#REF!+#REF!+#REF!+#REF!+#REF!+#REF!+#REF!+#REF!+#REF!+#REF!+#REF!+#REF!+#REF!+#REF!+#REF!+#REF!+#REF!+#REF!+#REF!+#REF!+#REF!+#REF!+#REF!+#REF!+#REF!+#REF!+#REF!+#REF!+#REF!+#REF!+#REF!+#REF!+#REF!</f>
        <v>#REF!</v>
      </c>
    </row>
    <row r="214" spans="1:18" ht="48" thickTop="1" thickBot="1" x14ac:dyDescent="0.25">
      <c r="A214" s="552" t="s">
        <v>1010</v>
      </c>
      <c r="B214" s="552" t="s">
        <v>890</v>
      </c>
      <c r="C214" s="552"/>
      <c r="D214" s="552" t="s">
        <v>998</v>
      </c>
      <c r="E214" s="571">
        <f>E215</f>
        <v>0</v>
      </c>
      <c r="F214" s="571">
        <f t="shared" ref="F214:P214" si="159">F215</f>
        <v>0</v>
      </c>
      <c r="G214" s="571">
        <f t="shared" si="159"/>
        <v>0</v>
      </c>
      <c r="H214" s="571">
        <f t="shared" si="159"/>
        <v>0</v>
      </c>
      <c r="I214" s="571">
        <f t="shared" si="159"/>
        <v>0</v>
      </c>
      <c r="J214" s="571">
        <f t="shared" si="159"/>
        <v>190000</v>
      </c>
      <c r="K214" s="571">
        <f t="shared" si="159"/>
        <v>0</v>
      </c>
      <c r="L214" s="571">
        <f t="shared" si="159"/>
        <v>140000</v>
      </c>
      <c r="M214" s="571">
        <f t="shared" si="159"/>
        <v>0</v>
      </c>
      <c r="N214" s="571">
        <f t="shared" si="159"/>
        <v>0</v>
      </c>
      <c r="O214" s="571">
        <f t="shared" si="159"/>
        <v>50000</v>
      </c>
      <c r="P214" s="571">
        <f t="shared" si="159"/>
        <v>190000</v>
      </c>
      <c r="R214" s="277"/>
    </row>
    <row r="215" spans="1:18" ht="409.6" thickTop="1" thickBot="1" x14ac:dyDescent="0.7">
      <c r="A215" s="875" t="s">
        <v>674</v>
      </c>
      <c r="B215" s="875" t="s">
        <v>371</v>
      </c>
      <c r="C215" s="875" t="s">
        <v>191</v>
      </c>
      <c r="D215" s="420" t="s">
        <v>483</v>
      </c>
      <c r="E215" s="864"/>
      <c r="F215" s="866"/>
      <c r="G215" s="866"/>
      <c r="H215" s="866"/>
      <c r="I215" s="866"/>
      <c r="J215" s="864">
        <f t="shared" si="144"/>
        <v>190000</v>
      </c>
      <c r="K215" s="866"/>
      <c r="L215" s="866">
        <f>(190000)-50000</f>
        <v>140000</v>
      </c>
      <c r="M215" s="866"/>
      <c r="N215" s="866"/>
      <c r="O215" s="868">
        <f>K215+50000</f>
        <v>50000</v>
      </c>
      <c r="P215" s="870">
        <f>E215+J215</f>
        <v>190000</v>
      </c>
      <c r="R215" s="277"/>
    </row>
    <row r="216" spans="1:18" ht="184.5" thickTop="1" thickBot="1" x14ac:dyDescent="0.25">
      <c r="A216" s="875"/>
      <c r="B216" s="875"/>
      <c r="C216" s="875"/>
      <c r="D216" s="424" t="s">
        <v>484</v>
      </c>
      <c r="E216" s="864"/>
      <c r="F216" s="866"/>
      <c r="G216" s="866"/>
      <c r="H216" s="866"/>
      <c r="I216" s="866"/>
      <c r="J216" s="864"/>
      <c r="K216" s="866"/>
      <c r="L216" s="866"/>
      <c r="M216" s="866"/>
      <c r="N216" s="866"/>
      <c r="O216" s="868"/>
      <c r="P216" s="870"/>
      <c r="R216" s="277"/>
    </row>
    <row r="217" spans="1:18" ht="47.25" thickTop="1" thickBot="1" x14ac:dyDescent="0.25">
      <c r="A217" s="251" t="s">
        <v>1011</v>
      </c>
      <c r="B217" s="251" t="s">
        <v>892</v>
      </c>
      <c r="C217" s="251"/>
      <c r="D217" s="575" t="s">
        <v>893</v>
      </c>
      <c r="E217" s="796">
        <f>E218</f>
        <v>3160578</v>
      </c>
      <c r="F217" s="796">
        <f t="shared" ref="F217:P217" si="160">F218</f>
        <v>3160578</v>
      </c>
      <c r="G217" s="796">
        <f t="shared" si="160"/>
        <v>2388859</v>
      </c>
      <c r="H217" s="796">
        <f t="shared" si="160"/>
        <v>29785</v>
      </c>
      <c r="I217" s="796">
        <f t="shared" si="160"/>
        <v>0</v>
      </c>
      <c r="J217" s="796">
        <f t="shared" si="160"/>
        <v>0</v>
      </c>
      <c r="K217" s="796">
        <f t="shared" si="160"/>
        <v>0</v>
      </c>
      <c r="L217" s="796">
        <f t="shared" si="160"/>
        <v>0</v>
      </c>
      <c r="M217" s="796">
        <f t="shared" si="160"/>
        <v>0</v>
      </c>
      <c r="N217" s="796">
        <f t="shared" si="160"/>
        <v>0</v>
      </c>
      <c r="O217" s="796">
        <f t="shared" si="160"/>
        <v>0</v>
      </c>
      <c r="P217" s="796">
        <f t="shared" si="160"/>
        <v>3160578</v>
      </c>
      <c r="R217" s="277"/>
    </row>
    <row r="218" spans="1:18" ht="181.5" thickTop="1" thickBot="1" x14ac:dyDescent="0.25">
      <c r="A218" s="557" t="s">
        <v>1013</v>
      </c>
      <c r="B218" s="557" t="s">
        <v>1014</v>
      </c>
      <c r="C218" s="557"/>
      <c r="D218" s="576" t="s">
        <v>1012</v>
      </c>
      <c r="E218" s="555">
        <f>SUM(E219:E221)</f>
        <v>3160578</v>
      </c>
      <c r="F218" s="555">
        <f t="shared" ref="F218:P218" si="161">SUM(F219:F221)</f>
        <v>3160578</v>
      </c>
      <c r="G218" s="555">
        <f t="shared" si="161"/>
        <v>2388859</v>
      </c>
      <c r="H218" s="555">
        <f t="shared" si="161"/>
        <v>29785</v>
      </c>
      <c r="I218" s="555">
        <f t="shared" si="161"/>
        <v>0</v>
      </c>
      <c r="J218" s="555">
        <f t="shared" si="161"/>
        <v>0</v>
      </c>
      <c r="K218" s="555">
        <f t="shared" si="161"/>
        <v>0</v>
      </c>
      <c r="L218" s="555">
        <f t="shared" si="161"/>
        <v>0</v>
      </c>
      <c r="M218" s="555">
        <f t="shared" si="161"/>
        <v>0</v>
      </c>
      <c r="N218" s="555">
        <f t="shared" si="161"/>
        <v>0</v>
      </c>
      <c r="O218" s="555">
        <f t="shared" si="161"/>
        <v>0</v>
      </c>
      <c r="P218" s="555">
        <f t="shared" si="161"/>
        <v>3160578</v>
      </c>
      <c r="R218" s="277"/>
    </row>
    <row r="219" spans="1:18" ht="184.5" thickTop="1" thickBot="1" x14ac:dyDescent="0.25">
      <c r="A219" s="795" t="s">
        <v>675</v>
      </c>
      <c r="B219" s="795" t="s">
        <v>577</v>
      </c>
      <c r="C219" s="795" t="s">
        <v>276</v>
      </c>
      <c r="D219" s="795" t="s">
        <v>578</v>
      </c>
      <c r="E219" s="418">
        <f>F219</f>
        <v>108400</v>
      </c>
      <c r="F219" s="247">
        <v>108400</v>
      </c>
      <c r="G219" s="247"/>
      <c r="H219" s="247"/>
      <c r="I219" s="247"/>
      <c r="J219" s="796">
        <f>L219+O219</f>
        <v>0</v>
      </c>
      <c r="K219" s="416"/>
      <c r="L219" s="247"/>
      <c r="M219" s="247"/>
      <c r="N219" s="247"/>
      <c r="O219" s="797">
        <f>K219</f>
        <v>0</v>
      </c>
      <c r="P219" s="796">
        <f>E219+J219</f>
        <v>108400</v>
      </c>
      <c r="R219" s="277"/>
    </row>
    <row r="220" spans="1:18" ht="93" thickTop="1" thickBot="1" x14ac:dyDescent="0.25">
      <c r="A220" s="795" t="s">
        <v>676</v>
      </c>
      <c r="B220" s="795" t="s">
        <v>275</v>
      </c>
      <c r="C220" s="795" t="s">
        <v>276</v>
      </c>
      <c r="D220" s="795" t="s">
        <v>274</v>
      </c>
      <c r="E220" s="418">
        <f t="shared" ref="E220:E221" si="162">F220</f>
        <v>3052178</v>
      </c>
      <c r="F220" s="247">
        <f>1833178+1219000</f>
        <v>3052178</v>
      </c>
      <c r="G220" s="247">
        <f>(1494859)+894000</f>
        <v>2388859</v>
      </c>
      <c r="H220" s="247">
        <f>(20785)+9000</f>
        <v>29785</v>
      </c>
      <c r="I220" s="247"/>
      <c r="J220" s="796">
        <f>L220+O220</f>
        <v>0</v>
      </c>
      <c r="K220" s="416"/>
      <c r="L220" s="247"/>
      <c r="M220" s="247"/>
      <c r="N220" s="247"/>
      <c r="O220" s="797">
        <f>K220</f>
        <v>0</v>
      </c>
      <c r="P220" s="796">
        <f>E220+J220</f>
        <v>3052178</v>
      </c>
      <c r="R220" s="277"/>
    </row>
    <row r="221" spans="1:18" ht="93" hidden="1" thickTop="1" thickBot="1" x14ac:dyDescent="0.25">
      <c r="A221" s="623" t="s">
        <v>677</v>
      </c>
      <c r="B221" s="623" t="s">
        <v>678</v>
      </c>
      <c r="C221" s="623" t="s">
        <v>276</v>
      </c>
      <c r="D221" s="623" t="s">
        <v>679</v>
      </c>
      <c r="E221" s="630">
        <f t="shared" si="162"/>
        <v>0</v>
      </c>
      <c r="F221" s="631">
        <f>(1219000)-1219000</f>
        <v>0</v>
      </c>
      <c r="G221" s="631">
        <f>(354000+540000)-894000</f>
        <v>0</v>
      </c>
      <c r="H221" s="631">
        <f>(6000+3000)-9000</f>
        <v>0</v>
      </c>
      <c r="I221" s="631"/>
      <c r="J221" s="632">
        <f>L221+O221</f>
        <v>0</v>
      </c>
      <c r="K221" s="633"/>
      <c r="L221" s="631"/>
      <c r="M221" s="631"/>
      <c r="N221" s="631"/>
      <c r="O221" s="634">
        <f>K221</f>
        <v>0</v>
      </c>
      <c r="P221" s="632">
        <f>E221+J221</f>
        <v>0</v>
      </c>
      <c r="R221" s="277"/>
    </row>
    <row r="222" spans="1:18" ht="316.5" thickTop="1" thickBot="1" x14ac:dyDescent="0.25">
      <c r="A222" s="680" t="s">
        <v>25</v>
      </c>
      <c r="B222" s="680"/>
      <c r="C222" s="680"/>
      <c r="D222" s="681" t="s">
        <v>410</v>
      </c>
      <c r="E222" s="682">
        <f>E223</f>
        <v>3464607</v>
      </c>
      <c r="F222" s="683">
        <f t="shared" ref="F222:G222" si="163">F223</f>
        <v>3464607</v>
      </c>
      <c r="G222" s="683">
        <f t="shared" si="163"/>
        <v>2367850</v>
      </c>
      <c r="H222" s="683">
        <f>H223</f>
        <v>79370</v>
      </c>
      <c r="I222" s="683">
        <f t="shared" ref="I222" si="164">I223</f>
        <v>0</v>
      </c>
      <c r="J222" s="682">
        <f>J223</f>
        <v>86742536.510000005</v>
      </c>
      <c r="K222" s="683">
        <f>K223</f>
        <v>86742536.510000005</v>
      </c>
      <c r="L222" s="683">
        <f>L223</f>
        <v>0</v>
      </c>
      <c r="M222" s="683">
        <f t="shared" ref="M222" si="165">M223</f>
        <v>0</v>
      </c>
      <c r="N222" s="682">
        <f>N223</f>
        <v>0</v>
      </c>
      <c r="O222" s="682">
        <f>O223</f>
        <v>86742536.510000005</v>
      </c>
      <c r="P222" s="683">
        <f t="shared" ref="P222" si="166">P223</f>
        <v>90207143.510000005</v>
      </c>
    </row>
    <row r="223" spans="1:18" ht="181.5" thickTop="1" thickBot="1" x14ac:dyDescent="0.25">
      <c r="A223" s="684" t="s">
        <v>26</v>
      </c>
      <c r="B223" s="684"/>
      <c r="C223" s="684"/>
      <c r="D223" s="685" t="s">
        <v>1111</v>
      </c>
      <c r="E223" s="686">
        <f>E224+E228+E231</f>
        <v>3464607</v>
      </c>
      <c r="F223" s="686">
        <f t="shared" ref="F223:I223" si="167">F224+F228+F231</f>
        <v>3464607</v>
      </c>
      <c r="G223" s="686">
        <f t="shared" si="167"/>
        <v>2367850</v>
      </c>
      <c r="H223" s="686">
        <f t="shared" si="167"/>
        <v>79370</v>
      </c>
      <c r="I223" s="686">
        <f t="shared" si="167"/>
        <v>0</v>
      </c>
      <c r="J223" s="686">
        <f>L223+O223</f>
        <v>86742536.510000005</v>
      </c>
      <c r="K223" s="686">
        <f t="shared" ref="K223:O223" si="168">K224+K228+K231</f>
        <v>86742536.510000005</v>
      </c>
      <c r="L223" s="686">
        <f t="shared" si="168"/>
        <v>0</v>
      </c>
      <c r="M223" s="686">
        <f t="shared" si="168"/>
        <v>0</v>
      </c>
      <c r="N223" s="686">
        <f t="shared" si="168"/>
        <v>0</v>
      </c>
      <c r="O223" s="686">
        <f t="shared" si="168"/>
        <v>86742536.510000005</v>
      </c>
      <c r="P223" s="687">
        <f t="shared" ref="P223:P239" si="169">E223+J223</f>
        <v>90207143.510000005</v>
      </c>
      <c r="Q223" s="181" t="b">
        <f>P223=P235+P237+P238+P225+P239+P230+P236+P226+P233+P227</f>
        <v>1</v>
      </c>
      <c r="R223" s="317" t="e">
        <f>K223=#REF!</f>
        <v>#REF!</v>
      </c>
    </row>
    <row r="224" spans="1:18" ht="47.25" thickTop="1" thickBot="1" x14ac:dyDescent="0.25">
      <c r="A224" s="251" t="s">
        <v>1015</v>
      </c>
      <c r="B224" s="251" t="s">
        <v>880</v>
      </c>
      <c r="C224" s="251"/>
      <c r="D224" s="251" t="s">
        <v>881</v>
      </c>
      <c r="E224" s="796">
        <f t="shared" ref="E224:P224" si="170">SUM(E225:E227)</f>
        <v>3464607</v>
      </c>
      <c r="F224" s="796">
        <f t="shared" si="170"/>
        <v>3464607</v>
      </c>
      <c r="G224" s="796">
        <f t="shared" si="170"/>
        <v>2367850</v>
      </c>
      <c r="H224" s="796">
        <f t="shared" si="170"/>
        <v>79370</v>
      </c>
      <c r="I224" s="796">
        <f t="shared" si="170"/>
        <v>0</v>
      </c>
      <c r="J224" s="796">
        <f t="shared" si="170"/>
        <v>0</v>
      </c>
      <c r="K224" s="796">
        <f t="shared" si="170"/>
        <v>0</v>
      </c>
      <c r="L224" s="796">
        <f t="shared" si="170"/>
        <v>0</v>
      </c>
      <c r="M224" s="796">
        <f t="shared" si="170"/>
        <v>0</v>
      </c>
      <c r="N224" s="796">
        <f t="shared" si="170"/>
        <v>0</v>
      </c>
      <c r="O224" s="796">
        <f t="shared" si="170"/>
        <v>0</v>
      </c>
      <c r="P224" s="796">
        <f t="shared" si="170"/>
        <v>3464607</v>
      </c>
      <c r="Q224" s="181"/>
      <c r="R224" s="317"/>
    </row>
    <row r="225" spans="1:18" ht="230.25" thickTop="1" thickBot="1" x14ac:dyDescent="0.25">
      <c r="A225" s="795" t="s">
        <v>455</v>
      </c>
      <c r="B225" s="795" t="s">
        <v>261</v>
      </c>
      <c r="C225" s="795" t="s">
        <v>259</v>
      </c>
      <c r="D225" s="795" t="s">
        <v>260</v>
      </c>
      <c r="E225" s="796">
        <f>F225</f>
        <v>3309607</v>
      </c>
      <c r="F225" s="416">
        <f>(2367850+520950+61660+322000+2000+1570+24500+53300+1610+1075-5000)-145008-1000+1000+49750+17000+10000+20835+3015+1000+1500</f>
        <v>3309607</v>
      </c>
      <c r="G225" s="416">
        <v>2367850</v>
      </c>
      <c r="H225" s="416">
        <f>(1570+24500+53300)</f>
        <v>79370</v>
      </c>
      <c r="I225" s="416"/>
      <c r="J225" s="796">
        <f t="shared" ref="J225:J239" si="171">L225+O225</f>
        <v>0</v>
      </c>
      <c r="K225" s="416"/>
      <c r="L225" s="416"/>
      <c r="M225" s="416"/>
      <c r="N225" s="416"/>
      <c r="O225" s="797">
        <f>K225</f>
        <v>0</v>
      </c>
      <c r="P225" s="796">
        <f t="shared" si="169"/>
        <v>3309607</v>
      </c>
      <c r="Q225" s="276"/>
      <c r="R225" s="277"/>
    </row>
    <row r="226" spans="1:18" ht="184.5" thickTop="1" thickBot="1" x14ac:dyDescent="0.25">
      <c r="A226" s="804" t="s">
        <v>825</v>
      </c>
      <c r="B226" s="804" t="s">
        <v>398</v>
      </c>
      <c r="C226" s="804" t="s">
        <v>815</v>
      </c>
      <c r="D226" s="804" t="s">
        <v>816</v>
      </c>
      <c r="E226" s="418">
        <f>F226</f>
        <v>5000</v>
      </c>
      <c r="F226" s="247">
        <v>5000</v>
      </c>
      <c r="G226" s="247"/>
      <c r="H226" s="247"/>
      <c r="I226" s="247"/>
      <c r="J226" s="796">
        <f t="shared" si="171"/>
        <v>0</v>
      </c>
      <c r="K226" s="247"/>
      <c r="L226" s="248"/>
      <c r="M226" s="248"/>
      <c r="N226" s="248"/>
      <c r="O226" s="797">
        <f t="shared" ref="O226:O227" si="172">K226</f>
        <v>0</v>
      </c>
      <c r="P226" s="796">
        <f t="shared" ref="P226:P227" si="173">+J226+E226</f>
        <v>5000</v>
      </c>
      <c r="Q226" s="276"/>
      <c r="R226" s="277"/>
    </row>
    <row r="227" spans="1:18" ht="93" thickTop="1" thickBot="1" x14ac:dyDescent="0.25">
      <c r="A227" s="804" t="s">
        <v>1206</v>
      </c>
      <c r="B227" s="804" t="s">
        <v>45</v>
      </c>
      <c r="C227" s="804" t="s">
        <v>44</v>
      </c>
      <c r="D227" s="804" t="s">
        <v>273</v>
      </c>
      <c r="E227" s="418">
        <f>F227</f>
        <v>150000</v>
      </c>
      <c r="F227" s="247">
        <v>150000</v>
      </c>
      <c r="G227" s="247"/>
      <c r="H227" s="247"/>
      <c r="I227" s="247"/>
      <c r="J227" s="796">
        <f t="shared" si="171"/>
        <v>0</v>
      </c>
      <c r="K227" s="247"/>
      <c r="L227" s="248"/>
      <c r="M227" s="248"/>
      <c r="N227" s="248"/>
      <c r="O227" s="797">
        <f t="shared" si="172"/>
        <v>0</v>
      </c>
      <c r="P227" s="796">
        <f t="shared" si="173"/>
        <v>150000</v>
      </c>
      <c r="Q227" s="276"/>
      <c r="R227" s="277"/>
    </row>
    <row r="228" spans="1:18" ht="47.25" thickTop="1" thickBot="1" x14ac:dyDescent="0.25">
      <c r="A228" s="251" t="s">
        <v>1016</v>
      </c>
      <c r="B228" s="251" t="s">
        <v>971</v>
      </c>
      <c r="C228" s="795"/>
      <c r="D228" s="251" t="s">
        <v>972</v>
      </c>
      <c r="E228" s="418">
        <f>E229</f>
        <v>0</v>
      </c>
      <c r="F228" s="418">
        <f t="shared" ref="F228:P229" si="174">F229</f>
        <v>0</v>
      </c>
      <c r="G228" s="418">
        <f t="shared" si="174"/>
        <v>0</v>
      </c>
      <c r="H228" s="418">
        <f t="shared" si="174"/>
        <v>0</v>
      </c>
      <c r="I228" s="418">
        <f t="shared" si="174"/>
        <v>0</v>
      </c>
      <c r="J228" s="418">
        <f t="shared" si="174"/>
        <v>17000000</v>
      </c>
      <c r="K228" s="418">
        <f t="shared" si="174"/>
        <v>17000000</v>
      </c>
      <c r="L228" s="418">
        <f t="shared" si="174"/>
        <v>0</v>
      </c>
      <c r="M228" s="418">
        <f t="shared" si="174"/>
        <v>0</v>
      </c>
      <c r="N228" s="418">
        <f t="shared" si="174"/>
        <v>0</v>
      </c>
      <c r="O228" s="418">
        <f t="shared" si="174"/>
        <v>17000000</v>
      </c>
      <c r="P228" s="418">
        <f t="shared" si="174"/>
        <v>17000000</v>
      </c>
      <c r="Q228" s="276"/>
      <c r="R228" s="277"/>
    </row>
    <row r="229" spans="1:18" ht="93" thickTop="1" thickBot="1" x14ac:dyDescent="0.25">
      <c r="A229" s="552" t="s">
        <v>1017</v>
      </c>
      <c r="B229" s="552" t="s">
        <v>1018</v>
      </c>
      <c r="C229" s="552"/>
      <c r="D229" s="552" t="s">
        <v>1019</v>
      </c>
      <c r="E229" s="571">
        <f>E230</f>
        <v>0</v>
      </c>
      <c r="F229" s="571">
        <f t="shared" si="174"/>
        <v>0</v>
      </c>
      <c r="G229" s="571">
        <f t="shared" si="174"/>
        <v>0</v>
      </c>
      <c r="H229" s="571">
        <f t="shared" si="174"/>
        <v>0</v>
      </c>
      <c r="I229" s="571">
        <f t="shared" si="174"/>
        <v>0</v>
      </c>
      <c r="J229" s="571">
        <f t="shared" si="174"/>
        <v>17000000</v>
      </c>
      <c r="K229" s="571">
        <f t="shared" si="174"/>
        <v>17000000</v>
      </c>
      <c r="L229" s="571">
        <f t="shared" si="174"/>
        <v>0</v>
      </c>
      <c r="M229" s="571">
        <f t="shared" si="174"/>
        <v>0</v>
      </c>
      <c r="N229" s="571">
        <f t="shared" si="174"/>
        <v>0</v>
      </c>
      <c r="O229" s="571">
        <f t="shared" si="174"/>
        <v>17000000</v>
      </c>
      <c r="P229" s="571">
        <f t="shared" si="174"/>
        <v>17000000</v>
      </c>
      <c r="Q229" s="276"/>
      <c r="R229" s="277"/>
    </row>
    <row r="230" spans="1:18" ht="321.75" thickTop="1" thickBot="1" x14ac:dyDescent="0.25">
      <c r="A230" s="795" t="s">
        <v>473</v>
      </c>
      <c r="B230" s="795" t="s">
        <v>475</v>
      </c>
      <c r="C230" s="795" t="s">
        <v>220</v>
      </c>
      <c r="D230" s="795" t="s">
        <v>474</v>
      </c>
      <c r="E230" s="796">
        <f t="shared" ref="E230:E237" si="175">F230</f>
        <v>0</v>
      </c>
      <c r="F230" s="416"/>
      <c r="G230" s="416"/>
      <c r="H230" s="416"/>
      <c r="I230" s="416"/>
      <c r="J230" s="796">
        <f t="shared" si="171"/>
        <v>17000000</v>
      </c>
      <c r="K230" s="416">
        <f>(8000000+2000000+7000000)</f>
        <v>17000000</v>
      </c>
      <c r="L230" s="416"/>
      <c r="M230" s="416"/>
      <c r="N230" s="416"/>
      <c r="O230" s="797">
        <f t="shared" ref="O230" si="176">K230</f>
        <v>17000000</v>
      </c>
      <c r="P230" s="796">
        <f t="shared" si="169"/>
        <v>17000000</v>
      </c>
      <c r="Q230" s="276"/>
      <c r="R230" s="317" t="e">
        <f>K230=#REF!</f>
        <v>#REF!</v>
      </c>
    </row>
    <row r="231" spans="1:18" ht="47.25" thickTop="1" thickBot="1" x14ac:dyDescent="0.25">
      <c r="A231" s="251" t="s">
        <v>1020</v>
      </c>
      <c r="B231" s="251" t="s">
        <v>948</v>
      </c>
      <c r="C231" s="795"/>
      <c r="D231" s="251" t="s">
        <v>995</v>
      </c>
      <c r="E231" s="796">
        <f>E232</f>
        <v>0</v>
      </c>
      <c r="F231" s="796">
        <f t="shared" ref="F231:P231" si="177">F232</f>
        <v>0</v>
      </c>
      <c r="G231" s="796">
        <f t="shared" si="177"/>
        <v>0</v>
      </c>
      <c r="H231" s="796">
        <f t="shared" si="177"/>
        <v>0</v>
      </c>
      <c r="I231" s="796">
        <f t="shared" si="177"/>
        <v>0</v>
      </c>
      <c r="J231" s="796">
        <f t="shared" si="177"/>
        <v>69742536.510000005</v>
      </c>
      <c r="K231" s="796">
        <f t="shared" si="177"/>
        <v>69742536.510000005</v>
      </c>
      <c r="L231" s="796">
        <f t="shared" si="177"/>
        <v>0</v>
      </c>
      <c r="M231" s="796">
        <f t="shared" si="177"/>
        <v>0</v>
      </c>
      <c r="N231" s="796">
        <f t="shared" si="177"/>
        <v>0</v>
      </c>
      <c r="O231" s="796">
        <f t="shared" si="177"/>
        <v>69742536.510000005</v>
      </c>
      <c r="P231" s="796">
        <f t="shared" si="177"/>
        <v>69742536.510000005</v>
      </c>
      <c r="Q231" s="276"/>
      <c r="R231" s="277"/>
    </row>
    <row r="232" spans="1:18" ht="91.5" thickTop="1" thickBot="1" x14ac:dyDescent="0.25">
      <c r="A232" s="557" t="s">
        <v>1021</v>
      </c>
      <c r="B232" s="557" t="s">
        <v>1004</v>
      </c>
      <c r="C232" s="557"/>
      <c r="D232" s="557" t="s">
        <v>1005</v>
      </c>
      <c r="E232" s="555">
        <f t="shared" ref="E232:P232" si="178">SUM(E233:E239)-E234</f>
        <v>0</v>
      </c>
      <c r="F232" s="555">
        <f t="shared" si="178"/>
        <v>0</v>
      </c>
      <c r="G232" s="555">
        <f t="shared" si="178"/>
        <v>0</v>
      </c>
      <c r="H232" s="555">
        <f t="shared" si="178"/>
        <v>0</v>
      </c>
      <c r="I232" s="555">
        <f t="shared" si="178"/>
        <v>0</v>
      </c>
      <c r="J232" s="555">
        <f t="shared" si="178"/>
        <v>69742536.510000005</v>
      </c>
      <c r="K232" s="555">
        <f t="shared" si="178"/>
        <v>69742536.510000005</v>
      </c>
      <c r="L232" s="555">
        <f t="shared" si="178"/>
        <v>0</v>
      </c>
      <c r="M232" s="555">
        <f t="shared" si="178"/>
        <v>0</v>
      </c>
      <c r="N232" s="555">
        <f t="shared" si="178"/>
        <v>0</v>
      </c>
      <c r="O232" s="555">
        <f t="shared" si="178"/>
        <v>69742536.510000005</v>
      </c>
      <c r="P232" s="555">
        <f t="shared" si="178"/>
        <v>69742536.510000005</v>
      </c>
      <c r="Q232" s="276"/>
      <c r="R232" s="277"/>
    </row>
    <row r="233" spans="1:18" ht="99.75" thickTop="1" thickBot="1" x14ac:dyDescent="0.25">
      <c r="A233" s="795" t="s">
        <v>1205</v>
      </c>
      <c r="B233" s="795" t="s">
        <v>331</v>
      </c>
      <c r="C233" s="795" t="s">
        <v>330</v>
      </c>
      <c r="D233" s="795" t="s">
        <v>817</v>
      </c>
      <c r="E233" s="796">
        <f t="shared" ref="E233" si="179">F233</f>
        <v>0</v>
      </c>
      <c r="F233" s="416"/>
      <c r="G233" s="416"/>
      <c r="H233" s="416"/>
      <c r="I233" s="416"/>
      <c r="J233" s="796">
        <f t="shared" ref="J233" si="180">L233+O233</f>
        <v>36872.51</v>
      </c>
      <c r="K233" s="416">
        <v>36872.51</v>
      </c>
      <c r="L233" s="416"/>
      <c r="M233" s="416"/>
      <c r="N233" s="416"/>
      <c r="O233" s="797">
        <f>K233</f>
        <v>36872.51</v>
      </c>
      <c r="P233" s="796">
        <f t="shared" ref="P233" si="181">E233+J233</f>
        <v>36872.51</v>
      </c>
      <c r="Q233" s="276"/>
      <c r="R233" s="317" t="e">
        <f>K233=#REF!</f>
        <v>#REF!</v>
      </c>
    </row>
    <row r="234" spans="1:18" ht="146.25" thickTop="1" thickBot="1" x14ac:dyDescent="0.25">
      <c r="A234" s="552" t="s">
        <v>1022</v>
      </c>
      <c r="B234" s="552" t="s">
        <v>1023</v>
      </c>
      <c r="C234" s="552"/>
      <c r="D234" s="552" t="s">
        <v>1024</v>
      </c>
      <c r="E234" s="553">
        <f>SUM(E235:E236)</f>
        <v>0</v>
      </c>
      <c r="F234" s="553">
        <f t="shared" ref="F234:P234" si="182">SUM(F235:F236)</f>
        <v>0</v>
      </c>
      <c r="G234" s="553">
        <f t="shared" si="182"/>
        <v>0</v>
      </c>
      <c r="H234" s="553">
        <f t="shared" si="182"/>
        <v>0</v>
      </c>
      <c r="I234" s="553">
        <f t="shared" si="182"/>
        <v>0</v>
      </c>
      <c r="J234" s="553">
        <f t="shared" si="182"/>
        <v>23058897</v>
      </c>
      <c r="K234" s="553">
        <f t="shared" si="182"/>
        <v>23058897</v>
      </c>
      <c r="L234" s="553">
        <f t="shared" si="182"/>
        <v>0</v>
      </c>
      <c r="M234" s="553">
        <f t="shared" si="182"/>
        <v>0</v>
      </c>
      <c r="N234" s="553">
        <f t="shared" si="182"/>
        <v>0</v>
      </c>
      <c r="O234" s="553">
        <f t="shared" si="182"/>
        <v>23058897</v>
      </c>
      <c r="P234" s="553">
        <f t="shared" si="182"/>
        <v>23058897</v>
      </c>
      <c r="Q234" s="276"/>
      <c r="R234" s="277"/>
    </row>
    <row r="235" spans="1:18" ht="99.75" thickTop="1" thickBot="1" x14ac:dyDescent="0.25">
      <c r="A235" s="795" t="s">
        <v>340</v>
      </c>
      <c r="B235" s="795" t="s">
        <v>341</v>
      </c>
      <c r="C235" s="795" t="s">
        <v>330</v>
      </c>
      <c r="D235" s="795" t="s">
        <v>818</v>
      </c>
      <c r="E235" s="796">
        <f t="shared" si="175"/>
        <v>0</v>
      </c>
      <c r="F235" s="416"/>
      <c r="G235" s="416"/>
      <c r="H235" s="416"/>
      <c r="I235" s="416"/>
      <c r="J235" s="796">
        <f t="shared" si="171"/>
        <v>22858897</v>
      </c>
      <c r="K235" s="416">
        <f>(6855987)+16002910</f>
        <v>22858897</v>
      </c>
      <c r="L235" s="416"/>
      <c r="M235" s="416"/>
      <c r="N235" s="416"/>
      <c r="O235" s="797">
        <f>K235</f>
        <v>22858897</v>
      </c>
      <c r="P235" s="796">
        <f t="shared" si="169"/>
        <v>22858897</v>
      </c>
      <c r="Q235" s="267"/>
      <c r="R235" s="317" t="e">
        <f>K235=#REF!+#REF!+#REF!+#REF!</f>
        <v>#REF!</v>
      </c>
    </row>
    <row r="236" spans="1:18" ht="99.75" thickTop="1" thickBot="1" x14ac:dyDescent="0.25">
      <c r="A236" s="795" t="s">
        <v>575</v>
      </c>
      <c r="B236" s="795" t="s">
        <v>576</v>
      </c>
      <c r="C236" s="795" t="s">
        <v>330</v>
      </c>
      <c r="D236" s="795" t="s">
        <v>819</v>
      </c>
      <c r="E236" s="796">
        <f t="shared" si="175"/>
        <v>0</v>
      </c>
      <c r="F236" s="416"/>
      <c r="G236" s="416"/>
      <c r="H236" s="416"/>
      <c r="I236" s="416"/>
      <c r="J236" s="796">
        <f t="shared" si="171"/>
        <v>200000</v>
      </c>
      <c r="K236" s="416">
        <v>200000</v>
      </c>
      <c r="L236" s="416"/>
      <c r="M236" s="416"/>
      <c r="N236" s="416"/>
      <c r="O236" s="797">
        <f>K236</f>
        <v>200000</v>
      </c>
      <c r="P236" s="796">
        <f t="shared" si="169"/>
        <v>200000</v>
      </c>
      <c r="Q236" s="267"/>
      <c r="R236" s="317" t="e">
        <f>K236=#REF!</f>
        <v>#REF!</v>
      </c>
    </row>
    <row r="237" spans="1:18" ht="145.5" hidden="1" thickTop="1" thickBot="1" x14ac:dyDescent="0.25">
      <c r="A237" s="795" t="s">
        <v>342</v>
      </c>
      <c r="B237" s="795" t="s">
        <v>343</v>
      </c>
      <c r="C237" s="795" t="s">
        <v>330</v>
      </c>
      <c r="D237" s="795" t="s">
        <v>820</v>
      </c>
      <c r="E237" s="796">
        <f t="shared" si="175"/>
        <v>0</v>
      </c>
      <c r="F237" s="416"/>
      <c r="G237" s="416"/>
      <c r="H237" s="416"/>
      <c r="I237" s="416"/>
      <c r="J237" s="796">
        <f t="shared" si="171"/>
        <v>0</v>
      </c>
      <c r="K237" s="416">
        <v>0</v>
      </c>
      <c r="L237" s="416"/>
      <c r="M237" s="416"/>
      <c r="N237" s="416"/>
      <c r="O237" s="797">
        <f>K237</f>
        <v>0</v>
      </c>
      <c r="P237" s="796">
        <f t="shared" si="169"/>
        <v>0</v>
      </c>
      <c r="Q237" s="267"/>
    </row>
    <row r="238" spans="1:18" ht="99.75" thickTop="1" thickBot="1" x14ac:dyDescent="0.3">
      <c r="A238" s="795" t="s">
        <v>344</v>
      </c>
      <c r="B238" s="795" t="s">
        <v>345</v>
      </c>
      <c r="C238" s="795" t="s">
        <v>330</v>
      </c>
      <c r="D238" s="795" t="s">
        <v>821</v>
      </c>
      <c r="E238" s="796">
        <f>F238</f>
        <v>0</v>
      </c>
      <c r="F238" s="416"/>
      <c r="G238" s="416"/>
      <c r="H238" s="416"/>
      <c r="I238" s="416"/>
      <c r="J238" s="796">
        <f t="shared" si="171"/>
        <v>16565465</v>
      </c>
      <c r="K238" s="416">
        <f>(9126836+5000000+370000)+2068629</f>
        <v>16565465</v>
      </c>
      <c r="L238" s="416"/>
      <c r="M238" s="416"/>
      <c r="N238" s="416"/>
      <c r="O238" s="797">
        <f>K238</f>
        <v>16565465</v>
      </c>
      <c r="P238" s="796">
        <f t="shared" si="169"/>
        <v>16565465</v>
      </c>
      <c r="Q238" s="279"/>
      <c r="R238" s="317" t="e">
        <f>K238=#REF!+#REF!+#REF!+#REF!+#REF!+#REF!+#REF!+#REF!+#REF!+#REF!</f>
        <v>#REF!</v>
      </c>
    </row>
    <row r="239" spans="1:18" ht="138.75" thickTop="1" thickBot="1" x14ac:dyDescent="0.25">
      <c r="A239" s="795" t="s">
        <v>479</v>
      </c>
      <c r="B239" s="795" t="s">
        <v>384</v>
      </c>
      <c r="C239" s="795" t="s">
        <v>191</v>
      </c>
      <c r="D239" s="795" t="s">
        <v>287</v>
      </c>
      <c r="E239" s="796">
        <f>F239</f>
        <v>0</v>
      </c>
      <c r="F239" s="416"/>
      <c r="G239" s="416"/>
      <c r="H239" s="416"/>
      <c r="I239" s="416"/>
      <c r="J239" s="796">
        <f t="shared" si="171"/>
        <v>30081302</v>
      </c>
      <c r="K239" s="416">
        <f>(23737852+6343450)</f>
        <v>30081302</v>
      </c>
      <c r="L239" s="416"/>
      <c r="M239" s="416"/>
      <c r="N239" s="416"/>
      <c r="O239" s="797">
        <f>K239</f>
        <v>30081302</v>
      </c>
      <c r="P239" s="796">
        <f t="shared" si="169"/>
        <v>30081302</v>
      </c>
      <c r="R239" s="317" t="e">
        <f>K239=#REF!</f>
        <v>#REF!</v>
      </c>
    </row>
    <row r="240" spans="1:18" ht="181.5" thickTop="1" thickBot="1" x14ac:dyDescent="0.25">
      <c r="A240" s="680" t="s">
        <v>181</v>
      </c>
      <c r="B240" s="680"/>
      <c r="C240" s="680"/>
      <c r="D240" s="681" t="s">
        <v>1112</v>
      </c>
      <c r="E240" s="682">
        <f>E241</f>
        <v>6735615</v>
      </c>
      <c r="F240" s="683">
        <f t="shared" ref="F240:G240" si="183">F241</f>
        <v>6735615</v>
      </c>
      <c r="G240" s="683">
        <f t="shared" si="183"/>
        <v>4925575</v>
      </c>
      <c r="H240" s="683">
        <f>H241</f>
        <v>129045</v>
      </c>
      <c r="I240" s="683">
        <f t="shared" ref="I240" si="184">I241</f>
        <v>0</v>
      </c>
      <c r="J240" s="682">
        <f>J241</f>
        <v>751000</v>
      </c>
      <c r="K240" s="683">
        <f>K241</f>
        <v>751000</v>
      </c>
      <c r="L240" s="683">
        <f>L241</f>
        <v>0</v>
      </c>
      <c r="M240" s="683">
        <f t="shared" ref="M240" si="185">M241</f>
        <v>0</v>
      </c>
      <c r="N240" s="682">
        <f>N241</f>
        <v>0</v>
      </c>
      <c r="O240" s="682">
        <f>O241</f>
        <v>751000</v>
      </c>
      <c r="P240" s="683">
        <f t="shared" ref="P240" si="186">P241</f>
        <v>7486615</v>
      </c>
    </row>
    <row r="241" spans="1:18" ht="181.5" thickTop="1" thickBot="1" x14ac:dyDescent="0.25">
      <c r="A241" s="684" t="s">
        <v>182</v>
      </c>
      <c r="B241" s="684"/>
      <c r="C241" s="684"/>
      <c r="D241" s="685" t="s">
        <v>1113</v>
      </c>
      <c r="E241" s="686">
        <f>E242+E245</f>
        <v>6735615</v>
      </c>
      <c r="F241" s="686">
        <f>F242+F245</f>
        <v>6735615</v>
      </c>
      <c r="G241" s="686">
        <f>G242+G245</f>
        <v>4925575</v>
      </c>
      <c r="H241" s="686">
        <f>H242+H245</f>
        <v>129045</v>
      </c>
      <c r="I241" s="686">
        <f>I242+I245</f>
        <v>0</v>
      </c>
      <c r="J241" s="686">
        <f>L241+O241</f>
        <v>751000</v>
      </c>
      <c r="K241" s="686">
        <f>K242+K245</f>
        <v>751000</v>
      </c>
      <c r="L241" s="686">
        <f>L242+L245</f>
        <v>0</v>
      </c>
      <c r="M241" s="686">
        <f>M242+M245</f>
        <v>0</v>
      </c>
      <c r="N241" s="686">
        <f>N242+N245</f>
        <v>0</v>
      </c>
      <c r="O241" s="686">
        <f>O242+O245</f>
        <v>751000</v>
      </c>
      <c r="P241" s="687">
        <f>E241+J241</f>
        <v>7486615</v>
      </c>
      <c r="Q241" s="181" t="b">
        <f>P241=P243+P244+P247</f>
        <v>1</v>
      </c>
      <c r="R241" s="317" t="e">
        <f>K241=#REF!</f>
        <v>#REF!</v>
      </c>
    </row>
    <row r="242" spans="1:18" ht="47.25" thickTop="1" thickBot="1" x14ac:dyDescent="0.25">
      <c r="A242" s="251" t="s">
        <v>1025</v>
      </c>
      <c r="B242" s="251" t="s">
        <v>880</v>
      </c>
      <c r="C242" s="251"/>
      <c r="D242" s="251" t="s">
        <v>881</v>
      </c>
      <c r="E242" s="796">
        <f>SUM(E243:E244)</f>
        <v>6735615</v>
      </c>
      <c r="F242" s="796">
        <f t="shared" ref="F242:P242" si="187">SUM(F243:F244)</f>
        <v>6735615</v>
      </c>
      <c r="G242" s="796">
        <f t="shared" si="187"/>
        <v>4925575</v>
      </c>
      <c r="H242" s="796">
        <f t="shared" si="187"/>
        <v>129045</v>
      </c>
      <c r="I242" s="796">
        <f t="shared" si="187"/>
        <v>0</v>
      </c>
      <c r="J242" s="796">
        <f t="shared" si="187"/>
        <v>140000</v>
      </c>
      <c r="K242" s="796">
        <f t="shared" si="187"/>
        <v>140000</v>
      </c>
      <c r="L242" s="796">
        <f t="shared" si="187"/>
        <v>0</v>
      </c>
      <c r="M242" s="796">
        <f t="shared" si="187"/>
        <v>0</v>
      </c>
      <c r="N242" s="796">
        <f t="shared" si="187"/>
        <v>0</v>
      </c>
      <c r="O242" s="796">
        <f t="shared" si="187"/>
        <v>140000</v>
      </c>
      <c r="P242" s="796">
        <f t="shared" si="187"/>
        <v>6875615</v>
      </c>
      <c r="Q242" s="181"/>
      <c r="R242" s="317"/>
    </row>
    <row r="243" spans="1:18" ht="230.25" thickTop="1" thickBot="1" x14ac:dyDescent="0.25">
      <c r="A243" s="795" t="s">
        <v>457</v>
      </c>
      <c r="B243" s="795" t="s">
        <v>261</v>
      </c>
      <c r="C243" s="795" t="s">
        <v>259</v>
      </c>
      <c r="D243" s="795" t="s">
        <v>260</v>
      </c>
      <c r="E243" s="796">
        <f>F243</f>
        <v>6728615</v>
      </c>
      <c r="F243" s="416">
        <f>(6523715-7000)+55900+140000+16000</f>
        <v>6728615</v>
      </c>
      <c r="G243" s="416">
        <v>4925575</v>
      </c>
      <c r="H243" s="416">
        <f>(97095+1950+30000)</f>
        <v>129045</v>
      </c>
      <c r="I243" s="416"/>
      <c r="J243" s="796">
        <f>L243+O243</f>
        <v>140000</v>
      </c>
      <c r="K243" s="416">
        <v>140000</v>
      </c>
      <c r="L243" s="416"/>
      <c r="M243" s="416"/>
      <c r="N243" s="416"/>
      <c r="O243" s="797">
        <f>K243</f>
        <v>140000</v>
      </c>
      <c r="P243" s="796">
        <f>E243+J243</f>
        <v>6868615</v>
      </c>
      <c r="Q243" s="276"/>
      <c r="R243" s="317" t="e">
        <f>K243=#REF!</f>
        <v>#REF!</v>
      </c>
    </row>
    <row r="244" spans="1:18" ht="184.5" thickTop="1" thickBot="1" x14ac:dyDescent="0.25">
      <c r="A244" s="795" t="s">
        <v>826</v>
      </c>
      <c r="B244" s="795" t="s">
        <v>398</v>
      </c>
      <c r="C244" s="795" t="s">
        <v>815</v>
      </c>
      <c r="D244" s="795" t="s">
        <v>816</v>
      </c>
      <c r="E244" s="418">
        <f>F244</f>
        <v>7000</v>
      </c>
      <c r="F244" s="247">
        <v>7000</v>
      </c>
      <c r="G244" s="247"/>
      <c r="H244" s="247"/>
      <c r="I244" s="247"/>
      <c r="J244" s="796">
        <f t="shared" ref="J244" si="188">L244+O244</f>
        <v>0</v>
      </c>
      <c r="K244" s="247"/>
      <c r="L244" s="248"/>
      <c r="M244" s="248"/>
      <c r="N244" s="248"/>
      <c r="O244" s="797">
        <f t="shared" ref="O244" si="189">K244</f>
        <v>0</v>
      </c>
      <c r="P244" s="796">
        <f t="shared" ref="P244" si="190">+J244+E244</f>
        <v>7000</v>
      </c>
      <c r="Q244" s="276"/>
      <c r="R244" s="317"/>
    </row>
    <row r="245" spans="1:18" ht="47.25" thickTop="1" thickBot="1" x14ac:dyDescent="0.25">
      <c r="A245" s="251" t="s">
        <v>1162</v>
      </c>
      <c r="B245" s="251" t="s">
        <v>948</v>
      </c>
      <c r="C245" s="795"/>
      <c r="D245" s="251" t="s">
        <v>995</v>
      </c>
      <c r="E245" s="796">
        <f>E246</f>
        <v>0</v>
      </c>
      <c r="F245" s="796">
        <f t="shared" ref="F245:P246" si="191">F246</f>
        <v>0</v>
      </c>
      <c r="G245" s="796">
        <f t="shared" si="191"/>
        <v>0</v>
      </c>
      <c r="H245" s="796">
        <f t="shared" si="191"/>
        <v>0</v>
      </c>
      <c r="I245" s="796">
        <f t="shared" si="191"/>
        <v>0</v>
      </c>
      <c r="J245" s="796">
        <f t="shared" si="191"/>
        <v>611000</v>
      </c>
      <c r="K245" s="796">
        <f t="shared" si="191"/>
        <v>611000</v>
      </c>
      <c r="L245" s="796">
        <f t="shared" si="191"/>
        <v>0</v>
      </c>
      <c r="M245" s="796">
        <f t="shared" si="191"/>
        <v>0</v>
      </c>
      <c r="N245" s="796">
        <f t="shared" si="191"/>
        <v>0</v>
      </c>
      <c r="O245" s="796">
        <f t="shared" si="191"/>
        <v>611000</v>
      </c>
      <c r="P245" s="796">
        <f t="shared" si="191"/>
        <v>611000</v>
      </c>
      <c r="Q245" s="276"/>
      <c r="R245" s="317"/>
    </row>
    <row r="246" spans="1:18" ht="91.5" thickTop="1" thickBot="1" x14ac:dyDescent="0.25">
      <c r="A246" s="557" t="s">
        <v>1163</v>
      </c>
      <c r="B246" s="557" t="s">
        <v>1004</v>
      </c>
      <c r="C246" s="557"/>
      <c r="D246" s="557" t="s">
        <v>1005</v>
      </c>
      <c r="E246" s="555">
        <f>E247</f>
        <v>0</v>
      </c>
      <c r="F246" s="555">
        <f t="shared" si="191"/>
        <v>0</v>
      </c>
      <c r="G246" s="555">
        <f t="shared" si="191"/>
        <v>0</v>
      </c>
      <c r="H246" s="555">
        <f t="shared" si="191"/>
        <v>0</v>
      </c>
      <c r="I246" s="555">
        <f t="shared" si="191"/>
        <v>0</v>
      </c>
      <c r="J246" s="555">
        <f t="shared" si="191"/>
        <v>611000</v>
      </c>
      <c r="K246" s="555">
        <f t="shared" si="191"/>
        <v>611000</v>
      </c>
      <c r="L246" s="555">
        <f t="shared" si="191"/>
        <v>0</v>
      </c>
      <c r="M246" s="555">
        <f t="shared" si="191"/>
        <v>0</v>
      </c>
      <c r="N246" s="555">
        <f t="shared" si="191"/>
        <v>0</v>
      </c>
      <c r="O246" s="555">
        <f t="shared" si="191"/>
        <v>611000</v>
      </c>
      <c r="P246" s="555">
        <f t="shared" si="191"/>
        <v>611000</v>
      </c>
      <c r="Q246" s="276"/>
      <c r="R246" s="317"/>
    </row>
    <row r="247" spans="1:18" ht="138.75" thickTop="1" thickBot="1" x14ac:dyDescent="0.25">
      <c r="A247" s="795" t="s">
        <v>1164</v>
      </c>
      <c r="B247" s="795" t="s">
        <v>1165</v>
      </c>
      <c r="C247" s="795" t="s">
        <v>330</v>
      </c>
      <c r="D247" s="795" t="s">
        <v>1166</v>
      </c>
      <c r="E247" s="418">
        <f>F247</f>
        <v>0</v>
      </c>
      <c r="F247" s="247"/>
      <c r="G247" s="247"/>
      <c r="H247" s="247"/>
      <c r="I247" s="247"/>
      <c r="J247" s="796">
        <f t="shared" ref="J247" si="192">L247+O247</f>
        <v>611000</v>
      </c>
      <c r="K247" s="247">
        <v>611000</v>
      </c>
      <c r="L247" s="248"/>
      <c r="M247" s="248"/>
      <c r="N247" s="248"/>
      <c r="O247" s="797">
        <f t="shared" ref="O247" si="193">K247</f>
        <v>611000</v>
      </c>
      <c r="P247" s="796">
        <f t="shared" ref="P247" si="194">+J247+E247</f>
        <v>611000</v>
      </c>
      <c r="Q247" s="276"/>
      <c r="R247" s="317" t="e">
        <f>K247=#REF!+#REF!</f>
        <v>#REF!</v>
      </c>
    </row>
    <row r="248" spans="1:18" ht="136.5" thickTop="1" thickBot="1" x14ac:dyDescent="0.25">
      <c r="A248" s="680" t="s">
        <v>487</v>
      </c>
      <c r="B248" s="680"/>
      <c r="C248" s="680"/>
      <c r="D248" s="681" t="s">
        <v>489</v>
      </c>
      <c r="E248" s="682">
        <f>E249</f>
        <v>58096583</v>
      </c>
      <c r="F248" s="683">
        <f t="shared" ref="F248:G248" si="195">F249</f>
        <v>58096583</v>
      </c>
      <c r="G248" s="683">
        <f t="shared" si="195"/>
        <v>2452610</v>
      </c>
      <c r="H248" s="683">
        <f>H249</f>
        <v>65145</v>
      </c>
      <c r="I248" s="683">
        <f t="shared" ref="I248" si="196">I249</f>
        <v>0</v>
      </c>
      <c r="J248" s="682">
        <f>J249</f>
        <v>36000</v>
      </c>
      <c r="K248" s="683">
        <f>K249</f>
        <v>36000</v>
      </c>
      <c r="L248" s="683">
        <f>L249</f>
        <v>0</v>
      </c>
      <c r="M248" s="683">
        <f t="shared" ref="M248" si="197">M249</f>
        <v>0</v>
      </c>
      <c r="N248" s="682">
        <f>N249</f>
        <v>0</v>
      </c>
      <c r="O248" s="682">
        <f>O249</f>
        <v>36000</v>
      </c>
      <c r="P248" s="683">
        <f t="shared" ref="P248" si="198">P249</f>
        <v>58132583</v>
      </c>
    </row>
    <row r="249" spans="1:18" ht="181.5" thickTop="1" thickBot="1" x14ac:dyDescent="0.25">
      <c r="A249" s="684" t="s">
        <v>488</v>
      </c>
      <c r="B249" s="684"/>
      <c r="C249" s="684"/>
      <c r="D249" s="685" t="s">
        <v>490</v>
      </c>
      <c r="E249" s="686">
        <f>E250+E254</f>
        <v>58096583</v>
      </c>
      <c r="F249" s="686">
        <f t="shared" ref="F249:I249" si="199">F250+F254</f>
        <v>58096583</v>
      </c>
      <c r="G249" s="686">
        <f t="shared" si="199"/>
        <v>2452610</v>
      </c>
      <c r="H249" s="686">
        <f t="shared" si="199"/>
        <v>65145</v>
      </c>
      <c r="I249" s="686">
        <f t="shared" si="199"/>
        <v>0</v>
      </c>
      <c r="J249" s="686">
        <f>L249+O249</f>
        <v>36000</v>
      </c>
      <c r="K249" s="686">
        <f t="shared" ref="K249:O249" si="200">K250+K254</f>
        <v>36000</v>
      </c>
      <c r="L249" s="686">
        <f t="shared" si="200"/>
        <v>0</v>
      </c>
      <c r="M249" s="686">
        <f t="shared" si="200"/>
        <v>0</v>
      </c>
      <c r="N249" s="686">
        <f t="shared" si="200"/>
        <v>0</v>
      </c>
      <c r="O249" s="686">
        <f t="shared" si="200"/>
        <v>36000</v>
      </c>
      <c r="P249" s="687">
        <f>E249+J249</f>
        <v>58132583</v>
      </c>
      <c r="Q249" s="181" t="b">
        <f>P249=P251+P253+P257+P252</f>
        <v>1</v>
      </c>
      <c r="R249" s="317" t="e">
        <f>K249=#REF!</f>
        <v>#REF!</v>
      </c>
    </row>
    <row r="250" spans="1:18" ht="47.25" thickTop="1" thickBot="1" x14ac:dyDescent="0.25">
      <c r="A250" s="251" t="s">
        <v>1026</v>
      </c>
      <c r="B250" s="251" t="s">
        <v>880</v>
      </c>
      <c r="C250" s="251"/>
      <c r="D250" s="251" t="s">
        <v>881</v>
      </c>
      <c r="E250" s="796">
        <f>SUM(E251:E252)</f>
        <v>3591510</v>
      </c>
      <c r="F250" s="796">
        <f t="shared" ref="F250:P250" si="201">SUM(F251:F252)</f>
        <v>3591510</v>
      </c>
      <c r="G250" s="796">
        <f t="shared" si="201"/>
        <v>2452610</v>
      </c>
      <c r="H250" s="796">
        <f t="shared" si="201"/>
        <v>65145</v>
      </c>
      <c r="I250" s="796">
        <f t="shared" si="201"/>
        <v>0</v>
      </c>
      <c r="J250" s="796">
        <f t="shared" si="201"/>
        <v>36000</v>
      </c>
      <c r="K250" s="796">
        <f t="shared" si="201"/>
        <v>36000</v>
      </c>
      <c r="L250" s="796">
        <f t="shared" si="201"/>
        <v>0</v>
      </c>
      <c r="M250" s="796">
        <f t="shared" si="201"/>
        <v>0</v>
      </c>
      <c r="N250" s="796">
        <f t="shared" si="201"/>
        <v>0</v>
      </c>
      <c r="O250" s="796">
        <f t="shared" si="201"/>
        <v>36000</v>
      </c>
      <c r="P250" s="796">
        <f t="shared" si="201"/>
        <v>3627510</v>
      </c>
      <c r="Q250" s="181"/>
      <c r="R250" s="317"/>
    </row>
    <row r="251" spans="1:18" ht="230.25" thickTop="1" thickBot="1" x14ac:dyDescent="0.25">
      <c r="A251" s="795" t="s">
        <v>491</v>
      </c>
      <c r="B251" s="795" t="s">
        <v>261</v>
      </c>
      <c r="C251" s="795" t="s">
        <v>259</v>
      </c>
      <c r="D251" s="795" t="s">
        <v>260</v>
      </c>
      <c r="E251" s="796">
        <f>F251</f>
        <v>3586430</v>
      </c>
      <c r="F251" s="416">
        <f>(3546620-5080)+240240+4650-200000</f>
        <v>3586430</v>
      </c>
      <c r="G251" s="416">
        <v>2452610</v>
      </c>
      <c r="H251" s="416">
        <f>(40290+1200+22400+1255)</f>
        <v>65145</v>
      </c>
      <c r="I251" s="416"/>
      <c r="J251" s="796">
        <f>L251+O251</f>
        <v>36000</v>
      </c>
      <c r="K251" s="416">
        <f>(18000)+18000</f>
        <v>36000</v>
      </c>
      <c r="L251" s="416"/>
      <c r="M251" s="416"/>
      <c r="N251" s="416"/>
      <c r="O251" s="797">
        <f>K251</f>
        <v>36000</v>
      </c>
      <c r="P251" s="796">
        <f>E251+J251</f>
        <v>3622430</v>
      </c>
      <c r="Q251" s="276"/>
      <c r="R251" s="317" t="e">
        <f>K251=#REF!</f>
        <v>#REF!</v>
      </c>
    </row>
    <row r="252" spans="1:18" ht="184.5" thickTop="1" thickBot="1" x14ac:dyDescent="0.25">
      <c r="A252" s="795" t="s">
        <v>827</v>
      </c>
      <c r="B252" s="795" t="s">
        <v>398</v>
      </c>
      <c r="C252" s="795" t="s">
        <v>815</v>
      </c>
      <c r="D252" s="795" t="s">
        <v>816</v>
      </c>
      <c r="E252" s="418">
        <f>F252</f>
        <v>5080</v>
      </c>
      <c r="F252" s="247">
        <v>5080</v>
      </c>
      <c r="G252" s="247"/>
      <c r="H252" s="247"/>
      <c r="I252" s="247"/>
      <c r="J252" s="796">
        <f t="shared" ref="J252" si="202">L252+O252</f>
        <v>0</v>
      </c>
      <c r="K252" s="247"/>
      <c r="L252" s="248"/>
      <c r="M252" s="248"/>
      <c r="N252" s="248"/>
      <c r="O252" s="797">
        <f t="shared" ref="O252" si="203">K252</f>
        <v>0</v>
      </c>
      <c r="P252" s="796">
        <f t="shared" ref="P252" si="204">+J252+E252</f>
        <v>5080</v>
      </c>
      <c r="Q252" s="276"/>
      <c r="R252" s="317"/>
    </row>
    <row r="253" spans="1:18" ht="93" hidden="1" thickTop="1" thickBot="1" x14ac:dyDescent="0.25">
      <c r="A253" s="264" t="s">
        <v>515</v>
      </c>
      <c r="B253" s="264" t="s">
        <v>450</v>
      </c>
      <c r="C253" s="264" t="s">
        <v>451</v>
      </c>
      <c r="D253" s="264" t="s">
        <v>452</v>
      </c>
      <c r="E253" s="391">
        <f>F253</f>
        <v>0</v>
      </c>
      <c r="F253" s="392">
        <f>(34016813)-19850000-9713396-4453417</f>
        <v>0</v>
      </c>
      <c r="G253" s="392"/>
      <c r="H253" s="392"/>
      <c r="I253" s="392"/>
      <c r="J253" s="391">
        <f>L253+O253</f>
        <v>0</v>
      </c>
      <c r="K253" s="392"/>
      <c r="L253" s="392"/>
      <c r="M253" s="392"/>
      <c r="N253" s="392"/>
      <c r="O253" s="393">
        <f>K253</f>
        <v>0</v>
      </c>
      <c r="P253" s="391">
        <f>E253+J253</f>
        <v>0</v>
      </c>
      <c r="Q253" s="276"/>
      <c r="R253" s="277"/>
    </row>
    <row r="254" spans="1:18" ht="47.25" thickTop="1" thickBot="1" x14ac:dyDescent="0.25">
      <c r="A254" s="251" t="s">
        <v>1027</v>
      </c>
      <c r="B254" s="251" t="s">
        <v>948</v>
      </c>
      <c r="C254" s="795"/>
      <c r="D254" s="251" t="s">
        <v>995</v>
      </c>
      <c r="E254" s="796">
        <f>E255</f>
        <v>54505073</v>
      </c>
      <c r="F254" s="796">
        <f t="shared" ref="F254:P256" si="205">F255</f>
        <v>54505073</v>
      </c>
      <c r="G254" s="796">
        <f t="shared" si="205"/>
        <v>0</v>
      </c>
      <c r="H254" s="796">
        <f t="shared" si="205"/>
        <v>0</v>
      </c>
      <c r="I254" s="796">
        <f t="shared" si="205"/>
        <v>0</v>
      </c>
      <c r="J254" s="796">
        <f t="shared" si="205"/>
        <v>0</v>
      </c>
      <c r="K254" s="796">
        <f t="shared" si="205"/>
        <v>0</v>
      </c>
      <c r="L254" s="796">
        <f t="shared" si="205"/>
        <v>0</v>
      </c>
      <c r="M254" s="796">
        <f t="shared" si="205"/>
        <v>0</v>
      </c>
      <c r="N254" s="796">
        <f t="shared" si="205"/>
        <v>0</v>
      </c>
      <c r="O254" s="796">
        <f t="shared" si="205"/>
        <v>0</v>
      </c>
      <c r="P254" s="796">
        <f t="shared" si="205"/>
        <v>54505073</v>
      </c>
      <c r="Q254" s="276"/>
      <c r="R254" s="277"/>
    </row>
    <row r="255" spans="1:18" ht="136.5" thickTop="1" thickBot="1" x14ac:dyDescent="0.25">
      <c r="A255" s="557" t="s">
        <v>1028</v>
      </c>
      <c r="B255" s="557" t="s">
        <v>1007</v>
      </c>
      <c r="C255" s="557"/>
      <c r="D255" s="557" t="s">
        <v>1008</v>
      </c>
      <c r="E255" s="555">
        <f>E256</f>
        <v>54505073</v>
      </c>
      <c r="F255" s="555">
        <f t="shared" si="205"/>
        <v>54505073</v>
      </c>
      <c r="G255" s="555">
        <f t="shared" si="205"/>
        <v>0</v>
      </c>
      <c r="H255" s="555">
        <f t="shared" si="205"/>
        <v>0</v>
      </c>
      <c r="I255" s="555">
        <f t="shared" si="205"/>
        <v>0</v>
      </c>
      <c r="J255" s="555">
        <f t="shared" si="205"/>
        <v>0</v>
      </c>
      <c r="K255" s="555">
        <f t="shared" si="205"/>
        <v>0</v>
      </c>
      <c r="L255" s="555">
        <f t="shared" si="205"/>
        <v>0</v>
      </c>
      <c r="M255" s="555">
        <f t="shared" si="205"/>
        <v>0</v>
      </c>
      <c r="N255" s="555">
        <f t="shared" si="205"/>
        <v>0</v>
      </c>
      <c r="O255" s="555">
        <f t="shared" si="205"/>
        <v>0</v>
      </c>
      <c r="P255" s="555">
        <f t="shared" si="205"/>
        <v>54505073</v>
      </c>
      <c r="Q255" s="276"/>
      <c r="R255" s="277"/>
    </row>
    <row r="256" spans="1:18" ht="138.75" thickTop="1" thickBot="1" x14ac:dyDescent="0.25">
      <c r="A256" s="552" t="s">
        <v>1029</v>
      </c>
      <c r="B256" s="552" t="s">
        <v>1030</v>
      </c>
      <c r="C256" s="552"/>
      <c r="D256" s="552" t="s">
        <v>1031</v>
      </c>
      <c r="E256" s="553">
        <f>E257</f>
        <v>54505073</v>
      </c>
      <c r="F256" s="553">
        <f t="shared" si="205"/>
        <v>54505073</v>
      </c>
      <c r="G256" s="553">
        <f t="shared" si="205"/>
        <v>0</v>
      </c>
      <c r="H256" s="553">
        <f t="shared" si="205"/>
        <v>0</v>
      </c>
      <c r="I256" s="553">
        <f t="shared" si="205"/>
        <v>0</v>
      </c>
      <c r="J256" s="553">
        <f t="shared" si="205"/>
        <v>0</v>
      </c>
      <c r="K256" s="553">
        <f t="shared" si="205"/>
        <v>0</v>
      </c>
      <c r="L256" s="553">
        <f t="shared" si="205"/>
        <v>0</v>
      </c>
      <c r="M256" s="553">
        <f t="shared" si="205"/>
        <v>0</v>
      </c>
      <c r="N256" s="553">
        <f t="shared" si="205"/>
        <v>0</v>
      </c>
      <c r="O256" s="553">
        <f t="shared" si="205"/>
        <v>0</v>
      </c>
      <c r="P256" s="553">
        <f t="shared" si="205"/>
        <v>54505073</v>
      </c>
      <c r="Q256" s="276"/>
      <c r="R256" s="277"/>
    </row>
    <row r="257" spans="1:18" ht="93" thickTop="1" thickBot="1" x14ac:dyDescent="0.25">
      <c r="A257" s="795" t="s">
        <v>516</v>
      </c>
      <c r="B257" s="795" t="s">
        <v>316</v>
      </c>
      <c r="C257" s="795" t="s">
        <v>318</v>
      </c>
      <c r="D257" s="795" t="s">
        <v>317</v>
      </c>
      <c r="E257" s="796">
        <f>F257</f>
        <v>54505073</v>
      </c>
      <c r="F257" s="416">
        <v>54505073</v>
      </c>
      <c r="G257" s="416"/>
      <c r="H257" s="416"/>
      <c r="I257" s="416"/>
      <c r="J257" s="796">
        <f>L257+O257</f>
        <v>0</v>
      </c>
      <c r="K257" s="416"/>
      <c r="L257" s="416"/>
      <c r="M257" s="416"/>
      <c r="N257" s="416"/>
      <c r="O257" s="797">
        <f>K257</f>
        <v>0</v>
      </c>
      <c r="P257" s="796">
        <f>E257+J257</f>
        <v>54505073</v>
      </c>
      <c r="Q257" s="276"/>
      <c r="R257" s="277"/>
    </row>
    <row r="258" spans="1:18" ht="136.5" thickTop="1" thickBot="1" x14ac:dyDescent="0.25">
      <c r="A258" s="680" t="s">
        <v>187</v>
      </c>
      <c r="B258" s="680"/>
      <c r="C258" s="680"/>
      <c r="D258" s="681" t="s">
        <v>388</v>
      </c>
      <c r="E258" s="682">
        <f>E259</f>
        <v>9282237.4100000001</v>
      </c>
      <c r="F258" s="683">
        <f t="shared" ref="F258:G258" si="206">F259</f>
        <v>9282237.4100000001</v>
      </c>
      <c r="G258" s="683">
        <f t="shared" si="206"/>
        <v>0</v>
      </c>
      <c r="H258" s="683">
        <f>H259</f>
        <v>0</v>
      </c>
      <c r="I258" s="683">
        <f t="shared" ref="I258" si="207">I259</f>
        <v>0</v>
      </c>
      <c r="J258" s="682">
        <f>J259</f>
        <v>1400000</v>
      </c>
      <c r="K258" s="683">
        <f>K259</f>
        <v>1400000</v>
      </c>
      <c r="L258" s="683">
        <f>L259</f>
        <v>0</v>
      </c>
      <c r="M258" s="683">
        <f t="shared" ref="M258" si="208">M259</f>
        <v>0</v>
      </c>
      <c r="N258" s="682">
        <f>N259</f>
        <v>0</v>
      </c>
      <c r="O258" s="682">
        <f>O259</f>
        <v>1400000</v>
      </c>
      <c r="P258" s="683">
        <f t="shared" ref="P258" si="209">P259</f>
        <v>10682237.41</v>
      </c>
    </row>
    <row r="259" spans="1:18" ht="136.5" thickTop="1" thickBot="1" x14ac:dyDescent="0.25">
      <c r="A259" s="684" t="s">
        <v>188</v>
      </c>
      <c r="B259" s="684"/>
      <c r="C259" s="684"/>
      <c r="D259" s="685" t="s">
        <v>389</v>
      </c>
      <c r="E259" s="686">
        <f>E260+E266</f>
        <v>9282237.4100000001</v>
      </c>
      <c r="F259" s="686">
        <f>F260+F266</f>
        <v>9282237.4100000001</v>
      </c>
      <c r="G259" s="686">
        <f t="shared" ref="G259:O259" si="210">G260+G266</f>
        <v>0</v>
      </c>
      <c r="H259" s="686">
        <f t="shared" si="210"/>
        <v>0</v>
      </c>
      <c r="I259" s="686">
        <f t="shared" si="210"/>
        <v>0</v>
      </c>
      <c r="J259" s="686">
        <f t="shared" ref="J259:J265" si="211">L259+O259</f>
        <v>1400000</v>
      </c>
      <c r="K259" s="686">
        <f t="shared" si="210"/>
        <v>1400000</v>
      </c>
      <c r="L259" s="686">
        <f t="shared" si="210"/>
        <v>0</v>
      </c>
      <c r="M259" s="686">
        <f t="shared" si="210"/>
        <v>0</v>
      </c>
      <c r="N259" s="686">
        <f t="shared" si="210"/>
        <v>0</v>
      </c>
      <c r="O259" s="686">
        <f t="shared" si="210"/>
        <v>1400000</v>
      </c>
      <c r="P259" s="687">
        <f t="shared" ref="P259:P265" si="212">E259+J259</f>
        <v>10682237.41</v>
      </c>
      <c r="Q259" s="181" t="b">
        <f>P259=P262+P263+P265+P268</f>
        <v>1</v>
      </c>
      <c r="R259" s="317" t="e">
        <f>K259=#REF!</f>
        <v>#REF!</v>
      </c>
    </row>
    <row r="260" spans="1:18" ht="47.25" thickTop="1" thickBot="1" x14ac:dyDescent="0.25">
      <c r="A260" s="251" t="s">
        <v>1032</v>
      </c>
      <c r="B260" s="251" t="s">
        <v>948</v>
      </c>
      <c r="C260" s="795"/>
      <c r="D260" s="251" t="s">
        <v>995</v>
      </c>
      <c r="E260" s="577">
        <f>E261</f>
        <v>8582237.4100000001</v>
      </c>
      <c r="F260" s="577">
        <f t="shared" ref="F260:P260" si="213">F261</f>
        <v>8582237.4100000001</v>
      </c>
      <c r="G260" s="577">
        <f t="shared" si="213"/>
        <v>0</v>
      </c>
      <c r="H260" s="577">
        <f t="shared" si="213"/>
        <v>0</v>
      </c>
      <c r="I260" s="577">
        <f t="shared" si="213"/>
        <v>0</v>
      </c>
      <c r="J260" s="577">
        <f t="shared" si="213"/>
        <v>400000</v>
      </c>
      <c r="K260" s="577">
        <f t="shared" si="213"/>
        <v>400000</v>
      </c>
      <c r="L260" s="577">
        <f t="shared" si="213"/>
        <v>0</v>
      </c>
      <c r="M260" s="577">
        <f t="shared" si="213"/>
        <v>0</v>
      </c>
      <c r="N260" s="577">
        <f t="shared" si="213"/>
        <v>0</v>
      </c>
      <c r="O260" s="577">
        <f t="shared" si="213"/>
        <v>400000</v>
      </c>
      <c r="P260" s="577">
        <f t="shared" si="213"/>
        <v>8982237.4100000001</v>
      </c>
      <c r="Q260" s="181"/>
      <c r="R260" s="317"/>
    </row>
    <row r="261" spans="1:18" ht="136.5" thickTop="1" thickBot="1" x14ac:dyDescent="0.25">
      <c r="A261" s="557" t="s">
        <v>1033</v>
      </c>
      <c r="B261" s="557" t="s">
        <v>887</v>
      </c>
      <c r="C261" s="557"/>
      <c r="D261" s="557" t="s">
        <v>885</v>
      </c>
      <c r="E261" s="578">
        <f>SUM(E262:E265)-E264</f>
        <v>8582237.4100000001</v>
      </c>
      <c r="F261" s="578">
        <f t="shared" ref="F261:P261" si="214">SUM(F262:F265)-F264</f>
        <v>8582237.4100000001</v>
      </c>
      <c r="G261" s="578">
        <f t="shared" si="214"/>
        <v>0</v>
      </c>
      <c r="H261" s="578">
        <f t="shared" si="214"/>
        <v>0</v>
      </c>
      <c r="I261" s="578">
        <f t="shared" si="214"/>
        <v>0</v>
      </c>
      <c r="J261" s="578">
        <f t="shared" si="214"/>
        <v>400000</v>
      </c>
      <c r="K261" s="578">
        <f t="shared" si="214"/>
        <v>400000</v>
      </c>
      <c r="L261" s="578">
        <f t="shared" si="214"/>
        <v>0</v>
      </c>
      <c r="M261" s="578">
        <f t="shared" si="214"/>
        <v>0</v>
      </c>
      <c r="N261" s="578">
        <f t="shared" si="214"/>
        <v>0</v>
      </c>
      <c r="O261" s="578">
        <f t="shared" si="214"/>
        <v>400000</v>
      </c>
      <c r="P261" s="578">
        <f t="shared" si="214"/>
        <v>8982237.4100000001</v>
      </c>
      <c r="Q261" s="181"/>
      <c r="R261" s="317"/>
    </row>
    <row r="262" spans="1:18" ht="93" thickTop="1" thickBot="1" x14ac:dyDescent="0.25">
      <c r="A262" s="795" t="s">
        <v>285</v>
      </c>
      <c r="B262" s="795" t="s">
        <v>286</v>
      </c>
      <c r="C262" s="795" t="s">
        <v>284</v>
      </c>
      <c r="D262" s="795" t="s">
        <v>283</v>
      </c>
      <c r="E262" s="796">
        <f t="shared" ref="E262:E265" si="215">F262</f>
        <v>5588200</v>
      </c>
      <c r="F262" s="416">
        <v>5588200</v>
      </c>
      <c r="G262" s="416"/>
      <c r="H262" s="416"/>
      <c r="I262" s="416"/>
      <c r="J262" s="796">
        <f t="shared" si="211"/>
        <v>0</v>
      </c>
      <c r="K262" s="416"/>
      <c r="L262" s="416"/>
      <c r="M262" s="416"/>
      <c r="N262" s="416"/>
      <c r="O262" s="797">
        <f>K262</f>
        <v>0</v>
      </c>
      <c r="P262" s="796">
        <f t="shared" si="212"/>
        <v>5588200</v>
      </c>
      <c r="R262" s="317"/>
    </row>
    <row r="263" spans="1:18" ht="138.75" thickTop="1" thickBot="1" x14ac:dyDescent="0.25">
      <c r="A263" s="795" t="s">
        <v>277</v>
      </c>
      <c r="B263" s="795" t="s">
        <v>279</v>
      </c>
      <c r="C263" s="795" t="s">
        <v>238</v>
      </c>
      <c r="D263" s="795" t="s">
        <v>278</v>
      </c>
      <c r="E263" s="796">
        <f t="shared" si="215"/>
        <v>745000</v>
      </c>
      <c r="F263" s="416">
        <v>745000</v>
      </c>
      <c r="G263" s="416"/>
      <c r="H263" s="416"/>
      <c r="I263" s="416"/>
      <c r="J263" s="796">
        <f t="shared" si="211"/>
        <v>0</v>
      </c>
      <c r="K263" s="416"/>
      <c r="L263" s="416"/>
      <c r="M263" s="416"/>
      <c r="N263" s="416"/>
      <c r="O263" s="797">
        <f>K263</f>
        <v>0</v>
      </c>
      <c r="P263" s="796">
        <f t="shared" si="212"/>
        <v>745000</v>
      </c>
      <c r="R263" s="317"/>
    </row>
    <row r="264" spans="1:18" ht="48" thickTop="1" thickBot="1" x14ac:dyDescent="0.25">
      <c r="A264" s="552" t="s">
        <v>1034</v>
      </c>
      <c r="B264" s="552" t="s">
        <v>890</v>
      </c>
      <c r="C264" s="552"/>
      <c r="D264" s="552" t="s">
        <v>888</v>
      </c>
      <c r="E264" s="553">
        <f>E265</f>
        <v>2249037.41</v>
      </c>
      <c r="F264" s="553">
        <f t="shared" ref="F264:P264" si="216">F265</f>
        <v>2249037.41</v>
      </c>
      <c r="G264" s="553">
        <f t="shared" si="216"/>
        <v>0</v>
      </c>
      <c r="H264" s="553">
        <f t="shared" si="216"/>
        <v>0</v>
      </c>
      <c r="I264" s="553">
        <f t="shared" si="216"/>
        <v>0</v>
      </c>
      <c r="J264" s="553">
        <f t="shared" si="216"/>
        <v>400000</v>
      </c>
      <c r="K264" s="553">
        <f t="shared" si="216"/>
        <v>400000</v>
      </c>
      <c r="L264" s="553">
        <f t="shared" si="216"/>
        <v>0</v>
      </c>
      <c r="M264" s="553">
        <f t="shared" si="216"/>
        <v>0</v>
      </c>
      <c r="N264" s="553">
        <f t="shared" si="216"/>
        <v>0</v>
      </c>
      <c r="O264" s="553">
        <f t="shared" si="216"/>
        <v>400000</v>
      </c>
      <c r="P264" s="553">
        <f t="shared" si="216"/>
        <v>2649037.41</v>
      </c>
      <c r="R264" s="317"/>
    </row>
    <row r="265" spans="1:18" ht="93" thickTop="1" thickBot="1" x14ac:dyDescent="0.25">
      <c r="A265" s="795" t="s">
        <v>281</v>
      </c>
      <c r="B265" s="795" t="s">
        <v>282</v>
      </c>
      <c r="C265" s="795" t="s">
        <v>191</v>
      </c>
      <c r="D265" s="795" t="s">
        <v>280</v>
      </c>
      <c r="E265" s="796">
        <f t="shared" si="215"/>
        <v>2249037.41</v>
      </c>
      <c r="F265" s="416">
        <f>(800000+2049580)-1600542.59+300000+700000</f>
        <v>2249037.41</v>
      </c>
      <c r="G265" s="416"/>
      <c r="H265" s="416"/>
      <c r="I265" s="416"/>
      <c r="J265" s="796">
        <f t="shared" si="211"/>
        <v>400000</v>
      </c>
      <c r="K265" s="416">
        <f>(400000)</f>
        <v>400000</v>
      </c>
      <c r="L265" s="416"/>
      <c r="M265" s="416"/>
      <c r="N265" s="416"/>
      <c r="O265" s="797">
        <f>K265</f>
        <v>400000</v>
      </c>
      <c r="P265" s="796">
        <f t="shared" si="212"/>
        <v>2649037.41</v>
      </c>
      <c r="R265" s="317" t="e">
        <f>K265=#REF!</f>
        <v>#REF!</v>
      </c>
    </row>
    <row r="266" spans="1:18" ht="47.25" thickTop="1" thickBot="1" x14ac:dyDescent="0.25">
      <c r="A266" s="251" t="s">
        <v>1149</v>
      </c>
      <c r="B266" s="251" t="s">
        <v>898</v>
      </c>
      <c r="C266" s="251"/>
      <c r="D266" s="251" t="s">
        <v>899</v>
      </c>
      <c r="E266" s="796">
        <f>E267</f>
        <v>700000</v>
      </c>
      <c r="F266" s="796">
        <f t="shared" ref="F266:P267" si="217">F267</f>
        <v>700000</v>
      </c>
      <c r="G266" s="796">
        <f t="shared" si="217"/>
        <v>0</v>
      </c>
      <c r="H266" s="796">
        <f t="shared" si="217"/>
        <v>0</v>
      </c>
      <c r="I266" s="796">
        <f t="shared" si="217"/>
        <v>0</v>
      </c>
      <c r="J266" s="796">
        <f t="shared" si="217"/>
        <v>1000000</v>
      </c>
      <c r="K266" s="796">
        <f t="shared" si="217"/>
        <v>1000000</v>
      </c>
      <c r="L266" s="796">
        <f t="shared" si="217"/>
        <v>0</v>
      </c>
      <c r="M266" s="796">
        <f t="shared" si="217"/>
        <v>0</v>
      </c>
      <c r="N266" s="796">
        <f t="shared" si="217"/>
        <v>0</v>
      </c>
      <c r="O266" s="796">
        <f t="shared" si="217"/>
        <v>1000000</v>
      </c>
      <c r="P266" s="796">
        <f t="shared" si="217"/>
        <v>1700000</v>
      </c>
      <c r="R266" s="317"/>
    </row>
    <row r="267" spans="1:18" ht="271.5" thickTop="1" thickBot="1" x14ac:dyDescent="0.25">
      <c r="A267" s="557" t="s">
        <v>1150</v>
      </c>
      <c r="B267" s="557" t="s">
        <v>901</v>
      </c>
      <c r="C267" s="557"/>
      <c r="D267" s="557" t="s">
        <v>902</v>
      </c>
      <c r="E267" s="555">
        <f>E268</f>
        <v>700000</v>
      </c>
      <c r="F267" s="555">
        <f t="shared" si="217"/>
        <v>700000</v>
      </c>
      <c r="G267" s="555">
        <f t="shared" si="217"/>
        <v>0</v>
      </c>
      <c r="H267" s="555">
        <f t="shared" si="217"/>
        <v>0</v>
      </c>
      <c r="I267" s="555">
        <f t="shared" si="217"/>
        <v>0</v>
      </c>
      <c r="J267" s="555">
        <f t="shared" si="217"/>
        <v>1000000</v>
      </c>
      <c r="K267" s="555">
        <f t="shared" si="217"/>
        <v>1000000</v>
      </c>
      <c r="L267" s="555">
        <f t="shared" si="217"/>
        <v>0</v>
      </c>
      <c r="M267" s="555">
        <f t="shared" si="217"/>
        <v>0</v>
      </c>
      <c r="N267" s="555">
        <f t="shared" si="217"/>
        <v>0</v>
      </c>
      <c r="O267" s="555">
        <f t="shared" si="217"/>
        <v>1000000</v>
      </c>
      <c r="P267" s="555">
        <f t="shared" si="217"/>
        <v>1700000</v>
      </c>
      <c r="R267" s="317"/>
    </row>
    <row r="268" spans="1:18" ht="93" thickTop="1" thickBot="1" x14ac:dyDescent="0.25">
      <c r="A268" s="795" t="s">
        <v>1151</v>
      </c>
      <c r="B268" s="795" t="s">
        <v>399</v>
      </c>
      <c r="C268" s="795" t="s">
        <v>45</v>
      </c>
      <c r="D268" s="795" t="s">
        <v>400</v>
      </c>
      <c r="E268" s="796">
        <f t="shared" ref="E268" si="218">F268</f>
        <v>700000</v>
      </c>
      <c r="F268" s="416">
        <v>700000</v>
      </c>
      <c r="G268" s="416"/>
      <c r="H268" s="416"/>
      <c r="I268" s="416"/>
      <c r="J268" s="796">
        <f>L268+O268</f>
        <v>1000000</v>
      </c>
      <c r="K268" s="416">
        <v>1000000</v>
      </c>
      <c r="L268" s="416"/>
      <c r="M268" s="416"/>
      <c r="N268" s="416"/>
      <c r="O268" s="797">
        <f>K268</f>
        <v>1000000</v>
      </c>
      <c r="P268" s="796">
        <f>E268+J268</f>
        <v>1700000</v>
      </c>
      <c r="R268" s="317"/>
    </row>
    <row r="269" spans="1:18" ht="226.5" thickTop="1" thickBot="1" x14ac:dyDescent="0.25">
      <c r="A269" s="680" t="s">
        <v>185</v>
      </c>
      <c r="B269" s="680"/>
      <c r="C269" s="680"/>
      <c r="D269" s="681" t="s">
        <v>1104</v>
      </c>
      <c r="E269" s="682">
        <f>E270</f>
        <v>5984385</v>
      </c>
      <c r="F269" s="683">
        <f t="shared" ref="F269:G269" si="219">F270</f>
        <v>5984385</v>
      </c>
      <c r="G269" s="683">
        <f t="shared" si="219"/>
        <v>4608055</v>
      </c>
      <c r="H269" s="683">
        <f>H270</f>
        <v>103700</v>
      </c>
      <c r="I269" s="683">
        <f t="shared" ref="I269" si="220">I270</f>
        <v>0</v>
      </c>
      <c r="J269" s="682">
        <f>J270</f>
        <v>1549138.96</v>
      </c>
      <c r="K269" s="683">
        <f>K270</f>
        <v>64000</v>
      </c>
      <c r="L269" s="683">
        <f>L270</f>
        <v>1485138.96</v>
      </c>
      <c r="M269" s="683">
        <f t="shared" ref="M269" si="221">M270</f>
        <v>0</v>
      </c>
      <c r="N269" s="682">
        <f>N270</f>
        <v>0</v>
      </c>
      <c r="O269" s="682">
        <f>O270</f>
        <v>64000</v>
      </c>
      <c r="P269" s="683">
        <f t="shared" ref="P269" si="222">P270</f>
        <v>7533523.96</v>
      </c>
    </row>
    <row r="270" spans="1:18" ht="226.5" thickTop="1" thickBot="1" x14ac:dyDescent="0.25">
      <c r="A270" s="684" t="s">
        <v>186</v>
      </c>
      <c r="B270" s="684"/>
      <c r="C270" s="684"/>
      <c r="D270" s="685" t="s">
        <v>1103</v>
      </c>
      <c r="E270" s="686">
        <f>E271+E274</f>
        <v>5984385</v>
      </c>
      <c r="F270" s="686">
        <f t="shared" ref="F270:I270" si="223">F271+F274</f>
        <v>5984385</v>
      </c>
      <c r="G270" s="686">
        <f t="shared" si="223"/>
        <v>4608055</v>
      </c>
      <c r="H270" s="686">
        <f t="shared" si="223"/>
        <v>103700</v>
      </c>
      <c r="I270" s="686">
        <f t="shared" si="223"/>
        <v>0</v>
      </c>
      <c r="J270" s="686">
        <f>L270+O270</f>
        <v>1549138.96</v>
      </c>
      <c r="K270" s="686">
        <f t="shared" ref="K270:O270" si="224">K271+K274</f>
        <v>64000</v>
      </c>
      <c r="L270" s="686">
        <f t="shared" si="224"/>
        <v>1485138.96</v>
      </c>
      <c r="M270" s="686">
        <f t="shared" si="224"/>
        <v>0</v>
      </c>
      <c r="N270" s="686">
        <f t="shared" si="224"/>
        <v>0</v>
      </c>
      <c r="O270" s="686">
        <f t="shared" si="224"/>
        <v>64000</v>
      </c>
      <c r="P270" s="687">
        <f t="shared" ref="P270:P280" si="225">E270+J270</f>
        <v>7533523.96</v>
      </c>
      <c r="Q270" s="181" t="b">
        <f>P270=P277+P280+P272+P278+P279+P273</f>
        <v>1</v>
      </c>
      <c r="R270" s="317" t="e">
        <f>K270=#REF!</f>
        <v>#REF!</v>
      </c>
    </row>
    <row r="271" spans="1:18" ht="47.25" thickTop="1" thickBot="1" x14ac:dyDescent="0.25">
      <c r="A271" s="251" t="s">
        <v>1035</v>
      </c>
      <c r="B271" s="251" t="s">
        <v>880</v>
      </c>
      <c r="C271" s="251"/>
      <c r="D271" s="251" t="s">
        <v>881</v>
      </c>
      <c r="E271" s="796">
        <f>SUM(E272:E273)</f>
        <v>5984385</v>
      </c>
      <c r="F271" s="796">
        <f t="shared" ref="F271:N271" si="226">SUM(F272:F273)</f>
        <v>5984385</v>
      </c>
      <c r="G271" s="796">
        <f t="shared" si="226"/>
        <v>4608055</v>
      </c>
      <c r="H271" s="796">
        <f t="shared" si="226"/>
        <v>103700</v>
      </c>
      <c r="I271" s="796">
        <f t="shared" si="226"/>
        <v>0</v>
      </c>
      <c r="J271" s="796">
        <f t="shared" si="226"/>
        <v>64000</v>
      </c>
      <c r="K271" s="796">
        <f t="shared" si="226"/>
        <v>64000</v>
      </c>
      <c r="L271" s="796">
        <f t="shared" si="226"/>
        <v>0</v>
      </c>
      <c r="M271" s="796">
        <f t="shared" si="226"/>
        <v>0</v>
      </c>
      <c r="N271" s="796">
        <f t="shared" si="226"/>
        <v>0</v>
      </c>
      <c r="O271" s="796">
        <f>SUM(O272:O273)</f>
        <v>64000</v>
      </c>
      <c r="P271" s="796">
        <f t="shared" ref="P271" si="227">SUM(P272:P273)</f>
        <v>6048385</v>
      </c>
      <c r="Q271" s="181"/>
      <c r="R271" s="317"/>
    </row>
    <row r="272" spans="1:18" s="154" customFormat="1" ht="230.25" thickTop="1" thickBot="1" x14ac:dyDescent="0.25">
      <c r="A272" s="795" t="s">
        <v>460</v>
      </c>
      <c r="B272" s="795" t="s">
        <v>261</v>
      </c>
      <c r="C272" s="795" t="s">
        <v>259</v>
      </c>
      <c r="D272" s="795" t="s">
        <v>260</v>
      </c>
      <c r="E272" s="796">
        <f>F272</f>
        <v>5979385</v>
      </c>
      <c r="F272" s="416">
        <f>(5984385-5000)</f>
        <v>5979385</v>
      </c>
      <c r="G272" s="416">
        <v>4608055</v>
      </c>
      <c r="H272" s="416">
        <f>(70880+8160+21000+3660)</f>
        <v>103700</v>
      </c>
      <c r="I272" s="416"/>
      <c r="J272" s="796">
        <f t="shared" ref="J272:J280" si="228">L272+O272</f>
        <v>64000</v>
      </c>
      <c r="K272" s="416">
        <f>(18000)+46000</f>
        <v>64000</v>
      </c>
      <c r="L272" s="416"/>
      <c r="M272" s="416"/>
      <c r="N272" s="416"/>
      <c r="O272" s="797">
        <f>K272</f>
        <v>64000</v>
      </c>
      <c r="P272" s="796">
        <f t="shared" si="225"/>
        <v>6043385</v>
      </c>
      <c r="Q272" s="337"/>
      <c r="R272" s="317" t="e">
        <f>K272=#REF!</f>
        <v>#REF!</v>
      </c>
    </row>
    <row r="273" spans="1:18" s="154" customFormat="1" ht="184.5" thickTop="1" thickBot="1" x14ac:dyDescent="0.25">
      <c r="A273" s="795" t="s">
        <v>828</v>
      </c>
      <c r="B273" s="795" t="s">
        <v>398</v>
      </c>
      <c r="C273" s="795" t="s">
        <v>815</v>
      </c>
      <c r="D273" s="795" t="s">
        <v>816</v>
      </c>
      <c r="E273" s="418">
        <f>F273</f>
        <v>5000</v>
      </c>
      <c r="F273" s="247">
        <v>5000</v>
      </c>
      <c r="G273" s="247"/>
      <c r="H273" s="247"/>
      <c r="I273" s="247"/>
      <c r="J273" s="796">
        <f t="shared" si="228"/>
        <v>0</v>
      </c>
      <c r="K273" s="247"/>
      <c r="L273" s="248"/>
      <c r="M273" s="248"/>
      <c r="N273" s="248"/>
      <c r="O273" s="797">
        <f t="shared" ref="O273" si="229">K273</f>
        <v>0</v>
      </c>
      <c r="P273" s="796">
        <f t="shared" ref="P273" si="230">+J273+E273</f>
        <v>5000</v>
      </c>
      <c r="Q273" s="337"/>
      <c r="R273" s="317"/>
    </row>
    <row r="274" spans="1:18" s="154" customFormat="1" ht="47.25" thickTop="1" thickBot="1" x14ac:dyDescent="0.25">
      <c r="A274" s="251" t="s">
        <v>1036</v>
      </c>
      <c r="B274" s="251" t="s">
        <v>892</v>
      </c>
      <c r="C274" s="251"/>
      <c r="D274" s="251" t="s">
        <v>893</v>
      </c>
      <c r="E274" s="418">
        <f>E275</f>
        <v>0</v>
      </c>
      <c r="F274" s="418">
        <f t="shared" ref="F274:P274" si="231">F275</f>
        <v>0</v>
      </c>
      <c r="G274" s="418">
        <f t="shared" si="231"/>
        <v>0</v>
      </c>
      <c r="H274" s="418">
        <f t="shared" si="231"/>
        <v>0</v>
      </c>
      <c r="I274" s="418">
        <f t="shared" si="231"/>
        <v>0</v>
      </c>
      <c r="J274" s="418">
        <f t="shared" si="231"/>
        <v>1485138.96</v>
      </c>
      <c r="K274" s="418">
        <f t="shared" si="231"/>
        <v>0</v>
      </c>
      <c r="L274" s="418">
        <f t="shared" si="231"/>
        <v>1485138.96</v>
      </c>
      <c r="M274" s="418">
        <f t="shared" si="231"/>
        <v>0</v>
      </c>
      <c r="N274" s="418">
        <f t="shared" si="231"/>
        <v>0</v>
      </c>
      <c r="O274" s="418">
        <f t="shared" si="231"/>
        <v>0</v>
      </c>
      <c r="P274" s="418">
        <f t="shared" si="231"/>
        <v>1485138.96</v>
      </c>
      <c r="Q274" s="337"/>
      <c r="R274" s="317"/>
    </row>
    <row r="275" spans="1:18" s="154" customFormat="1" ht="91.5" thickTop="1" thickBot="1" x14ac:dyDescent="0.25">
      <c r="A275" s="557" t="s">
        <v>1037</v>
      </c>
      <c r="B275" s="557" t="s">
        <v>1038</v>
      </c>
      <c r="C275" s="557"/>
      <c r="D275" s="557" t="s">
        <v>1039</v>
      </c>
      <c r="E275" s="570">
        <f>SUM(E276:E280)-E276</f>
        <v>0</v>
      </c>
      <c r="F275" s="570">
        <f t="shared" ref="F275:P275" si="232">SUM(F276:F280)-F276</f>
        <v>0</v>
      </c>
      <c r="G275" s="570">
        <f t="shared" si="232"/>
        <v>0</v>
      </c>
      <c r="H275" s="570">
        <f t="shared" si="232"/>
        <v>0</v>
      </c>
      <c r="I275" s="570">
        <f t="shared" si="232"/>
        <v>0</v>
      </c>
      <c r="J275" s="570">
        <f t="shared" si="232"/>
        <v>1485138.96</v>
      </c>
      <c r="K275" s="570">
        <f t="shared" si="232"/>
        <v>0</v>
      </c>
      <c r="L275" s="570">
        <f t="shared" si="232"/>
        <v>1485138.96</v>
      </c>
      <c r="M275" s="570">
        <f t="shared" si="232"/>
        <v>0</v>
      </c>
      <c r="N275" s="570">
        <f t="shared" si="232"/>
        <v>0</v>
      </c>
      <c r="O275" s="570">
        <f t="shared" si="232"/>
        <v>0</v>
      </c>
      <c r="P275" s="570">
        <f t="shared" si="232"/>
        <v>1485138.96</v>
      </c>
      <c r="Q275" s="337"/>
      <c r="R275" s="317"/>
    </row>
    <row r="276" spans="1:18" s="154" customFormat="1" ht="138.75" thickTop="1" thickBot="1" x14ac:dyDescent="0.25">
      <c r="A276" s="552" t="s">
        <v>1040</v>
      </c>
      <c r="B276" s="552" t="s">
        <v>1041</v>
      </c>
      <c r="C276" s="552"/>
      <c r="D276" s="552" t="s">
        <v>1042</v>
      </c>
      <c r="E276" s="571">
        <f>SUM(E277:E278)</f>
        <v>0</v>
      </c>
      <c r="F276" s="571">
        <f t="shared" ref="F276:P276" si="233">SUM(F277:F278)</f>
        <v>0</v>
      </c>
      <c r="G276" s="571">
        <f t="shared" si="233"/>
        <v>0</v>
      </c>
      <c r="H276" s="571">
        <f t="shared" si="233"/>
        <v>0</v>
      </c>
      <c r="I276" s="571">
        <f t="shared" si="233"/>
        <v>0</v>
      </c>
      <c r="J276" s="571">
        <f t="shared" si="233"/>
        <v>765138.96</v>
      </c>
      <c r="K276" s="571">
        <f t="shared" si="233"/>
        <v>0</v>
      </c>
      <c r="L276" s="571">
        <f t="shared" si="233"/>
        <v>765138.96</v>
      </c>
      <c r="M276" s="571">
        <f t="shared" si="233"/>
        <v>0</v>
      </c>
      <c r="N276" s="571">
        <f t="shared" si="233"/>
        <v>0</v>
      </c>
      <c r="O276" s="571">
        <f t="shared" si="233"/>
        <v>0</v>
      </c>
      <c r="P276" s="571">
        <f t="shared" si="233"/>
        <v>765138.96</v>
      </c>
      <c r="Q276" s="337"/>
      <c r="R276" s="317"/>
    </row>
    <row r="277" spans="1:18" s="154" customFormat="1" ht="138.75" thickTop="1" thickBot="1" x14ac:dyDescent="0.25">
      <c r="A277" s="552" t="s">
        <v>335</v>
      </c>
      <c r="B277" s="552" t="s">
        <v>336</v>
      </c>
      <c r="C277" s="552" t="s">
        <v>54</v>
      </c>
      <c r="D277" s="552" t="s">
        <v>55</v>
      </c>
      <c r="E277" s="796">
        <f t="shared" ref="E277:E279" si="234">F277</f>
        <v>0</v>
      </c>
      <c r="F277" s="416"/>
      <c r="G277" s="416"/>
      <c r="H277" s="416"/>
      <c r="I277" s="416"/>
      <c r="J277" s="796">
        <f t="shared" si="228"/>
        <v>403900</v>
      </c>
      <c r="K277" s="416"/>
      <c r="L277" s="416">
        <f>(248900)+155000</f>
        <v>403900</v>
      </c>
      <c r="M277" s="416"/>
      <c r="N277" s="416"/>
      <c r="O277" s="797">
        <f t="shared" ref="O277:O278" si="235">K277</f>
        <v>0</v>
      </c>
      <c r="P277" s="796">
        <f t="shared" si="225"/>
        <v>403900</v>
      </c>
      <c r="Q277" s="181" t="e">
        <f>J277=#REF!+#REF!+#REF!+#REF!</f>
        <v>#REF!</v>
      </c>
      <c r="R277" s="280"/>
    </row>
    <row r="278" spans="1:18" s="154" customFormat="1" ht="48" thickTop="1" thickBot="1" x14ac:dyDescent="0.25">
      <c r="A278" s="795" t="s">
        <v>519</v>
      </c>
      <c r="B278" s="795" t="s">
        <v>520</v>
      </c>
      <c r="C278" s="795" t="s">
        <v>518</v>
      </c>
      <c r="D278" s="795" t="s">
        <v>521</v>
      </c>
      <c r="E278" s="796">
        <f t="shared" si="234"/>
        <v>0</v>
      </c>
      <c r="F278" s="416"/>
      <c r="G278" s="416"/>
      <c r="H278" s="416"/>
      <c r="I278" s="416"/>
      <c r="J278" s="796">
        <f t="shared" si="228"/>
        <v>361238.96</v>
      </c>
      <c r="K278" s="416"/>
      <c r="L278" s="416">
        <f>(70000)+291238.96</f>
        <v>361238.96</v>
      </c>
      <c r="M278" s="416"/>
      <c r="N278" s="416"/>
      <c r="O278" s="797">
        <f t="shared" si="235"/>
        <v>0</v>
      </c>
      <c r="P278" s="796">
        <f t="shared" si="225"/>
        <v>361238.96</v>
      </c>
      <c r="Q278" s="181" t="e">
        <f>J278=#REF!+#REF!</f>
        <v>#REF!</v>
      </c>
      <c r="R278" s="280"/>
    </row>
    <row r="279" spans="1:18" s="154" customFormat="1" ht="93" thickTop="1" thickBot="1" x14ac:dyDescent="0.25">
      <c r="A279" s="795" t="s">
        <v>581</v>
      </c>
      <c r="B279" s="795" t="s">
        <v>579</v>
      </c>
      <c r="C279" s="795" t="s">
        <v>582</v>
      </c>
      <c r="D279" s="795" t="s">
        <v>580</v>
      </c>
      <c r="E279" s="796">
        <f t="shared" si="234"/>
        <v>0</v>
      </c>
      <c r="F279" s="416"/>
      <c r="G279" s="416"/>
      <c r="H279" s="416"/>
      <c r="I279" s="416"/>
      <c r="J279" s="796">
        <f t="shared" si="228"/>
        <v>175000</v>
      </c>
      <c r="K279" s="416"/>
      <c r="L279" s="416">
        <f>(125000)+50000</f>
        <v>175000</v>
      </c>
      <c r="M279" s="416"/>
      <c r="N279" s="416"/>
      <c r="O279" s="797">
        <f>K279</f>
        <v>0</v>
      </c>
      <c r="P279" s="796">
        <f t="shared" si="225"/>
        <v>175000</v>
      </c>
      <c r="Q279" s="181" t="e">
        <f>J279=#REF!+#REF!+#REF!</f>
        <v>#REF!</v>
      </c>
      <c r="R279" s="280"/>
    </row>
    <row r="280" spans="1:18" s="154" customFormat="1" ht="138.75" thickTop="1" thickBot="1" x14ac:dyDescent="0.25">
      <c r="A280" s="795" t="s">
        <v>337</v>
      </c>
      <c r="B280" s="795" t="s">
        <v>338</v>
      </c>
      <c r="C280" s="795" t="s">
        <v>56</v>
      </c>
      <c r="D280" s="795" t="s">
        <v>522</v>
      </c>
      <c r="E280" s="796">
        <v>0</v>
      </c>
      <c r="F280" s="416"/>
      <c r="G280" s="416"/>
      <c r="H280" s="416"/>
      <c r="I280" s="416"/>
      <c r="J280" s="796">
        <f t="shared" si="228"/>
        <v>545000</v>
      </c>
      <c r="K280" s="796"/>
      <c r="L280" s="416">
        <f>(187000)+358000</f>
        <v>545000</v>
      </c>
      <c r="M280" s="416"/>
      <c r="N280" s="416"/>
      <c r="O280" s="797">
        <f>K280</f>
        <v>0</v>
      </c>
      <c r="P280" s="796">
        <f t="shared" si="225"/>
        <v>545000</v>
      </c>
      <c r="Q280" s="181" t="e">
        <f>J280=#REF!+#REF!+#REF!+#REF!+#REF!+#REF!+#REF!</f>
        <v>#REF!</v>
      </c>
      <c r="R280" s="280"/>
    </row>
    <row r="281" spans="1:18" ht="181.5" thickTop="1" thickBot="1" x14ac:dyDescent="0.25">
      <c r="A281" s="680" t="s">
        <v>183</v>
      </c>
      <c r="B281" s="680"/>
      <c r="C281" s="680"/>
      <c r="D281" s="681" t="s">
        <v>1116</v>
      </c>
      <c r="E281" s="682">
        <f>E282</f>
        <v>5014525</v>
      </c>
      <c r="F281" s="683">
        <f t="shared" ref="F281:G281" si="236">F282</f>
        <v>5014525</v>
      </c>
      <c r="G281" s="683">
        <f t="shared" si="236"/>
        <v>3622500</v>
      </c>
      <c r="H281" s="683">
        <f>H282</f>
        <v>72700</v>
      </c>
      <c r="I281" s="683">
        <f t="shared" ref="I281" si="237">I282</f>
        <v>0</v>
      </c>
      <c r="J281" s="682">
        <f>J282</f>
        <v>350000</v>
      </c>
      <c r="K281" s="683">
        <f>K282</f>
        <v>350000</v>
      </c>
      <c r="L281" s="683">
        <f>L282</f>
        <v>0</v>
      </c>
      <c r="M281" s="683">
        <f t="shared" ref="M281" si="238">M282</f>
        <v>0</v>
      </c>
      <c r="N281" s="682">
        <f>N282</f>
        <v>0</v>
      </c>
      <c r="O281" s="682">
        <f>O282</f>
        <v>350000</v>
      </c>
      <c r="P281" s="683">
        <f t="shared" ref="P281" si="239">P282</f>
        <v>5364525</v>
      </c>
    </row>
    <row r="282" spans="1:18" ht="181.5" thickTop="1" thickBot="1" x14ac:dyDescent="0.25">
      <c r="A282" s="684" t="s">
        <v>184</v>
      </c>
      <c r="B282" s="684"/>
      <c r="C282" s="684"/>
      <c r="D282" s="685" t="s">
        <v>1115</v>
      </c>
      <c r="E282" s="686">
        <f>E283+E285</f>
        <v>5014525</v>
      </c>
      <c r="F282" s="686">
        <f t="shared" ref="F282:I282" si="240">F283+F285</f>
        <v>5014525</v>
      </c>
      <c r="G282" s="686">
        <f t="shared" si="240"/>
        <v>3622500</v>
      </c>
      <c r="H282" s="686">
        <f t="shared" si="240"/>
        <v>72700</v>
      </c>
      <c r="I282" s="686">
        <f t="shared" si="240"/>
        <v>0</v>
      </c>
      <c r="J282" s="686">
        <f>L282+O282</f>
        <v>350000</v>
      </c>
      <c r="K282" s="686">
        <f t="shared" ref="K282:O282" si="241">K283+K285</f>
        <v>350000</v>
      </c>
      <c r="L282" s="686">
        <f t="shared" si="241"/>
        <v>0</v>
      </c>
      <c r="M282" s="686">
        <f t="shared" si="241"/>
        <v>0</v>
      </c>
      <c r="N282" s="686">
        <f t="shared" si="241"/>
        <v>0</v>
      </c>
      <c r="O282" s="686">
        <f t="shared" si="241"/>
        <v>350000</v>
      </c>
      <c r="P282" s="687">
        <f>E282+J282</f>
        <v>5364525</v>
      </c>
      <c r="Q282" s="181" t="b">
        <f>P282=P287+P289+P284</f>
        <v>1</v>
      </c>
      <c r="R282" s="181" t="e">
        <f>K282=#REF!</f>
        <v>#REF!</v>
      </c>
    </row>
    <row r="283" spans="1:18" ht="47.25" thickTop="1" thickBot="1" x14ac:dyDescent="0.25">
      <c r="A283" s="251" t="s">
        <v>1043</v>
      </c>
      <c r="B283" s="251" t="s">
        <v>880</v>
      </c>
      <c r="C283" s="251"/>
      <c r="D283" s="251" t="s">
        <v>881</v>
      </c>
      <c r="E283" s="796">
        <f>SUM(E284)</f>
        <v>5014525</v>
      </c>
      <c r="F283" s="796">
        <f t="shared" ref="F283:P283" si="242">SUM(F284)</f>
        <v>5014525</v>
      </c>
      <c r="G283" s="796">
        <f t="shared" si="242"/>
        <v>3622500</v>
      </c>
      <c r="H283" s="796">
        <f t="shared" si="242"/>
        <v>72700</v>
      </c>
      <c r="I283" s="796">
        <f t="shared" si="242"/>
        <v>0</v>
      </c>
      <c r="J283" s="796">
        <f t="shared" si="242"/>
        <v>100000</v>
      </c>
      <c r="K283" s="796">
        <f t="shared" si="242"/>
        <v>100000</v>
      </c>
      <c r="L283" s="796">
        <f t="shared" si="242"/>
        <v>0</v>
      </c>
      <c r="M283" s="796">
        <f t="shared" si="242"/>
        <v>0</v>
      </c>
      <c r="N283" s="796">
        <f t="shared" si="242"/>
        <v>0</v>
      </c>
      <c r="O283" s="796">
        <f t="shared" si="242"/>
        <v>100000</v>
      </c>
      <c r="P283" s="796">
        <f t="shared" si="242"/>
        <v>5114525</v>
      </c>
      <c r="Q283" s="181"/>
      <c r="R283" s="181"/>
    </row>
    <row r="284" spans="1:18" ht="230.25" thickTop="1" thickBot="1" x14ac:dyDescent="0.25">
      <c r="A284" s="795" t="s">
        <v>456</v>
      </c>
      <c r="B284" s="795" t="s">
        <v>261</v>
      </c>
      <c r="C284" s="795" t="s">
        <v>259</v>
      </c>
      <c r="D284" s="795" t="s">
        <v>260</v>
      </c>
      <c r="E284" s="796">
        <f>F284</f>
        <v>5014525</v>
      </c>
      <c r="F284" s="416">
        <v>5014525</v>
      </c>
      <c r="G284" s="416">
        <v>3622500</v>
      </c>
      <c r="H284" s="416">
        <f>(53320+2000+17380)</f>
        <v>72700</v>
      </c>
      <c r="I284" s="416"/>
      <c r="J284" s="796">
        <f>L284+O284</f>
        <v>100000</v>
      </c>
      <c r="K284" s="416">
        <v>100000</v>
      </c>
      <c r="L284" s="416"/>
      <c r="M284" s="416"/>
      <c r="N284" s="416"/>
      <c r="O284" s="797">
        <f>K284</f>
        <v>100000</v>
      </c>
      <c r="P284" s="796">
        <f>E284+J284</f>
        <v>5114525</v>
      </c>
      <c r="Q284" s="181" t="e">
        <f>K284=#REF!</f>
        <v>#REF!</v>
      </c>
      <c r="R284" s="276"/>
    </row>
    <row r="285" spans="1:18" ht="47.25" thickTop="1" thickBot="1" x14ac:dyDescent="0.25">
      <c r="A285" s="251" t="s">
        <v>1044</v>
      </c>
      <c r="B285" s="251" t="s">
        <v>948</v>
      </c>
      <c r="C285" s="795"/>
      <c r="D285" s="251" t="s">
        <v>995</v>
      </c>
      <c r="E285" s="796">
        <f t="shared" ref="E285:P285" si="243">E286+E288</f>
        <v>0</v>
      </c>
      <c r="F285" s="796">
        <f t="shared" si="243"/>
        <v>0</v>
      </c>
      <c r="G285" s="796">
        <f t="shared" si="243"/>
        <v>0</v>
      </c>
      <c r="H285" s="796">
        <f t="shared" si="243"/>
        <v>0</v>
      </c>
      <c r="I285" s="796">
        <f t="shared" si="243"/>
        <v>0</v>
      </c>
      <c r="J285" s="796">
        <f t="shared" si="243"/>
        <v>250000</v>
      </c>
      <c r="K285" s="796">
        <f t="shared" si="243"/>
        <v>250000</v>
      </c>
      <c r="L285" s="796">
        <f t="shared" si="243"/>
        <v>0</v>
      </c>
      <c r="M285" s="796">
        <f t="shared" si="243"/>
        <v>0</v>
      </c>
      <c r="N285" s="796">
        <f t="shared" si="243"/>
        <v>0</v>
      </c>
      <c r="O285" s="796">
        <f t="shared" si="243"/>
        <v>250000</v>
      </c>
      <c r="P285" s="796">
        <f t="shared" si="243"/>
        <v>250000</v>
      </c>
      <c r="Q285" s="276"/>
      <c r="R285" s="276"/>
    </row>
    <row r="286" spans="1:18" ht="91.5" thickTop="1" thickBot="1" x14ac:dyDescent="0.25">
      <c r="A286" s="557" t="s">
        <v>1045</v>
      </c>
      <c r="B286" s="557" t="s">
        <v>1046</v>
      </c>
      <c r="C286" s="557"/>
      <c r="D286" s="557" t="s">
        <v>1047</v>
      </c>
      <c r="E286" s="555">
        <f>SUM(E287)</f>
        <v>0</v>
      </c>
      <c r="F286" s="555">
        <f t="shared" ref="F286:P286" si="244">SUM(F287)</f>
        <v>0</v>
      </c>
      <c r="G286" s="555">
        <f t="shared" si="244"/>
        <v>0</v>
      </c>
      <c r="H286" s="555">
        <f t="shared" si="244"/>
        <v>0</v>
      </c>
      <c r="I286" s="555">
        <f t="shared" si="244"/>
        <v>0</v>
      </c>
      <c r="J286" s="555">
        <f t="shared" si="244"/>
        <v>200000</v>
      </c>
      <c r="K286" s="555">
        <f t="shared" si="244"/>
        <v>200000</v>
      </c>
      <c r="L286" s="555">
        <f t="shared" si="244"/>
        <v>0</v>
      </c>
      <c r="M286" s="555">
        <f t="shared" si="244"/>
        <v>0</v>
      </c>
      <c r="N286" s="555">
        <f t="shared" si="244"/>
        <v>0</v>
      </c>
      <c r="O286" s="555">
        <f t="shared" si="244"/>
        <v>200000</v>
      </c>
      <c r="P286" s="555">
        <f t="shared" si="244"/>
        <v>200000</v>
      </c>
      <c r="Q286" s="276"/>
      <c r="R286" s="276"/>
    </row>
    <row r="287" spans="1:18" ht="93" thickTop="1" thickBot="1" x14ac:dyDescent="0.25">
      <c r="A287" s="795" t="s">
        <v>332</v>
      </c>
      <c r="B287" s="795" t="s">
        <v>333</v>
      </c>
      <c r="C287" s="795" t="s">
        <v>334</v>
      </c>
      <c r="D287" s="795" t="s">
        <v>507</v>
      </c>
      <c r="E287" s="796">
        <f>F287</f>
        <v>0</v>
      </c>
      <c r="F287" s="416"/>
      <c r="G287" s="416"/>
      <c r="H287" s="416"/>
      <c r="I287" s="416"/>
      <c r="J287" s="796">
        <f>L287+O287</f>
        <v>200000</v>
      </c>
      <c r="K287" s="416">
        <v>200000</v>
      </c>
      <c r="L287" s="416"/>
      <c r="M287" s="416"/>
      <c r="N287" s="416"/>
      <c r="O287" s="797">
        <v>200000</v>
      </c>
      <c r="P287" s="796">
        <f>E287+J287</f>
        <v>200000</v>
      </c>
    </row>
    <row r="288" spans="1:18" ht="136.5" thickTop="1" thickBot="1" x14ac:dyDescent="0.25">
      <c r="A288" s="557" t="s">
        <v>1048</v>
      </c>
      <c r="B288" s="557" t="s">
        <v>887</v>
      </c>
      <c r="C288" s="795"/>
      <c r="D288" s="557" t="s">
        <v>1049</v>
      </c>
      <c r="E288" s="555">
        <f>SUM(E289)</f>
        <v>0</v>
      </c>
      <c r="F288" s="555">
        <f t="shared" ref="F288:P288" si="245">SUM(F289)</f>
        <v>0</v>
      </c>
      <c r="G288" s="555">
        <f t="shared" si="245"/>
        <v>0</v>
      </c>
      <c r="H288" s="555">
        <f t="shared" si="245"/>
        <v>0</v>
      </c>
      <c r="I288" s="555">
        <f t="shared" si="245"/>
        <v>0</v>
      </c>
      <c r="J288" s="555">
        <f t="shared" si="245"/>
        <v>50000</v>
      </c>
      <c r="K288" s="555">
        <f t="shared" si="245"/>
        <v>50000</v>
      </c>
      <c r="L288" s="555">
        <f t="shared" si="245"/>
        <v>0</v>
      </c>
      <c r="M288" s="555">
        <f t="shared" si="245"/>
        <v>0</v>
      </c>
      <c r="N288" s="555">
        <f t="shared" si="245"/>
        <v>0</v>
      </c>
      <c r="O288" s="555">
        <f t="shared" si="245"/>
        <v>50000</v>
      </c>
      <c r="P288" s="555">
        <f t="shared" si="245"/>
        <v>50000</v>
      </c>
    </row>
    <row r="289" spans="1:18" ht="138.75" thickTop="1" thickBot="1" x14ac:dyDescent="0.25">
      <c r="A289" s="795" t="s">
        <v>404</v>
      </c>
      <c r="B289" s="795" t="s">
        <v>405</v>
      </c>
      <c r="C289" s="795" t="s">
        <v>191</v>
      </c>
      <c r="D289" s="795" t="s">
        <v>406</v>
      </c>
      <c r="E289" s="796">
        <f>F289</f>
        <v>0</v>
      </c>
      <c r="F289" s="416"/>
      <c r="G289" s="416"/>
      <c r="H289" s="416"/>
      <c r="I289" s="416"/>
      <c r="J289" s="796">
        <f>L289+O289</f>
        <v>50000</v>
      </c>
      <c r="K289" s="416">
        <v>50000</v>
      </c>
      <c r="L289" s="416"/>
      <c r="M289" s="416"/>
      <c r="N289" s="416"/>
      <c r="O289" s="797">
        <f>K289</f>
        <v>50000</v>
      </c>
      <c r="P289" s="796">
        <f>E289+J289</f>
        <v>50000</v>
      </c>
    </row>
    <row r="290" spans="1:18" ht="136.5" thickTop="1" thickBot="1" x14ac:dyDescent="0.25">
      <c r="A290" s="680" t="s">
        <v>189</v>
      </c>
      <c r="B290" s="680"/>
      <c r="C290" s="680"/>
      <c r="D290" s="681" t="s">
        <v>27</v>
      </c>
      <c r="E290" s="682">
        <f>E291</f>
        <v>87015885</v>
      </c>
      <c r="F290" s="683">
        <f t="shared" ref="F290:G290" si="246">F291</f>
        <v>87015885</v>
      </c>
      <c r="G290" s="683">
        <f t="shared" si="246"/>
        <v>7700000</v>
      </c>
      <c r="H290" s="683">
        <f>H291</f>
        <v>131350</v>
      </c>
      <c r="I290" s="683">
        <f t="shared" ref="I290" si="247">I291</f>
        <v>0</v>
      </c>
      <c r="J290" s="682">
        <f>J291</f>
        <v>0</v>
      </c>
      <c r="K290" s="683">
        <f>K291</f>
        <v>0</v>
      </c>
      <c r="L290" s="683">
        <f>L291</f>
        <v>0</v>
      </c>
      <c r="M290" s="683">
        <f t="shared" ref="M290" si="248">M291</f>
        <v>0</v>
      </c>
      <c r="N290" s="682">
        <f>N291</f>
        <v>0</v>
      </c>
      <c r="O290" s="682">
        <f>O291</f>
        <v>0</v>
      </c>
      <c r="P290" s="683">
        <f t="shared" ref="P290" si="249">P291</f>
        <v>87015885</v>
      </c>
    </row>
    <row r="291" spans="1:18" ht="136.5" thickTop="1" thickBot="1" x14ac:dyDescent="0.25">
      <c r="A291" s="684" t="s">
        <v>190</v>
      </c>
      <c r="B291" s="684"/>
      <c r="C291" s="684"/>
      <c r="D291" s="685" t="s">
        <v>42</v>
      </c>
      <c r="E291" s="686">
        <f>E292+E295+E299</f>
        <v>87015885</v>
      </c>
      <c r="F291" s="686">
        <f t="shared" ref="F291:I291" si="250">F292+F295+F299</f>
        <v>87015885</v>
      </c>
      <c r="G291" s="686">
        <f t="shared" si="250"/>
        <v>7700000</v>
      </c>
      <c r="H291" s="686">
        <f t="shared" si="250"/>
        <v>131350</v>
      </c>
      <c r="I291" s="686">
        <f t="shared" si="250"/>
        <v>0</v>
      </c>
      <c r="J291" s="686">
        <f>L291+O291</f>
        <v>0</v>
      </c>
      <c r="K291" s="686">
        <f t="shared" ref="K291:O291" si="251">K292+K295+K299</f>
        <v>0</v>
      </c>
      <c r="L291" s="686">
        <f t="shared" si="251"/>
        <v>0</v>
      </c>
      <c r="M291" s="686">
        <f t="shared" si="251"/>
        <v>0</v>
      </c>
      <c r="N291" s="686">
        <f t="shared" si="251"/>
        <v>0</v>
      </c>
      <c r="O291" s="686">
        <f t="shared" si="251"/>
        <v>0</v>
      </c>
      <c r="P291" s="687">
        <f>E291+J291</f>
        <v>87015885</v>
      </c>
      <c r="Q291" s="181" t="b">
        <f>P291=P296+P298+P301+P293+P294</f>
        <v>1</v>
      </c>
      <c r="R291" s="277"/>
    </row>
    <row r="292" spans="1:18" ht="47.25" thickTop="1" thickBot="1" x14ac:dyDescent="0.25">
      <c r="A292" s="251" t="s">
        <v>1050</v>
      </c>
      <c r="B292" s="251" t="s">
        <v>880</v>
      </c>
      <c r="C292" s="251"/>
      <c r="D292" s="251" t="s">
        <v>881</v>
      </c>
      <c r="E292" s="796">
        <f>SUM(E293:E294)</f>
        <v>9678150</v>
      </c>
      <c r="F292" s="796">
        <f t="shared" ref="F292:P292" si="252">SUM(F293:F294)</f>
        <v>9678150</v>
      </c>
      <c r="G292" s="796">
        <f t="shared" si="252"/>
        <v>7700000</v>
      </c>
      <c r="H292" s="796">
        <f t="shared" si="252"/>
        <v>131350</v>
      </c>
      <c r="I292" s="796">
        <f t="shared" si="252"/>
        <v>0</v>
      </c>
      <c r="J292" s="796">
        <f t="shared" si="252"/>
        <v>0</v>
      </c>
      <c r="K292" s="796">
        <f t="shared" si="252"/>
        <v>0</v>
      </c>
      <c r="L292" s="796">
        <f t="shared" si="252"/>
        <v>0</v>
      </c>
      <c r="M292" s="796">
        <f t="shared" si="252"/>
        <v>0</v>
      </c>
      <c r="N292" s="796">
        <f t="shared" si="252"/>
        <v>0</v>
      </c>
      <c r="O292" s="796">
        <f t="shared" si="252"/>
        <v>0</v>
      </c>
      <c r="P292" s="796">
        <f t="shared" si="252"/>
        <v>9678150</v>
      </c>
      <c r="Q292" s="181"/>
      <c r="R292" s="277"/>
    </row>
    <row r="293" spans="1:18" ht="230.25" thickTop="1" thickBot="1" x14ac:dyDescent="0.25">
      <c r="A293" s="795" t="s">
        <v>458</v>
      </c>
      <c r="B293" s="795" t="s">
        <v>261</v>
      </c>
      <c r="C293" s="795" t="s">
        <v>259</v>
      </c>
      <c r="D293" s="795" t="s">
        <v>260</v>
      </c>
      <c r="E293" s="796">
        <f>F293</f>
        <v>9675150</v>
      </c>
      <c r="F293" s="416">
        <f>(7700000+1540000+152690+146035+7000+71000+4400+51000+4950+1075-3000)</f>
        <v>9675150</v>
      </c>
      <c r="G293" s="416">
        <v>7700000</v>
      </c>
      <c r="H293" s="416">
        <f>(71000+4400+51000+4950)</f>
        <v>131350</v>
      </c>
      <c r="I293" s="416"/>
      <c r="J293" s="796">
        <f>L293+O293</f>
        <v>0</v>
      </c>
      <c r="K293" s="416"/>
      <c r="L293" s="416"/>
      <c r="M293" s="416"/>
      <c r="N293" s="416"/>
      <c r="O293" s="797">
        <f>K293</f>
        <v>0</v>
      </c>
      <c r="P293" s="796">
        <f>E293+J293</f>
        <v>9675150</v>
      </c>
      <c r="Q293" s="276"/>
      <c r="R293" s="277"/>
    </row>
    <row r="294" spans="1:18" ht="184.5" thickTop="1" thickBot="1" x14ac:dyDescent="0.25">
      <c r="A294" s="795" t="s">
        <v>829</v>
      </c>
      <c r="B294" s="795" t="s">
        <v>398</v>
      </c>
      <c r="C294" s="795" t="s">
        <v>815</v>
      </c>
      <c r="D294" s="795" t="s">
        <v>816</v>
      </c>
      <c r="E294" s="418">
        <f>F294</f>
        <v>3000</v>
      </c>
      <c r="F294" s="247">
        <v>3000</v>
      </c>
      <c r="G294" s="247"/>
      <c r="H294" s="247"/>
      <c r="I294" s="247"/>
      <c r="J294" s="796">
        <f t="shared" ref="J294" si="253">L294+O294</f>
        <v>0</v>
      </c>
      <c r="K294" s="247"/>
      <c r="L294" s="248"/>
      <c r="M294" s="248"/>
      <c r="N294" s="248"/>
      <c r="O294" s="797">
        <f t="shared" ref="O294" si="254">K294</f>
        <v>0</v>
      </c>
      <c r="P294" s="796">
        <f t="shared" ref="P294" si="255">+J294+E294</f>
        <v>3000</v>
      </c>
      <c r="Q294" s="276"/>
      <c r="R294" s="277"/>
    </row>
    <row r="295" spans="1:18" ht="47.25" thickTop="1" thickBot="1" x14ac:dyDescent="0.25">
      <c r="A295" s="251" t="s">
        <v>1051</v>
      </c>
      <c r="B295" s="251" t="s">
        <v>892</v>
      </c>
      <c r="C295" s="251"/>
      <c r="D295" s="251" t="s">
        <v>893</v>
      </c>
      <c r="E295" s="418">
        <f>E296+E297</f>
        <v>4033835</v>
      </c>
      <c r="F295" s="418">
        <f t="shared" ref="F295:P295" si="256">F296+F297</f>
        <v>4033835</v>
      </c>
      <c r="G295" s="418">
        <f t="shared" si="256"/>
        <v>0</v>
      </c>
      <c r="H295" s="418">
        <f t="shared" si="256"/>
        <v>0</v>
      </c>
      <c r="I295" s="418">
        <f t="shared" si="256"/>
        <v>0</v>
      </c>
      <c r="J295" s="418">
        <f t="shared" si="256"/>
        <v>0</v>
      </c>
      <c r="K295" s="418">
        <f t="shared" si="256"/>
        <v>0</v>
      </c>
      <c r="L295" s="418">
        <f t="shared" si="256"/>
        <v>0</v>
      </c>
      <c r="M295" s="418">
        <f t="shared" si="256"/>
        <v>0</v>
      </c>
      <c r="N295" s="418">
        <f t="shared" si="256"/>
        <v>0</v>
      </c>
      <c r="O295" s="418">
        <f t="shared" si="256"/>
        <v>0</v>
      </c>
      <c r="P295" s="418">
        <f t="shared" si="256"/>
        <v>4033835</v>
      </c>
      <c r="Q295" s="276"/>
      <c r="R295" s="277"/>
    </row>
    <row r="296" spans="1:18" ht="91.5" thickTop="1" thickBot="1" x14ac:dyDescent="0.25">
      <c r="A296" s="764">
        <v>3718600</v>
      </c>
      <c r="B296" s="764">
        <v>8600</v>
      </c>
      <c r="C296" s="557" t="s">
        <v>398</v>
      </c>
      <c r="D296" s="764" t="s">
        <v>498</v>
      </c>
      <c r="E296" s="555">
        <f>F296</f>
        <v>1033835</v>
      </c>
      <c r="F296" s="555">
        <v>1033835</v>
      </c>
      <c r="G296" s="555"/>
      <c r="H296" s="555"/>
      <c r="I296" s="555"/>
      <c r="J296" s="555">
        <f>L296+O296</f>
        <v>0</v>
      </c>
      <c r="K296" s="555"/>
      <c r="L296" s="555"/>
      <c r="M296" s="555"/>
      <c r="N296" s="555"/>
      <c r="O296" s="765">
        <f>K296</f>
        <v>0</v>
      </c>
      <c r="P296" s="555">
        <f>E296+J296</f>
        <v>1033835</v>
      </c>
    </row>
    <row r="297" spans="1:18" ht="47.25" thickTop="1" thickBot="1" x14ac:dyDescent="0.25">
      <c r="A297" s="764">
        <v>3718700</v>
      </c>
      <c r="B297" s="764">
        <v>8700</v>
      </c>
      <c r="C297" s="557"/>
      <c r="D297" s="764" t="s">
        <v>1052</v>
      </c>
      <c r="E297" s="555">
        <f>E298</f>
        <v>3000000</v>
      </c>
      <c r="F297" s="555">
        <f t="shared" ref="F297:P297" si="257">F298</f>
        <v>3000000</v>
      </c>
      <c r="G297" s="555">
        <f t="shared" si="257"/>
        <v>0</v>
      </c>
      <c r="H297" s="555">
        <f t="shared" si="257"/>
        <v>0</v>
      </c>
      <c r="I297" s="555">
        <f t="shared" si="257"/>
        <v>0</v>
      </c>
      <c r="J297" s="555">
        <f t="shared" si="257"/>
        <v>0</v>
      </c>
      <c r="K297" s="555">
        <f t="shared" si="257"/>
        <v>0</v>
      </c>
      <c r="L297" s="555">
        <f t="shared" si="257"/>
        <v>0</v>
      </c>
      <c r="M297" s="555">
        <f t="shared" si="257"/>
        <v>0</v>
      </c>
      <c r="N297" s="555">
        <f t="shared" si="257"/>
        <v>0</v>
      </c>
      <c r="O297" s="555">
        <f t="shared" si="257"/>
        <v>0</v>
      </c>
      <c r="P297" s="555">
        <f t="shared" si="257"/>
        <v>3000000</v>
      </c>
    </row>
    <row r="298" spans="1:18" ht="93" thickTop="1" thickBot="1" x14ac:dyDescent="0.25">
      <c r="A298" s="361">
        <v>3718710</v>
      </c>
      <c r="B298" s="361">
        <v>8710</v>
      </c>
      <c r="C298" s="795" t="s">
        <v>44</v>
      </c>
      <c r="D298" s="434" t="s">
        <v>835</v>
      </c>
      <c r="E298" s="796">
        <f>F298</f>
        <v>3000000</v>
      </c>
      <c r="F298" s="416">
        <v>3000000</v>
      </c>
      <c r="G298" s="416"/>
      <c r="H298" s="416"/>
      <c r="I298" s="416"/>
      <c r="J298" s="796">
        <f>L298+O298</f>
        <v>0</v>
      </c>
      <c r="K298" s="416"/>
      <c r="L298" s="416"/>
      <c r="M298" s="416"/>
      <c r="N298" s="416"/>
      <c r="O298" s="797">
        <f>K298</f>
        <v>0</v>
      </c>
      <c r="P298" s="796">
        <f>E298+J298</f>
        <v>3000000</v>
      </c>
    </row>
    <row r="299" spans="1:18" ht="47.25" thickTop="1" thickBot="1" x14ac:dyDescent="0.25">
      <c r="A299" s="251" t="s">
        <v>1053</v>
      </c>
      <c r="B299" s="251" t="s">
        <v>898</v>
      </c>
      <c r="C299" s="251"/>
      <c r="D299" s="251" t="s">
        <v>899</v>
      </c>
      <c r="E299" s="796">
        <f>E300</f>
        <v>73303900</v>
      </c>
      <c r="F299" s="796">
        <f t="shared" ref="F299:P300" si="258">F300</f>
        <v>73303900</v>
      </c>
      <c r="G299" s="796">
        <f t="shared" si="258"/>
        <v>0</v>
      </c>
      <c r="H299" s="796">
        <f t="shared" si="258"/>
        <v>0</v>
      </c>
      <c r="I299" s="796">
        <f t="shared" si="258"/>
        <v>0</v>
      </c>
      <c r="J299" s="796">
        <f t="shared" si="258"/>
        <v>0</v>
      </c>
      <c r="K299" s="796">
        <f t="shared" si="258"/>
        <v>0</v>
      </c>
      <c r="L299" s="796">
        <f t="shared" si="258"/>
        <v>0</v>
      </c>
      <c r="M299" s="796">
        <f t="shared" si="258"/>
        <v>0</v>
      </c>
      <c r="N299" s="796">
        <f t="shared" si="258"/>
        <v>0</v>
      </c>
      <c r="O299" s="796">
        <f t="shared" si="258"/>
        <v>0</v>
      </c>
      <c r="P299" s="796">
        <f t="shared" si="258"/>
        <v>73303900</v>
      </c>
    </row>
    <row r="300" spans="1:18" ht="91.5" thickTop="1" thickBot="1" x14ac:dyDescent="0.25">
      <c r="A300" s="764">
        <v>3719100</v>
      </c>
      <c r="B300" s="557" t="s">
        <v>1055</v>
      </c>
      <c r="C300" s="557"/>
      <c r="D300" s="557" t="s">
        <v>1054</v>
      </c>
      <c r="E300" s="555">
        <f>E301</f>
        <v>73303900</v>
      </c>
      <c r="F300" s="555">
        <f t="shared" si="258"/>
        <v>73303900</v>
      </c>
      <c r="G300" s="555">
        <f t="shared" si="258"/>
        <v>0</v>
      </c>
      <c r="H300" s="555">
        <f t="shared" si="258"/>
        <v>0</v>
      </c>
      <c r="I300" s="555">
        <f t="shared" si="258"/>
        <v>0</v>
      </c>
      <c r="J300" s="555">
        <f t="shared" si="258"/>
        <v>0</v>
      </c>
      <c r="K300" s="555">
        <f t="shared" si="258"/>
        <v>0</v>
      </c>
      <c r="L300" s="555">
        <f t="shared" si="258"/>
        <v>0</v>
      </c>
      <c r="M300" s="555">
        <f t="shared" si="258"/>
        <v>0</v>
      </c>
      <c r="N300" s="555">
        <f t="shared" si="258"/>
        <v>0</v>
      </c>
      <c r="O300" s="555">
        <f t="shared" si="258"/>
        <v>0</v>
      </c>
      <c r="P300" s="555">
        <f t="shared" si="258"/>
        <v>73303900</v>
      </c>
    </row>
    <row r="301" spans="1:18" ht="48" thickTop="1" thickBot="1" x14ac:dyDescent="0.25">
      <c r="A301" s="361">
        <v>3719110</v>
      </c>
      <c r="B301" s="361">
        <v>9110</v>
      </c>
      <c r="C301" s="795" t="s">
        <v>45</v>
      </c>
      <c r="D301" s="434" t="s">
        <v>497</v>
      </c>
      <c r="E301" s="796">
        <f>F301</f>
        <v>73303900</v>
      </c>
      <c r="F301" s="416">
        <v>73303900</v>
      </c>
      <c r="G301" s="416"/>
      <c r="H301" s="416"/>
      <c r="I301" s="416"/>
      <c r="J301" s="796">
        <f>L301+O301</f>
        <v>0</v>
      </c>
      <c r="K301" s="416"/>
      <c r="L301" s="416"/>
      <c r="M301" s="416"/>
      <c r="N301" s="416"/>
      <c r="O301" s="797">
        <f>K301</f>
        <v>0</v>
      </c>
      <c r="P301" s="796">
        <f>E301+J301</f>
        <v>73303900</v>
      </c>
    </row>
    <row r="302" spans="1:18" ht="159.75" customHeight="1" thickTop="1" thickBot="1" x14ac:dyDescent="0.25">
      <c r="A302" s="325" t="s">
        <v>418</v>
      </c>
      <c r="B302" s="325" t="s">
        <v>418</v>
      </c>
      <c r="C302" s="325" t="s">
        <v>418</v>
      </c>
      <c r="D302" s="326" t="s">
        <v>428</v>
      </c>
      <c r="E302" s="437">
        <f t="shared" ref="E302:P302" si="259">E17+E41+E149+E69+E90+E131++E223+E241+E291+E259+E270+E282+E249+E195+E176</f>
        <v>2657950029.6599998</v>
      </c>
      <c r="F302" s="437">
        <f>F17+F41+F149+F69+F90+F131++F223+F241+F291+F259+F270+F282+F249+F195+F176</f>
        <v>2657950029.6599998</v>
      </c>
      <c r="G302" s="437">
        <f t="shared" si="259"/>
        <v>1434828740.47</v>
      </c>
      <c r="H302" s="437">
        <f t="shared" si="259"/>
        <v>101293241.78999999</v>
      </c>
      <c r="I302" s="437">
        <f t="shared" si="259"/>
        <v>0</v>
      </c>
      <c r="J302" s="437">
        <f t="shared" si="259"/>
        <v>509024864.91000003</v>
      </c>
      <c r="K302" s="437">
        <f t="shared" si="259"/>
        <v>346106659.33999997</v>
      </c>
      <c r="L302" s="437">
        <f t="shared" si="259"/>
        <v>160771023.54000002</v>
      </c>
      <c r="M302" s="437">
        <f t="shared" si="259"/>
        <v>49533322</v>
      </c>
      <c r="N302" s="437">
        <f t="shared" si="259"/>
        <v>9357568</v>
      </c>
      <c r="O302" s="437">
        <f t="shared" si="259"/>
        <v>348253841.37</v>
      </c>
      <c r="P302" s="437">
        <f t="shared" si="259"/>
        <v>3166974894.5700002</v>
      </c>
      <c r="Q302" s="84" t="e">
        <f>K302=#REF!</f>
        <v>#REF!</v>
      </c>
      <c r="R302" s="84" t="b">
        <f>P302=J302+E302</f>
        <v>1</v>
      </c>
    </row>
    <row r="303" spans="1:18" ht="49.5" customHeight="1" thickTop="1" x14ac:dyDescent="0.2">
      <c r="A303" s="833" t="s">
        <v>554</v>
      </c>
      <c r="B303" s="834"/>
      <c r="C303" s="834"/>
      <c r="D303" s="834"/>
      <c r="E303" s="834"/>
      <c r="F303" s="834"/>
      <c r="G303" s="834"/>
      <c r="H303" s="834"/>
      <c r="I303" s="834"/>
      <c r="J303" s="834"/>
      <c r="K303" s="834"/>
      <c r="L303" s="834"/>
      <c r="M303" s="834"/>
      <c r="N303" s="834"/>
      <c r="O303" s="834"/>
      <c r="P303" s="834"/>
      <c r="Q303" s="282"/>
    </row>
    <row r="304" spans="1:18" ht="60.75" hidden="1" x14ac:dyDescent="0.2">
      <c r="A304" s="802"/>
      <c r="B304" s="803"/>
      <c r="C304" s="803"/>
      <c r="D304" s="803"/>
      <c r="E304" s="131" t="e">
        <f>F304</f>
        <v>#REF!</v>
      </c>
      <c r="F304" s="131" t="e">
        <f>((2638170564+6058967+642850)-#REF!+#REF!)+16026676.66</f>
        <v>#REF!</v>
      </c>
      <c r="G304" s="131">
        <f>(354000+540000+1494859+80242670+1114143912+4186600+68381820+89280550+40854695+37511680)-3284345.53+1122300</f>
        <v>1434828740.47</v>
      </c>
      <c r="H304" s="131">
        <f>(6000+3000+20785+3339900+87477970+201540+2063407+3907125+2243165+730080+50000+6058967)-4296997.21+25300+63000-165000-635000+200000</f>
        <v>101293241.79000001</v>
      </c>
      <c r="I304" s="131"/>
      <c r="J304" s="131">
        <f>(356021747.58+79713450)+73413409.53-123742.2</f>
        <v>509024864.91000003</v>
      </c>
      <c r="K304" s="131">
        <f>((356021747.58+79713450)-4201200-630900-155853885)+73413409.53-123742.2-1155966.58-127015.03-854238.96-95000</f>
        <v>346106659.34000009</v>
      </c>
      <c r="L304" s="131">
        <f>((4201200-49000)+630900+(155853885-1788820-106000))+78600-9947+1155966.58+854238.96-50000</f>
        <v>160771023.54000002</v>
      </c>
      <c r="M304" s="131">
        <f>866362+41217060+104000+7345900</f>
        <v>49533322</v>
      </c>
      <c r="N304" s="131">
        <f>308978+8654190+137000+257400</f>
        <v>9357568</v>
      </c>
      <c r="O304" s="131">
        <f>((356021747.58+79713450)-(4201200-49000)-630900-(155853885-1788820-106000))+16400+9947+(73413409.53-123742.2-95000-1155966.58-854238.96)+50000</f>
        <v>348253841.37</v>
      </c>
      <c r="P304" s="131" t="e">
        <f>(2994192311.58+6058967+80356300)-#REF!+#REF!+(89440086.19-123742.2)</f>
        <v>#REF!</v>
      </c>
      <c r="Q304" s="84" t="e">
        <f>E304+J304=P304</f>
        <v>#REF!</v>
      </c>
      <c r="R304" s="282"/>
    </row>
    <row r="305" spans="1:18" ht="45.75" x14ac:dyDescent="0.65">
      <c r="A305" s="802"/>
      <c r="B305" s="803"/>
      <c r="C305" s="803"/>
      <c r="D305" s="202" t="s">
        <v>1272</v>
      </c>
      <c r="E305" s="120"/>
      <c r="F305" s="120"/>
      <c r="G305" s="120"/>
      <c r="H305" s="202"/>
      <c r="I305" s="179"/>
      <c r="J305" s="179"/>
      <c r="K305" s="202" t="s">
        <v>1273</v>
      </c>
      <c r="L305" s="179"/>
      <c r="M305" s="179"/>
      <c r="N305" s="179"/>
      <c r="O305" s="179"/>
      <c r="P305" s="179"/>
      <c r="Q305" s="282"/>
    </row>
    <row r="306" spans="1:18" ht="45.75" x14ac:dyDescent="0.65">
      <c r="A306" s="802"/>
      <c r="B306" s="803"/>
      <c r="C306" s="803"/>
      <c r="D306" s="814"/>
      <c r="E306" s="814"/>
      <c r="F306" s="814"/>
      <c r="G306" s="814"/>
      <c r="H306" s="814"/>
      <c r="I306" s="814"/>
      <c r="J306" s="814"/>
      <c r="K306" s="814"/>
      <c r="L306" s="814"/>
      <c r="M306" s="814"/>
      <c r="N306" s="814"/>
      <c r="O306" s="814"/>
      <c r="P306" s="814"/>
      <c r="Q306" s="282"/>
    </row>
    <row r="307" spans="1:18" ht="45.75" x14ac:dyDescent="0.65">
      <c r="A307" s="802"/>
      <c r="B307" s="803"/>
      <c r="C307" s="803"/>
      <c r="D307" s="202" t="s">
        <v>621</v>
      </c>
      <c r="E307" s="120"/>
      <c r="F307" s="120"/>
      <c r="G307" s="120"/>
      <c r="H307" s="202"/>
      <c r="I307" s="179"/>
      <c r="J307" s="179"/>
      <c r="K307" s="202" t="s">
        <v>622</v>
      </c>
      <c r="L307" s="179"/>
      <c r="M307" s="179"/>
      <c r="N307" s="179"/>
      <c r="O307" s="179"/>
      <c r="P307" s="179"/>
      <c r="Q307" s="282"/>
    </row>
    <row r="308" spans="1:18" ht="45.75" x14ac:dyDescent="0.65">
      <c r="A308" s="799"/>
      <c r="B308" s="799"/>
      <c r="C308" s="799"/>
      <c r="D308" s="814"/>
      <c r="E308" s="814"/>
      <c r="F308" s="814"/>
      <c r="G308" s="814"/>
      <c r="H308" s="814"/>
      <c r="I308" s="814"/>
      <c r="J308" s="814"/>
      <c r="K308" s="814"/>
      <c r="L308" s="814"/>
      <c r="M308" s="814"/>
      <c r="N308" s="814"/>
      <c r="O308" s="814"/>
      <c r="P308" s="814"/>
      <c r="Q308" s="283"/>
    </row>
    <row r="309" spans="1:18" ht="150.75" hidden="1" customHeight="1" x14ac:dyDescent="0.65">
      <c r="D309" s="814" t="s">
        <v>623</v>
      </c>
      <c r="E309" s="814"/>
      <c r="F309" s="814"/>
      <c r="G309" s="814"/>
      <c r="H309" s="814"/>
      <c r="I309" s="814"/>
      <c r="J309" s="814"/>
      <c r="K309" s="814"/>
      <c r="L309" s="814"/>
      <c r="M309" s="814"/>
      <c r="N309" s="814"/>
      <c r="O309" s="814"/>
      <c r="P309" s="814"/>
    </row>
    <row r="310" spans="1:18" ht="95.25" customHeight="1" x14ac:dyDescent="0.55000000000000004">
      <c r="G310" s="373"/>
      <c r="H310" s="373"/>
      <c r="Q310" s="274"/>
    </row>
    <row r="311" spans="1:18" hidden="1" x14ac:dyDescent="0.2">
      <c r="E311" s="4"/>
      <c r="F311" s="3"/>
      <c r="G311" s="373"/>
      <c r="H311" s="373"/>
      <c r="J311" s="4"/>
      <c r="K311" s="4"/>
    </row>
    <row r="312" spans="1:18" hidden="1" x14ac:dyDescent="0.2">
      <c r="E312" s="4"/>
      <c r="F312" s="3"/>
      <c r="G312" s="373"/>
      <c r="H312" s="373"/>
      <c r="J312" s="4"/>
      <c r="K312" s="4"/>
    </row>
    <row r="313" spans="1:18" ht="60.75" x14ac:dyDescent="0.2">
      <c r="E313" s="84" t="e">
        <f>E304=E302</f>
        <v>#REF!</v>
      </c>
      <c r="F313" s="84" t="e">
        <f>F304=F302</f>
        <v>#REF!</v>
      </c>
      <c r="G313" s="84" t="b">
        <f>G304=G302</f>
        <v>1</v>
      </c>
      <c r="H313" s="84" t="b">
        <f t="shared" ref="H313:O313" si="260">H304=H302</f>
        <v>1</v>
      </c>
      <c r="I313" s="84" t="b">
        <f>I304=I302</f>
        <v>1</v>
      </c>
      <c r="J313" s="84" t="b">
        <f>J304=J302</f>
        <v>1</v>
      </c>
      <c r="K313" s="84" t="b">
        <f>K304=K302</f>
        <v>1</v>
      </c>
      <c r="L313" s="84" t="b">
        <f t="shared" si="260"/>
        <v>1</v>
      </c>
      <c r="M313" s="84" t="b">
        <f t="shared" si="260"/>
        <v>1</v>
      </c>
      <c r="N313" s="84" t="b">
        <f t="shared" si="260"/>
        <v>1</v>
      </c>
      <c r="O313" s="84" t="b">
        <f t="shared" si="260"/>
        <v>1</v>
      </c>
      <c r="P313" s="84" t="e">
        <f>P304=P302</f>
        <v>#REF!</v>
      </c>
    </row>
    <row r="314" spans="1:18" ht="61.5" x14ac:dyDescent="0.2">
      <c r="E314" s="84" t="b">
        <f>E302=F302</f>
        <v>1</v>
      </c>
      <c r="F314" s="182">
        <f>F298/E302*100</f>
        <v>0.11286893908926326</v>
      </c>
      <c r="G314" s="91" t="s">
        <v>351</v>
      </c>
      <c r="H314" s="380"/>
      <c r="I314" s="183"/>
      <c r="J314" s="84" t="b">
        <f>J304=L304+O304</f>
        <v>1</v>
      </c>
      <c r="K314" s="184"/>
      <c r="L314" s="84"/>
      <c r="M314" s="183"/>
      <c r="N314" s="183"/>
      <c r="O314" s="84"/>
      <c r="P314" s="84" t="b">
        <f>E302+J302=P302</f>
        <v>1</v>
      </c>
    </row>
    <row r="315" spans="1:18" ht="60.75" x14ac:dyDescent="0.2">
      <c r="E315" s="185"/>
      <c r="F315" s="186"/>
      <c r="G315" s="185"/>
      <c r="H315" s="381"/>
      <c r="I315" s="185"/>
      <c r="J315" s="4"/>
      <c r="K315" s="4"/>
    </row>
    <row r="316" spans="1:18" ht="61.5" x14ac:dyDescent="0.2">
      <c r="A316" s="793"/>
      <c r="B316" s="793"/>
      <c r="C316" s="793"/>
      <c r="D316" s="6"/>
      <c r="E316" s="793"/>
      <c r="F316" s="91">
        <f>F298/P302*100</f>
        <v>9.4727621780131874E-2</v>
      </c>
      <c r="G316" s="91" t="s">
        <v>351</v>
      </c>
      <c r="H316" s="380"/>
      <c r="I316" s="6"/>
      <c r="J316" s="96"/>
      <c r="K316" s="96"/>
      <c r="L316" s="96"/>
      <c r="M316" s="96"/>
      <c r="N316" s="96"/>
      <c r="O316" s="96"/>
      <c r="P316" s="96"/>
    </row>
    <row r="317" spans="1:18" ht="61.5" x14ac:dyDescent="0.2">
      <c r="D317" s="6"/>
      <c r="E317" s="96"/>
      <c r="F317" s="187"/>
      <c r="G317" s="84"/>
      <c r="H317" s="380"/>
      <c r="I317" s="6"/>
      <c r="J317" s="96"/>
      <c r="K317" s="96"/>
      <c r="L317" s="157"/>
      <c r="P317" s="84"/>
      <c r="Q317" s="278"/>
      <c r="R317" s="281"/>
    </row>
    <row r="318" spans="1:18" ht="60.75" x14ac:dyDescent="0.2">
      <c r="A318" s="793"/>
      <c r="B318" s="793"/>
      <c r="C318" s="793"/>
      <c r="D318" s="6"/>
      <c r="E318" s="180"/>
      <c r="F318" s="180" t="e">
        <f>F304-F302</f>
        <v>#REF!</v>
      </c>
      <c r="G318" s="180"/>
      <c r="H318" s="180"/>
      <c r="I318" s="188"/>
      <c r="J318" s="180"/>
      <c r="K318" s="180"/>
      <c r="L318" s="180"/>
      <c r="M318" s="180"/>
      <c r="N318" s="180"/>
      <c r="O318" s="180"/>
      <c r="P318" s="180"/>
      <c r="Q318" s="278"/>
      <c r="R318" s="281"/>
    </row>
    <row r="319" spans="1:18" ht="60.75" x14ac:dyDescent="0.2">
      <c r="D319" s="6"/>
      <c r="E319" s="96"/>
      <c r="F319" s="118"/>
      <c r="G319" s="343"/>
      <c r="O319" s="84"/>
      <c r="P319" s="84"/>
    </row>
    <row r="320" spans="1:18" ht="60.75" x14ac:dyDescent="0.2">
      <c r="A320" s="793"/>
      <c r="B320" s="793"/>
      <c r="C320" s="793"/>
      <c r="D320" s="6"/>
      <c r="E320" s="96"/>
      <c r="F320" s="91"/>
      <c r="G320" s="157"/>
      <c r="I320" s="195"/>
      <c r="J320" s="4"/>
      <c r="K320" s="4"/>
      <c r="L320" s="793"/>
      <c r="M320" s="793"/>
      <c r="N320" s="793"/>
      <c r="O320" s="793"/>
      <c r="P320" s="84"/>
    </row>
    <row r="321" spans="1:16" ht="62.25" x14ac:dyDescent="0.8">
      <c r="A321" s="793"/>
      <c r="B321" s="793"/>
      <c r="C321" s="793"/>
      <c r="D321" s="793"/>
      <c r="E321" s="9"/>
      <c r="F321" s="91"/>
      <c r="J321" s="4"/>
      <c r="K321" s="4"/>
      <c r="L321" s="793"/>
      <c r="M321" s="793"/>
      <c r="N321" s="793"/>
      <c r="O321" s="793"/>
      <c r="P321" s="99"/>
    </row>
    <row r="322" spans="1:16" ht="45.75" x14ac:dyDescent="0.2">
      <c r="E322" s="158">
        <f>E298/E302</f>
        <v>1.1286893908926327E-3</v>
      </c>
      <c r="F322" s="118"/>
    </row>
    <row r="323" spans="1:16" ht="45.75" x14ac:dyDescent="0.2">
      <c r="A323" s="793"/>
      <c r="B323" s="793"/>
      <c r="C323" s="793"/>
      <c r="D323" s="793"/>
      <c r="E323" s="9"/>
      <c r="F323" s="91"/>
      <c r="L323" s="793"/>
      <c r="M323" s="793"/>
      <c r="N323" s="793"/>
      <c r="O323" s="793"/>
      <c r="P323" s="793"/>
    </row>
    <row r="324" spans="1:16" ht="45.75" x14ac:dyDescent="0.2">
      <c r="E324" s="10"/>
      <c r="F324" s="118"/>
    </row>
    <row r="325" spans="1:16" ht="45.75" x14ac:dyDescent="0.2">
      <c r="E325" s="10"/>
      <c r="F325" s="118"/>
    </row>
    <row r="326" spans="1:16" ht="45.75" x14ac:dyDescent="0.2">
      <c r="E326" s="10"/>
      <c r="F326" s="118"/>
    </row>
    <row r="327" spans="1:16" ht="45.75" x14ac:dyDescent="0.2">
      <c r="A327" s="793"/>
      <c r="B327" s="793"/>
      <c r="C327" s="793"/>
      <c r="D327" s="793"/>
      <c r="E327" s="10"/>
      <c r="F327" s="118"/>
      <c r="G327" s="793"/>
      <c r="H327" s="793"/>
      <c r="I327" s="793"/>
      <c r="J327" s="793"/>
      <c r="K327" s="793"/>
      <c r="L327" s="793"/>
      <c r="M327" s="793"/>
      <c r="N327" s="793"/>
      <c r="O327" s="793"/>
      <c r="P327" s="793"/>
    </row>
    <row r="328" spans="1:16" ht="45.75" x14ac:dyDescent="0.2">
      <c r="A328" s="793"/>
      <c r="B328" s="793"/>
      <c r="C328" s="793"/>
      <c r="D328" s="793"/>
      <c r="E328" s="10"/>
      <c r="F328" s="118"/>
      <c r="G328" s="793"/>
      <c r="H328" s="793"/>
      <c r="I328" s="793"/>
      <c r="J328" s="793"/>
      <c r="K328" s="793"/>
      <c r="L328" s="793"/>
      <c r="M328" s="793"/>
      <c r="N328" s="793"/>
      <c r="O328" s="793"/>
      <c r="P328" s="793"/>
    </row>
    <row r="329" spans="1:16" ht="45.75" x14ac:dyDescent="0.2">
      <c r="A329" s="793"/>
      <c r="B329" s="793"/>
      <c r="C329" s="793"/>
      <c r="D329" s="793"/>
      <c r="E329" s="10"/>
      <c r="F329" s="118"/>
      <c r="G329" s="793"/>
      <c r="H329" s="793"/>
      <c r="I329" s="793"/>
      <c r="J329" s="793"/>
      <c r="K329" s="793"/>
      <c r="L329" s="793"/>
      <c r="M329" s="793"/>
      <c r="N329" s="793"/>
      <c r="O329" s="793"/>
      <c r="P329" s="793"/>
    </row>
    <row r="330" spans="1:16" ht="45.75" x14ac:dyDescent="0.2">
      <c r="A330" s="793"/>
      <c r="B330" s="793"/>
      <c r="C330" s="793"/>
      <c r="D330" s="793"/>
      <c r="E330" s="10"/>
      <c r="F330" s="118"/>
      <c r="G330" s="793"/>
      <c r="H330" s="793"/>
      <c r="I330" s="793"/>
      <c r="J330" s="793"/>
      <c r="K330" s="793"/>
      <c r="L330" s="793"/>
      <c r="M330" s="793"/>
      <c r="N330" s="793"/>
      <c r="O330" s="793"/>
      <c r="P330" s="793"/>
    </row>
  </sheetData>
  <mergeCells count="102">
    <mergeCell ref="D309:P309"/>
    <mergeCell ref="K215:K216"/>
    <mergeCell ref="L215:L216"/>
    <mergeCell ref="M215:M216"/>
    <mergeCell ref="N215:N216"/>
    <mergeCell ref="O215:O216"/>
    <mergeCell ref="P215:P216"/>
    <mergeCell ref="M192:M193"/>
    <mergeCell ref="N192:N193"/>
    <mergeCell ref="O192:O193"/>
    <mergeCell ref="A192:A193"/>
    <mergeCell ref="B192:B193"/>
    <mergeCell ref="C192:C193"/>
    <mergeCell ref="A303:P303"/>
    <mergeCell ref="D306:P306"/>
    <mergeCell ref="D308:P308"/>
    <mergeCell ref="A215:A216"/>
    <mergeCell ref="B215:B216"/>
    <mergeCell ref="C215:C216"/>
    <mergeCell ref="E215:E216"/>
    <mergeCell ref="F215:F216"/>
    <mergeCell ref="G215:G216"/>
    <mergeCell ref="H215:H216"/>
    <mergeCell ref="I215:I216"/>
    <mergeCell ref="J215:J216"/>
    <mergeCell ref="E192:E193"/>
    <mergeCell ref="F192:F193"/>
    <mergeCell ref="G192:G193"/>
    <mergeCell ref="H192:H193"/>
    <mergeCell ref="I192:I193"/>
    <mergeCell ref="I128:I129"/>
    <mergeCell ref="N49:N50"/>
    <mergeCell ref="O49:O50"/>
    <mergeCell ref="P49:P50"/>
    <mergeCell ref="J49:J50"/>
    <mergeCell ref="K49:K50"/>
    <mergeCell ref="L49:L50"/>
    <mergeCell ref="M49:M50"/>
    <mergeCell ref="O128:O129"/>
    <mergeCell ref="P128:P129"/>
    <mergeCell ref="J128:J129"/>
    <mergeCell ref="K128:K129"/>
    <mergeCell ref="L128:L129"/>
    <mergeCell ref="M128:M129"/>
    <mergeCell ref="N128:N129"/>
    <mergeCell ref="P192:P193"/>
    <mergeCell ref="J192:J193"/>
    <mergeCell ref="K192:K193"/>
    <mergeCell ref="L192:L193"/>
    <mergeCell ref="A128:A129"/>
    <mergeCell ref="B128:B129"/>
    <mergeCell ref="C128:C129"/>
    <mergeCell ref="E128:E129"/>
    <mergeCell ref="F128:F129"/>
    <mergeCell ref="G128:G129"/>
    <mergeCell ref="H128:H129"/>
    <mergeCell ref="H49:H50"/>
    <mergeCell ref="I49:I50"/>
    <mergeCell ref="A49:A50"/>
    <mergeCell ref="B49:B50"/>
    <mergeCell ref="C49:C50"/>
    <mergeCell ref="E49:E50"/>
    <mergeCell ref="F49:F50"/>
    <mergeCell ref="G49:G50"/>
    <mergeCell ref="K29:K30"/>
    <mergeCell ref="L29:L30"/>
    <mergeCell ref="M29:M30"/>
    <mergeCell ref="N29:N30"/>
    <mergeCell ref="O29:O30"/>
    <mergeCell ref="P29:P30"/>
    <mergeCell ref="O13:O14"/>
    <mergeCell ref="A29:A30"/>
    <mergeCell ref="B29:B30"/>
    <mergeCell ref="C29:C30"/>
    <mergeCell ref="E29:E30"/>
    <mergeCell ref="F29:F30"/>
    <mergeCell ref="G29:G30"/>
    <mergeCell ref="H29:H30"/>
    <mergeCell ref="I29:I30"/>
    <mergeCell ref="J29:J30"/>
    <mergeCell ref="A10:B10"/>
    <mergeCell ref="A12:A14"/>
    <mergeCell ref="B12:B14"/>
    <mergeCell ref="C12:C14"/>
    <mergeCell ref="D12:D14"/>
    <mergeCell ref="E12:I12"/>
    <mergeCell ref="N2:Q2"/>
    <mergeCell ref="N3:Q3"/>
    <mergeCell ref="O4:P4"/>
    <mergeCell ref="A6:P6"/>
    <mergeCell ref="A7:P7"/>
    <mergeCell ref="A9:B9"/>
    <mergeCell ref="J12:O12"/>
    <mergeCell ref="P12:P14"/>
    <mergeCell ref="E13:E14"/>
    <mergeCell ref="F13:F14"/>
    <mergeCell ref="G13:H13"/>
    <mergeCell ref="I13:I14"/>
    <mergeCell ref="J13:J14"/>
    <mergeCell ref="K13:K14"/>
    <mergeCell ref="L13:L14"/>
    <mergeCell ref="M13:N13"/>
  </mergeCells>
  <conditionalFormatting sqref="Q293:R295 Q291:Q292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282:R283 Q284:Q286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291:R292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259:R261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251:Q257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251:R257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Q249:Q250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249:R250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284:R286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241:R242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241:Q247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R243:R247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270:R271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272:R276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270:Q276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262:R268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Q277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Q27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Q280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Q278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  <rowBreaks count="3" manualBreakCount="3">
    <brk id="36" min="9" max="15" man="1"/>
    <brk id="78" max="15" man="1"/>
    <brk id="262" min="9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A509B-E30F-4538-933C-FF7EC6DF5EFF}">
  <dimension ref="A2:T330"/>
  <sheetViews>
    <sheetView tabSelected="1" view="pageBreakPreview" zoomScale="25" zoomScaleNormal="25" zoomScaleSheetLayoutView="25" zoomScalePageLayoutView="10" workbookViewId="0">
      <pane ySplit="15" topLeftCell="A78" activePane="bottomLeft" state="frozen"/>
      <selection activeCell="F175" sqref="F175"/>
      <selection pane="bottomLeft" activeCell="F297" sqref="F297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5" customWidth="1"/>
    <col min="6" max="6" width="62.5703125" style="1" customWidth="1"/>
    <col min="7" max="7" width="59.7109375" style="1" customWidth="1"/>
    <col min="8" max="8" width="48.140625" style="1" customWidth="1"/>
    <col min="9" max="9" width="41.85546875" style="1" customWidth="1"/>
    <col min="10" max="10" width="50.5703125" style="5" customWidth="1"/>
    <col min="11" max="11" width="52.5703125" style="5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56.140625" style="1" bestFit="1" customWidth="1"/>
    <col min="16" max="16" width="86.28515625" style="5" customWidth="1"/>
    <col min="17" max="17" width="52.140625" style="805" customWidth="1"/>
    <col min="18" max="18" width="33.85546875" style="805" customWidth="1"/>
    <col min="19" max="19" width="25.85546875" style="793" bestFit="1" customWidth="1"/>
    <col min="20" max="20" width="43.5703125" style="793" bestFit="1" customWidth="1"/>
    <col min="21" max="16384" width="9.140625" style="793"/>
  </cols>
  <sheetData>
    <row r="2" spans="1:18" ht="45.75" x14ac:dyDescent="0.2">
      <c r="D2" s="799"/>
      <c r="E2" s="800"/>
      <c r="F2" s="798"/>
      <c r="G2" s="800"/>
      <c r="H2" s="800"/>
      <c r="I2" s="800"/>
      <c r="J2" s="800"/>
      <c r="K2" s="800"/>
      <c r="L2" s="800"/>
      <c r="M2" s="800"/>
      <c r="N2" s="849" t="s">
        <v>549</v>
      </c>
      <c r="O2" s="811"/>
      <c r="P2" s="811"/>
      <c r="Q2" s="811"/>
    </row>
    <row r="3" spans="1:18" ht="45.75" x14ac:dyDescent="0.2">
      <c r="A3" s="799"/>
      <c r="B3" s="799"/>
      <c r="C3" s="799"/>
      <c r="D3" s="799"/>
      <c r="E3" s="800"/>
      <c r="F3" s="798"/>
      <c r="G3" s="800"/>
      <c r="H3" s="800"/>
      <c r="I3" s="800"/>
      <c r="J3" s="800"/>
      <c r="K3" s="800"/>
      <c r="L3" s="800"/>
      <c r="M3" s="800"/>
      <c r="N3" s="849" t="s">
        <v>1267</v>
      </c>
      <c r="O3" s="850"/>
      <c r="P3" s="850"/>
      <c r="Q3" s="850"/>
    </row>
    <row r="4" spans="1:18" ht="40.700000000000003" customHeight="1" x14ac:dyDescent="0.2">
      <c r="A4" s="799"/>
      <c r="B4" s="799"/>
      <c r="C4" s="799"/>
      <c r="D4" s="799"/>
      <c r="E4" s="800"/>
      <c r="F4" s="798"/>
      <c r="G4" s="800"/>
      <c r="H4" s="800"/>
      <c r="I4" s="800"/>
      <c r="J4" s="800"/>
      <c r="K4" s="800"/>
      <c r="L4" s="800"/>
      <c r="M4" s="800"/>
      <c r="N4" s="800"/>
      <c r="O4" s="849"/>
      <c r="P4" s="851"/>
    </row>
    <row r="5" spans="1:18" ht="45.75" hidden="1" x14ac:dyDescent="0.2">
      <c r="A5" s="799"/>
      <c r="B5" s="799"/>
      <c r="C5" s="799"/>
      <c r="D5" s="799"/>
      <c r="E5" s="800"/>
      <c r="F5" s="798"/>
      <c r="G5" s="800"/>
      <c r="H5" s="800"/>
      <c r="I5" s="800"/>
      <c r="J5" s="800"/>
      <c r="K5" s="800"/>
      <c r="L5" s="800"/>
      <c r="M5" s="800"/>
      <c r="N5" s="800"/>
      <c r="O5" s="799"/>
      <c r="P5" s="798"/>
    </row>
    <row r="6" spans="1:18" ht="45" x14ac:dyDescent="0.2">
      <c r="A6" s="852" t="s">
        <v>1265</v>
      </c>
      <c r="B6" s="852"/>
      <c r="C6" s="852"/>
      <c r="D6" s="852"/>
      <c r="E6" s="852"/>
      <c r="F6" s="852"/>
      <c r="G6" s="852"/>
      <c r="H6" s="852"/>
      <c r="I6" s="852"/>
      <c r="J6" s="852"/>
      <c r="K6" s="852"/>
      <c r="L6" s="852"/>
      <c r="M6" s="852"/>
      <c r="N6" s="852"/>
      <c r="O6" s="852"/>
      <c r="P6" s="852"/>
    </row>
    <row r="7" spans="1:18" ht="45" x14ac:dyDescent="0.2">
      <c r="A7" s="852" t="s">
        <v>704</v>
      </c>
      <c r="B7" s="852"/>
      <c r="C7" s="852"/>
      <c r="D7" s="852"/>
      <c r="E7" s="852"/>
      <c r="F7" s="852"/>
      <c r="G7" s="852"/>
      <c r="H7" s="852"/>
      <c r="I7" s="852"/>
      <c r="J7" s="852"/>
      <c r="K7" s="852"/>
      <c r="L7" s="852"/>
      <c r="M7" s="852"/>
      <c r="N7" s="852"/>
      <c r="O7" s="852"/>
      <c r="P7" s="852"/>
    </row>
    <row r="8" spans="1:18" ht="45" x14ac:dyDescent="0.2">
      <c r="A8" s="800"/>
      <c r="B8" s="800"/>
      <c r="C8" s="800"/>
      <c r="D8" s="800"/>
      <c r="E8" s="800"/>
      <c r="F8" s="800"/>
      <c r="G8" s="800"/>
      <c r="H8" s="800"/>
      <c r="I8" s="800"/>
      <c r="J8" s="800"/>
      <c r="K8" s="800"/>
      <c r="L8" s="800"/>
      <c r="M8" s="800"/>
      <c r="N8" s="800"/>
      <c r="O8" s="800"/>
      <c r="P8" s="800"/>
    </row>
    <row r="9" spans="1:18" ht="45.75" x14ac:dyDescent="0.65">
      <c r="A9" s="853">
        <v>22564000000</v>
      </c>
      <c r="B9" s="854"/>
      <c r="C9" s="800"/>
      <c r="D9" s="800"/>
      <c r="E9" s="800"/>
      <c r="F9" s="800"/>
      <c r="G9" s="800"/>
      <c r="H9" s="800"/>
      <c r="I9" s="800"/>
      <c r="J9" s="800"/>
      <c r="K9" s="800"/>
      <c r="L9" s="800"/>
      <c r="M9" s="800"/>
      <c r="N9" s="800"/>
      <c r="O9" s="800"/>
      <c r="P9" s="800"/>
    </row>
    <row r="10" spans="1:18" ht="45.75" x14ac:dyDescent="0.2">
      <c r="A10" s="858" t="s">
        <v>546</v>
      </c>
      <c r="B10" s="859"/>
      <c r="C10" s="800"/>
      <c r="D10" s="800"/>
      <c r="E10" s="800"/>
      <c r="F10" s="800"/>
      <c r="G10" s="800"/>
      <c r="H10" s="800"/>
      <c r="I10" s="800"/>
      <c r="J10" s="800"/>
      <c r="K10" s="800"/>
      <c r="L10" s="800"/>
      <c r="M10" s="800"/>
      <c r="N10" s="800"/>
      <c r="O10" s="800"/>
      <c r="P10" s="800"/>
    </row>
    <row r="11" spans="1:18" ht="53.45" customHeight="1" thickBot="1" x14ac:dyDescent="0.25">
      <c r="A11" s="800"/>
      <c r="B11" s="800"/>
      <c r="C11" s="800"/>
      <c r="D11" s="800"/>
      <c r="E11" s="800"/>
      <c r="F11" s="798"/>
      <c r="G11" s="800"/>
      <c r="H11" s="800"/>
      <c r="I11" s="800"/>
      <c r="J11" s="800"/>
      <c r="K11" s="800"/>
      <c r="L11" s="800"/>
      <c r="M11" s="800"/>
      <c r="N11" s="800"/>
      <c r="O11" s="800"/>
      <c r="P11" s="6" t="s">
        <v>441</v>
      </c>
    </row>
    <row r="12" spans="1:18" ht="62.45" customHeight="1" thickTop="1" thickBot="1" x14ac:dyDescent="0.25">
      <c r="A12" s="857" t="s">
        <v>547</v>
      </c>
      <c r="B12" s="857" t="s">
        <v>548</v>
      </c>
      <c r="C12" s="857" t="s">
        <v>427</v>
      </c>
      <c r="D12" s="857" t="s">
        <v>716</v>
      </c>
      <c r="E12" s="855" t="s">
        <v>12</v>
      </c>
      <c r="F12" s="855"/>
      <c r="G12" s="855"/>
      <c r="H12" s="855"/>
      <c r="I12" s="855"/>
      <c r="J12" s="855" t="s">
        <v>57</v>
      </c>
      <c r="K12" s="855"/>
      <c r="L12" s="855"/>
      <c r="M12" s="855"/>
      <c r="N12" s="855"/>
      <c r="O12" s="974"/>
      <c r="P12" s="855" t="s">
        <v>11</v>
      </c>
    </row>
    <row r="13" spans="1:18" ht="96" customHeight="1" thickTop="1" thickBot="1" x14ac:dyDescent="0.25">
      <c r="A13" s="855"/>
      <c r="B13" s="860"/>
      <c r="C13" s="860"/>
      <c r="D13" s="855"/>
      <c r="E13" s="857" t="s">
        <v>421</v>
      </c>
      <c r="F13" s="857" t="s">
        <v>58</v>
      </c>
      <c r="G13" s="857" t="s">
        <v>13</v>
      </c>
      <c r="H13" s="857"/>
      <c r="I13" s="857" t="s">
        <v>60</v>
      </c>
      <c r="J13" s="857" t="s">
        <v>421</v>
      </c>
      <c r="K13" s="857" t="s">
        <v>422</v>
      </c>
      <c r="L13" s="857" t="s">
        <v>58</v>
      </c>
      <c r="M13" s="857" t="s">
        <v>13</v>
      </c>
      <c r="N13" s="857"/>
      <c r="O13" s="857" t="s">
        <v>60</v>
      </c>
      <c r="P13" s="855"/>
    </row>
    <row r="14" spans="1:18" ht="328.5" customHeight="1" thickTop="1" thickBot="1" x14ac:dyDescent="0.25">
      <c r="A14" s="860"/>
      <c r="B14" s="860"/>
      <c r="C14" s="860"/>
      <c r="D14" s="860"/>
      <c r="E14" s="857"/>
      <c r="F14" s="857"/>
      <c r="G14" s="801" t="s">
        <v>59</v>
      </c>
      <c r="H14" s="801" t="s">
        <v>15</v>
      </c>
      <c r="I14" s="857"/>
      <c r="J14" s="857"/>
      <c r="K14" s="857"/>
      <c r="L14" s="857"/>
      <c r="M14" s="801" t="s">
        <v>59</v>
      </c>
      <c r="N14" s="801" t="s">
        <v>15</v>
      </c>
      <c r="O14" s="857"/>
      <c r="P14" s="855"/>
    </row>
    <row r="15" spans="1:18" s="2" customFormat="1" ht="47.25" thickTop="1" thickBot="1" x14ac:dyDescent="0.25">
      <c r="A15" s="251" t="s">
        <v>2</v>
      </c>
      <c r="B15" s="251" t="s">
        <v>3</v>
      </c>
      <c r="C15" s="251" t="s">
        <v>14</v>
      </c>
      <c r="D15" s="251" t="s">
        <v>5</v>
      </c>
      <c r="E15" s="251" t="s">
        <v>429</v>
      </c>
      <c r="F15" s="251" t="s">
        <v>430</v>
      </c>
      <c r="G15" s="251" t="s">
        <v>431</v>
      </c>
      <c r="H15" s="251" t="s">
        <v>432</v>
      </c>
      <c r="I15" s="251" t="s">
        <v>433</v>
      </c>
      <c r="J15" s="251" t="s">
        <v>434</v>
      </c>
      <c r="K15" s="251" t="s">
        <v>435</v>
      </c>
      <c r="L15" s="251" t="s">
        <v>436</v>
      </c>
      <c r="M15" s="251" t="s">
        <v>437</v>
      </c>
      <c r="N15" s="251" t="s">
        <v>438</v>
      </c>
      <c r="O15" s="251" t="s">
        <v>439</v>
      </c>
      <c r="P15" s="251" t="s">
        <v>440</v>
      </c>
      <c r="Q15" s="267"/>
      <c r="R15" s="268"/>
    </row>
    <row r="16" spans="1:18" s="2" customFormat="1" ht="136.5" thickTop="1" thickBot="1" x14ac:dyDescent="0.25">
      <c r="A16" s="680" t="s">
        <v>169</v>
      </c>
      <c r="B16" s="680"/>
      <c r="C16" s="680"/>
      <c r="D16" s="681" t="s">
        <v>171</v>
      </c>
      <c r="E16" s="682">
        <f>E17</f>
        <v>0</v>
      </c>
      <c r="F16" s="683">
        <f t="shared" ref="F16:N16" si="0">F17</f>
        <v>0</v>
      </c>
      <c r="G16" s="683">
        <f t="shared" si="0"/>
        <v>0</v>
      </c>
      <c r="H16" s="683">
        <f t="shared" si="0"/>
        <v>0</v>
      </c>
      <c r="I16" s="683">
        <f t="shared" si="0"/>
        <v>0</v>
      </c>
      <c r="J16" s="682">
        <f t="shared" si="0"/>
        <v>0</v>
      </c>
      <c r="K16" s="683">
        <f t="shared" si="0"/>
        <v>0</v>
      </c>
      <c r="L16" s="683">
        <f t="shared" si="0"/>
        <v>0</v>
      </c>
      <c r="M16" s="683">
        <f t="shared" si="0"/>
        <v>0</v>
      </c>
      <c r="N16" s="682">
        <f t="shared" si="0"/>
        <v>0</v>
      </c>
      <c r="O16" s="682">
        <f>O17</f>
        <v>0</v>
      </c>
      <c r="P16" s="683">
        <f t="shared" ref="P16" si="1">P17</f>
        <v>0</v>
      </c>
      <c r="Q16" s="269"/>
      <c r="R16" s="269"/>
    </row>
    <row r="17" spans="1:18" s="2" customFormat="1" ht="136.5" thickTop="1" thickBot="1" x14ac:dyDescent="0.25">
      <c r="A17" s="684" t="s">
        <v>170</v>
      </c>
      <c r="B17" s="684"/>
      <c r="C17" s="684"/>
      <c r="D17" s="685" t="s">
        <v>172</v>
      </c>
      <c r="E17" s="686">
        <f>E18+E23+E32+E35</f>
        <v>0</v>
      </c>
      <c r="F17" s="686">
        <f>F18+F23+F32+F35</f>
        <v>0</v>
      </c>
      <c r="G17" s="686">
        <f t="shared" ref="G17:I17" si="2">G18+G23+G32+G35</f>
        <v>0</v>
      </c>
      <c r="H17" s="686">
        <f t="shared" si="2"/>
        <v>0</v>
      </c>
      <c r="I17" s="686">
        <f t="shared" si="2"/>
        <v>0</v>
      </c>
      <c r="J17" s="686">
        <f>L17+O17</f>
        <v>0</v>
      </c>
      <c r="K17" s="686">
        <f>K18+K23+K32+K35</f>
        <v>0</v>
      </c>
      <c r="L17" s="686">
        <f>L18+L23+L32+L35</f>
        <v>0</v>
      </c>
      <c r="M17" s="686">
        <f t="shared" ref="M17:N17" si="3">M18+M23+M32+M35</f>
        <v>0</v>
      </c>
      <c r="N17" s="686">
        <f t="shared" si="3"/>
        <v>0</v>
      </c>
      <c r="O17" s="686">
        <f>O18+O23+O32+O35</f>
        <v>0</v>
      </c>
      <c r="P17" s="687">
        <f>E17+J17</f>
        <v>0</v>
      </c>
      <c r="Q17" s="180" t="b">
        <f>P17=P19+P20+P21+P22+P25+P27+P29+P34+P37+P38+P31+P39</f>
        <v>1</v>
      </c>
      <c r="R17" s="180" t="e">
        <f>K17=#REF!</f>
        <v>#REF!</v>
      </c>
    </row>
    <row r="18" spans="1:18" s="504" customFormat="1" ht="48" thickTop="1" thickBot="1" x14ac:dyDescent="0.25">
      <c r="A18" s="251" t="s">
        <v>879</v>
      </c>
      <c r="B18" s="251" t="s">
        <v>880</v>
      </c>
      <c r="C18" s="251"/>
      <c r="D18" s="251" t="s">
        <v>881</v>
      </c>
      <c r="E18" s="416">
        <f>'d3'!E18-'d3-п'!E18</f>
        <v>0</v>
      </c>
      <c r="F18" s="416">
        <f>'d3'!F18-'d3-п'!F18</f>
        <v>0</v>
      </c>
      <c r="G18" s="416">
        <f>'d3'!G18-'d3-п'!G18</f>
        <v>0</v>
      </c>
      <c r="H18" s="416">
        <f>'d3'!H18-'d3-п'!H18</f>
        <v>0</v>
      </c>
      <c r="I18" s="416">
        <f>'d3'!I18-'d3-п'!I18</f>
        <v>0</v>
      </c>
      <c r="J18" s="416">
        <f>'d3'!J18-'d3-п'!J18</f>
        <v>0</v>
      </c>
      <c r="K18" s="416">
        <f>'d3'!K18-'d3-п'!K18</f>
        <v>0</v>
      </c>
      <c r="L18" s="416">
        <f>'d3'!L18-'d3-п'!L18</f>
        <v>0</v>
      </c>
      <c r="M18" s="416">
        <f>'d3'!M18-'d3-п'!M18</f>
        <v>0</v>
      </c>
      <c r="N18" s="416">
        <f>'d3'!N18-'d3-п'!N18</f>
        <v>0</v>
      </c>
      <c r="O18" s="416">
        <f>'d3'!O18-'d3-п'!O18</f>
        <v>0</v>
      </c>
      <c r="P18" s="416">
        <f>'d3'!P18-'d3-п'!P18</f>
        <v>0</v>
      </c>
      <c r="Q18" s="468"/>
      <c r="R18" s="468"/>
    </row>
    <row r="19" spans="1:18" ht="321.75" thickTop="1" thickBot="1" x14ac:dyDescent="0.25">
      <c r="A19" s="795" t="s">
        <v>257</v>
      </c>
      <c r="B19" s="795" t="s">
        <v>258</v>
      </c>
      <c r="C19" s="795" t="s">
        <v>259</v>
      </c>
      <c r="D19" s="795" t="s">
        <v>256</v>
      </c>
      <c r="E19" s="416">
        <f>'d3'!E19-'d3-п'!E19</f>
        <v>0</v>
      </c>
      <c r="F19" s="416">
        <f>'d3'!F19-'d3-п'!F19</f>
        <v>0</v>
      </c>
      <c r="G19" s="416">
        <f>'d3'!G19-'d3-п'!G19</f>
        <v>0</v>
      </c>
      <c r="H19" s="416">
        <f>'d3'!H19-'d3-п'!H19</f>
        <v>0</v>
      </c>
      <c r="I19" s="416">
        <f>'d3'!I19-'d3-п'!I19</f>
        <v>0</v>
      </c>
      <c r="J19" s="416">
        <f>'d3'!J19-'d3-п'!J19</f>
        <v>0</v>
      </c>
      <c r="K19" s="416">
        <f>'d3'!K19-'d3-п'!K19</f>
        <v>0</v>
      </c>
      <c r="L19" s="416">
        <f>'d3'!L19-'d3-п'!L19</f>
        <v>0</v>
      </c>
      <c r="M19" s="416">
        <f>'d3'!M19-'d3-п'!M19</f>
        <v>0</v>
      </c>
      <c r="N19" s="416">
        <f>'d3'!N19-'d3-п'!N19</f>
        <v>0</v>
      </c>
      <c r="O19" s="416">
        <f>'d3'!O19-'d3-п'!O19</f>
        <v>0</v>
      </c>
      <c r="P19" s="416">
        <f>'d3'!P19-'d3-п'!P19</f>
        <v>0</v>
      </c>
      <c r="Q19" s="271"/>
      <c r="R19" s="284" t="e">
        <f>K19=#REF!</f>
        <v>#REF!</v>
      </c>
    </row>
    <row r="20" spans="1:18" ht="230.25" thickTop="1" thickBot="1" x14ac:dyDescent="0.25">
      <c r="A20" s="795" t="s">
        <v>737</v>
      </c>
      <c r="B20" s="795" t="s">
        <v>261</v>
      </c>
      <c r="C20" s="795" t="s">
        <v>259</v>
      </c>
      <c r="D20" s="795" t="s">
        <v>260</v>
      </c>
      <c r="E20" s="416">
        <f>'d3'!E20-'d3-п'!E20</f>
        <v>0</v>
      </c>
      <c r="F20" s="416">
        <f>'d3'!F20-'d3-п'!F20</f>
        <v>0</v>
      </c>
      <c r="G20" s="416">
        <f>'d3'!G20-'d3-п'!G20</f>
        <v>0</v>
      </c>
      <c r="H20" s="416">
        <f>'d3'!H20-'d3-п'!H20</f>
        <v>0</v>
      </c>
      <c r="I20" s="416">
        <f>'d3'!I20-'d3-п'!I20</f>
        <v>0</v>
      </c>
      <c r="J20" s="416">
        <f>'d3'!J20-'d3-п'!J20</f>
        <v>0</v>
      </c>
      <c r="K20" s="416">
        <f>'d3'!K20-'d3-п'!K20</f>
        <v>0</v>
      </c>
      <c r="L20" s="416">
        <f>'d3'!L20-'d3-п'!L20</f>
        <v>0</v>
      </c>
      <c r="M20" s="416">
        <f>'d3'!M20-'d3-п'!M20</f>
        <v>0</v>
      </c>
      <c r="N20" s="416">
        <f>'d3'!N20-'d3-п'!N20</f>
        <v>0</v>
      </c>
      <c r="O20" s="416">
        <f>'d3'!O20-'d3-п'!O20</f>
        <v>0</v>
      </c>
      <c r="P20" s="416">
        <f>'d3'!P20-'d3-п'!P20</f>
        <v>0</v>
      </c>
      <c r="Q20" s="271"/>
      <c r="R20" s="284"/>
    </row>
    <row r="21" spans="1:18" ht="184.5" thickTop="1" thickBot="1" x14ac:dyDescent="0.25">
      <c r="A21" s="804" t="s">
        <v>814</v>
      </c>
      <c r="B21" s="804" t="s">
        <v>398</v>
      </c>
      <c r="C21" s="804" t="s">
        <v>815</v>
      </c>
      <c r="D21" s="804" t="s">
        <v>816</v>
      </c>
      <c r="E21" s="416">
        <f>'d3'!E21-'d3-п'!E21</f>
        <v>0</v>
      </c>
      <c r="F21" s="416">
        <f>'d3'!F21-'d3-п'!F21</f>
        <v>0</v>
      </c>
      <c r="G21" s="416">
        <f>'d3'!G21-'d3-п'!G21</f>
        <v>0</v>
      </c>
      <c r="H21" s="416">
        <f>'d3'!H21-'d3-п'!H21</f>
        <v>0</v>
      </c>
      <c r="I21" s="416">
        <f>'d3'!I21-'d3-п'!I21</f>
        <v>0</v>
      </c>
      <c r="J21" s="416">
        <f>'d3'!J21-'d3-п'!J21</f>
        <v>0</v>
      </c>
      <c r="K21" s="416">
        <f>'d3'!K21-'d3-п'!K21</f>
        <v>0</v>
      </c>
      <c r="L21" s="416">
        <f>'d3'!L21-'d3-п'!L21</f>
        <v>0</v>
      </c>
      <c r="M21" s="416">
        <f>'d3'!M21-'d3-п'!M21</f>
        <v>0</v>
      </c>
      <c r="N21" s="416">
        <f>'d3'!N21-'d3-п'!N21</f>
        <v>0</v>
      </c>
      <c r="O21" s="416">
        <f>'d3'!O21-'d3-п'!O21</f>
        <v>0</v>
      </c>
      <c r="P21" s="416">
        <f>'d3'!P21-'d3-п'!P21</f>
        <v>0</v>
      </c>
      <c r="Q21" s="271"/>
      <c r="R21" s="270"/>
    </row>
    <row r="22" spans="1:18" ht="93" thickTop="1" thickBot="1" x14ac:dyDescent="0.25">
      <c r="A22" s="804" t="s">
        <v>272</v>
      </c>
      <c r="B22" s="804" t="s">
        <v>45</v>
      </c>
      <c r="C22" s="804" t="s">
        <v>44</v>
      </c>
      <c r="D22" s="804" t="s">
        <v>273</v>
      </c>
      <c r="E22" s="416">
        <f>'d3'!E22-'d3-п'!E22</f>
        <v>0</v>
      </c>
      <c r="F22" s="416">
        <f>'d3'!F22-'d3-п'!F22</f>
        <v>0</v>
      </c>
      <c r="G22" s="416">
        <f>'d3'!G22-'d3-п'!G22</f>
        <v>0</v>
      </c>
      <c r="H22" s="416">
        <f>'d3'!H22-'d3-п'!H22</f>
        <v>0</v>
      </c>
      <c r="I22" s="416">
        <f>'d3'!I22-'d3-п'!I22</f>
        <v>0</v>
      </c>
      <c r="J22" s="416">
        <f>'d3'!J22-'d3-п'!J22</f>
        <v>0</v>
      </c>
      <c r="K22" s="416">
        <f>'d3'!K22-'d3-п'!K22</f>
        <v>0</v>
      </c>
      <c r="L22" s="416">
        <f>'d3'!L22-'d3-п'!L22</f>
        <v>0</v>
      </c>
      <c r="M22" s="416">
        <f>'d3'!M22-'d3-п'!M22</f>
        <v>0</v>
      </c>
      <c r="N22" s="416">
        <f>'d3'!N22-'d3-п'!N22</f>
        <v>0</v>
      </c>
      <c r="O22" s="416">
        <f>'d3'!O22-'d3-п'!O22</f>
        <v>0</v>
      </c>
      <c r="P22" s="416">
        <f>'d3'!P22-'d3-п'!P22</f>
        <v>0</v>
      </c>
      <c r="Q22" s="271"/>
      <c r="R22" s="270"/>
    </row>
    <row r="23" spans="1:18" s="504" customFormat="1" ht="48" thickTop="1" thickBot="1" x14ac:dyDescent="0.3">
      <c r="A23" s="251" t="s">
        <v>947</v>
      </c>
      <c r="B23" s="757" t="s">
        <v>948</v>
      </c>
      <c r="C23" s="757"/>
      <c r="D23" s="757" t="s">
        <v>949</v>
      </c>
      <c r="E23" s="416">
        <f>'d3'!E23-'d3-п'!E23</f>
        <v>0</v>
      </c>
      <c r="F23" s="416">
        <f>'d3'!F23-'d3-п'!F23</f>
        <v>0</v>
      </c>
      <c r="G23" s="416">
        <f>'d3'!G23-'d3-п'!G23</f>
        <v>0</v>
      </c>
      <c r="H23" s="416">
        <f>'d3'!H23-'d3-п'!H23</f>
        <v>0</v>
      </c>
      <c r="I23" s="416">
        <f>'d3'!I23-'d3-п'!I23</f>
        <v>0</v>
      </c>
      <c r="J23" s="416">
        <f>'d3'!J23-'d3-п'!J23</f>
        <v>0</v>
      </c>
      <c r="K23" s="416">
        <f>'d3'!K23-'d3-п'!K23</f>
        <v>0</v>
      </c>
      <c r="L23" s="416">
        <f>'d3'!L23-'d3-п'!L23</f>
        <v>0</v>
      </c>
      <c r="M23" s="416">
        <f>'d3'!M23-'d3-п'!M23</f>
        <v>0</v>
      </c>
      <c r="N23" s="416">
        <f>'d3'!N23-'d3-п'!N23</f>
        <v>0</v>
      </c>
      <c r="O23" s="416">
        <f>'d3'!O23-'d3-п'!O23</f>
        <v>0</v>
      </c>
      <c r="P23" s="416">
        <f>'d3'!P23-'d3-п'!P23</f>
        <v>0</v>
      </c>
      <c r="Q23" s="563"/>
      <c r="R23" s="564"/>
    </row>
    <row r="24" spans="1:18" s="85" customFormat="1" ht="91.5" thickTop="1" thickBot="1" x14ac:dyDescent="0.25">
      <c r="A24" s="557" t="s">
        <v>882</v>
      </c>
      <c r="B24" s="557" t="s">
        <v>883</v>
      </c>
      <c r="C24" s="557"/>
      <c r="D24" s="557" t="s">
        <v>884</v>
      </c>
      <c r="E24" s="416">
        <f>'d3'!E24-'d3-п'!E24</f>
        <v>0</v>
      </c>
      <c r="F24" s="416">
        <f>'d3'!F24-'d3-п'!F24</f>
        <v>0</v>
      </c>
      <c r="G24" s="416">
        <f>'d3'!G24-'d3-п'!G24</f>
        <v>0</v>
      </c>
      <c r="H24" s="416">
        <f>'d3'!H24-'d3-п'!H24</f>
        <v>0</v>
      </c>
      <c r="I24" s="416">
        <f>'d3'!I24-'d3-п'!I24</f>
        <v>0</v>
      </c>
      <c r="J24" s="416">
        <f>'d3'!J24-'d3-п'!J24</f>
        <v>0</v>
      </c>
      <c r="K24" s="416">
        <f>'d3'!K24-'d3-п'!K24</f>
        <v>0</v>
      </c>
      <c r="L24" s="416">
        <f>'d3'!L24-'d3-п'!L24</f>
        <v>0</v>
      </c>
      <c r="M24" s="416">
        <f>'d3'!M24-'d3-п'!M24</f>
        <v>0</v>
      </c>
      <c r="N24" s="416">
        <f>'d3'!N24-'d3-п'!N24</f>
        <v>0</v>
      </c>
      <c r="O24" s="416">
        <f>'d3'!O24-'d3-п'!O24</f>
        <v>0</v>
      </c>
      <c r="P24" s="416">
        <f>'d3'!P24-'d3-п'!P24</f>
        <v>0</v>
      </c>
      <c r="Q24" s="565"/>
      <c r="R24" s="566"/>
    </row>
    <row r="25" spans="1:18" ht="93" thickTop="1" thickBot="1" x14ac:dyDescent="0.25">
      <c r="A25" s="804" t="s">
        <v>263</v>
      </c>
      <c r="B25" s="804" t="s">
        <v>264</v>
      </c>
      <c r="C25" s="804" t="s">
        <v>265</v>
      </c>
      <c r="D25" s="804" t="s">
        <v>262</v>
      </c>
      <c r="E25" s="416">
        <f>'d3'!E25-'d3-п'!E25</f>
        <v>0</v>
      </c>
      <c r="F25" s="416">
        <f>'d3'!F25-'d3-п'!F25</f>
        <v>0</v>
      </c>
      <c r="G25" s="416">
        <f>'d3'!G25-'d3-п'!G25</f>
        <v>0</v>
      </c>
      <c r="H25" s="416">
        <f>'d3'!H25-'d3-п'!H25</f>
        <v>0</v>
      </c>
      <c r="I25" s="416">
        <f>'d3'!I25-'d3-п'!I25</f>
        <v>0</v>
      </c>
      <c r="J25" s="416">
        <f>'d3'!J25-'d3-п'!J25</f>
        <v>0</v>
      </c>
      <c r="K25" s="416">
        <f>'d3'!K25-'d3-п'!K25</f>
        <v>0</v>
      </c>
      <c r="L25" s="416">
        <f>'d3'!L25-'d3-п'!L25</f>
        <v>0</v>
      </c>
      <c r="M25" s="416">
        <f>'d3'!M25-'d3-п'!M25</f>
        <v>0</v>
      </c>
      <c r="N25" s="416">
        <f>'d3'!N25-'d3-п'!N25</f>
        <v>0</v>
      </c>
      <c r="O25" s="416">
        <f>'d3'!O25-'d3-п'!O25</f>
        <v>0</v>
      </c>
      <c r="P25" s="416">
        <f>'d3'!P25-'d3-п'!P25</f>
        <v>0</v>
      </c>
      <c r="Q25" s="271"/>
      <c r="R25" s="284" t="e">
        <f>K25=#REF!</f>
        <v>#REF!</v>
      </c>
    </row>
    <row r="26" spans="1:18" ht="136.5" thickTop="1" thickBot="1" x14ac:dyDescent="0.25">
      <c r="A26" s="758" t="s">
        <v>886</v>
      </c>
      <c r="B26" s="758" t="s">
        <v>887</v>
      </c>
      <c r="C26" s="758"/>
      <c r="D26" s="758" t="s">
        <v>885</v>
      </c>
      <c r="E26" s="416">
        <f>'d3'!E26-'d3-п'!E26</f>
        <v>0</v>
      </c>
      <c r="F26" s="416">
        <f>'d3'!F26-'d3-п'!F26</f>
        <v>0</v>
      </c>
      <c r="G26" s="416">
        <f>'d3'!G26-'d3-п'!G26</f>
        <v>0</v>
      </c>
      <c r="H26" s="416">
        <f>'d3'!H26-'d3-п'!H26</f>
        <v>0</v>
      </c>
      <c r="I26" s="416">
        <f>'d3'!I26-'d3-п'!I26</f>
        <v>0</v>
      </c>
      <c r="J26" s="416">
        <f>'d3'!J26-'d3-п'!J26</f>
        <v>0</v>
      </c>
      <c r="K26" s="416">
        <f>'d3'!K26-'d3-п'!K26</f>
        <v>0</v>
      </c>
      <c r="L26" s="416">
        <f>'d3'!L26-'d3-п'!L26</f>
        <v>0</v>
      </c>
      <c r="M26" s="416">
        <f>'d3'!M26-'d3-п'!M26</f>
        <v>0</v>
      </c>
      <c r="N26" s="416">
        <f>'d3'!N26-'d3-п'!N26</f>
        <v>0</v>
      </c>
      <c r="O26" s="416">
        <f>'d3'!O26-'d3-п'!O26</f>
        <v>0</v>
      </c>
      <c r="P26" s="416">
        <f>'d3'!P26-'d3-п'!P26</f>
        <v>0</v>
      </c>
      <c r="Q26" s="510"/>
      <c r="R26" s="567"/>
    </row>
    <row r="27" spans="1:18" ht="138.75" thickTop="1" thickBot="1" x14ac:dyDescent="0.25">
      <c r="A27" s="804" t="s">
        <v>325</v>
      </c>
      <c r="B27" s="804" t="s">
        <v>326</v>
      </c>
      <c r="C27" s="804" t="s">
        <v>191</v>
      </c>
      <c r="D27" s="804" t="s">
        <v>485</v>
      </c>
      <c r="E27" s="416">
        <f>'d3'!E27-'d3-п'!E27</f>
        <v>0</v>
      </c>
      <c r="F27" s="416">
        <f>'d3'!F27-'d3-п'!F27</f>
        <v>0</v>
      </c>
      <c r="G27" s="416">
        <f>'d3'!G27-'d3-п'!G27</f>
        <v>0</v>
      </c>
      <c r="H27" s="416">
        <f>'d3'!H27-'d3-п'!H27</f>
        <v>0</v>
      </c>
      <c r="I27" s="416">
        <f>'d3'!I27-'d3-п'!I27</f>
        <v>0</v>
      </c>
      <c r="J27" s="416">
        <f>'d3'!J27-'d3-п'!J27</f>
        <v>0</v>
      </c>
      <c r="K27" s="416">
        <f>'d3'!K27-'d3-п'!K27</f>
        <v>0</v>
      </c>
      <c r="L27" s="416">
        <f>'d3'!L27-'d3-п'!L27</f>
        <v>0</v>
      </c>
      <c r="M27" s="416">
        <f>'d3'!M27-'d3-п'!M27</f>
        <v>0</v>
      </c>
      <c r="N27" s="416">
        <f>'d3'!N27-'d3-п'!N27</f>
        <v>0</v>
      </c>
      <c r="O27" s="416">
        <f>'d3'!O27-'d3-п'!O27</f>
        <v>0</v>
      </c>
      <c r="P27" s="416">
        <f>'d3'!P27-'d3-п'!P27</f>
        <v>0</v>
      </c>
      <c r="Q27" s="271"/>
      <c r="R27" s="270"/>
    </row>
    <row r="28" spans="1:18" ht="48" thickTop="1" thickBot="1" x14ac:dyDescent="0.25">
      <c r="A28" s="759" t="s">
        <v>889</v>
      </c>
      <c r="B28" s="759" t="s">
        <v>890</v>
      </c>
      <c r="C28" s="759"/>
      <c r="D28" s="760" t="s">
        <v>888</v>
      </c>
      <c r="E28" s="416">
        <f>'d3'!E28-'d3-п'!E28</f>
        <v>0</v>
      </c>
      <c r="F28" s="416">
        <f>'d3'!F28-'d3-п'!F28</f>
        <v>0</v>
      </c>
      <c r="G28" s="416">
        <f>'d3'!G28-'d3-п'!G28</f>
        <v>0</v>
      </c>
      <c r="H28" s="416">
        <f>'d3'!H28-'d3-п'!H28</f>
        <v>0</v>
      </c>
      <c r="I28" s="416">
        <f>'d3'!I28-'d3-п'!I28</f>
        <v>0</v>
      </c>
      <c r="J28" s="416">
        <f>'d3'!J28-'d3-п'!J28</f>
        <v>0</v>
      </c>
      <c r="K28" s="416">
        <f>'d3'!K28-'d3-п'!K28</f>
        <v>0</v>
      </c>
      <c r="L28" s="416">
        <f>'d3'!L28-'d3-п'!L28</f>
        <v>0</v>
      </c>
      <c r="M28" s="416">
        <f>'d3'!M28-'d3-п'!M28</f>
        <v>0</v>
      </c>
      <c r="N28" s="416">
        <f>'d3'!N28-'d3-п'!N28</f>
        <v>0</v>
      </c>
      <c r="O28" s="416">
        <f>'d3'!O28-'d3-п'!O28</f>
        <v>0</v>
      </c>
      <c r="P28" s="416">
        <f>'d3'!P28-'d3-п'!P28</f>
        <v>0</v>
      </c>
      <c r="Q28" s="510"/>
      <c r="R28" s="511"/>
    </row>
    <row r="29" spans="1:18" s="85" customFormat="1" ht="361.5" customHeight="1" thickTop="1" thickBot="1" x14ac:dyDescent="0.7">
      <c r="A29" s="921" t="s">
        <v>372</v>
      </c>
      <c r="B29" s="921" t="s">
        <v>371</v>
      </c>
      <c r="C29" s="921" t="s">
        <v>191</v>
      </c>
      <c r="D29" s="403" t="s">
        <v>483</v>
      </c>
      <c r="E29" s="989">
        <f>'d3'!E29-'d3-п'!E29</f>
        <v>0</v>
      </c>
      <c r="F29" s="989">
        <f>'d3'!F29-'d3-п'!F29</f>
        <v>0</v>
      </c>
      <c r="G29" s="989">
        <f>'d3'!G29-'d3-п'!G29</f>
        <v>0</v>
      </c>
      <c r="H29" s="989">
        <f>'d3'!H29-'d3-п'!H29</f>
        <v>0</v>
      </c>
      <c r="I29" s="989">
        <f>'d3'!I29-'d3-п'!I29</f>
        <v>0</v>
      </c>
      <c r="J29" s="989">
        <f>'d3'!J29-'d3-п'!J29</f>
        <v>0</v>
      </c>
      <c r="K29" s="989">
        <f>'d3'!K29-'d3-п'!K29</f>
        <v>0</v>
      </c>
      <c r="L29" s="989">
        <f>'d3'!L29-'d3-п'!L29</f>
        <v>0</v>
      </c>
      <c r="M29" s="989">
        <f>'d3'!M29-'d3-п'!M29</f>
        <v>0</v>
      </c>
      <c r="N29" s="989">
        <f>'d3'!N29-'d3-п'!N29</f>
        <v>0</v>
      </c>
      <c r="O29" s="989">
        <f>'d3'!O29-'d3-п'!O29</f>
        <v>0</v>
      </c>
      <c r="P29" s="989">
        <f>'d3'!P29-'d3-п'!P29</f>
        <v>0</v>
      </c>
      <c r="Q29" s="272"/>
      <c r="R29" s="273"/>
    </row>
    <row r="30" spans="1:18" s="85" customFormat="1" ht="184.5" thickTop="1" thickBot="1" x14ac:dyDescent="0.25">
      <c r="A30" s="980"/>
      <c r="B30" s="922"/>
      <c r="C30" s="980"/>
      <c r="D30" s="404" t="s">
        <v>484</v>
      </c>
      <c r="E30" s="929"/>
      <c r="F30" s="929"/>
      <c r="G30" s="929"/>
      <c r="H30" s="929"/>
      <c r="I30" s="929"/>
      <c r="J30" s="929"/>
      <c r="K30" s="929"/>
      <c r="L30" s="929"/>
      <c r="M30" s="929"/>
      <c r="N30" s="929"/>
      <c r="O30" s="929"/>
      <c r="P30" s="929"/>
      <c r="Q30" s="273"/>
      <c r="R30" s="273"/>
    </row>
    <row r="31" spans="1:18" s="85" customFormat="1" ht="93" thickTop="1" thickBot="1" x14ac:dyDescent="0.25">
      <c r="A31" s="795" t="s">
        <v>1169</v>
      </c>
      <c r="B31" s="795" t="s">
        <v>282</v>
      </c>
      <c r="C31" s="795" t="s">
        <v>191</v>
      </c>
      <c r="D31" s="795" t="s">
        <v>280</v>
      </c>
      <c r="E31" s="416">
        <f>'d3'!E31-'d3-п'!E31</f>
        <v>0</v>
      </c>
      <c r="F31" s="416">
        <f>'d3'!F31-'d3-п'!F31</f>
        <v>0</v>
      </c>
      <c r="G31" s="416">
        <f>'d3'!G31-'d3-п'!G31</f>
        <v>0</v>
      </c>
      <c r="H31" s="416">
        <f>'d3'!H31-'d3-п'!H31</f>
        <v>0</v>
      </c>
      <c r="I31" s="416">
        <f>'d3'!I31-'d3-п'!I31</f>
        <v>0</v>
      </c>
      <c r="J31" s="416">
        <f>'d3'!J31-'d3-п'!J31</f>
        <v>0</v>
      </c>
      <c r="K31" s="416">
        <f>'d3'!K31-'d3-п'!K31</f>
        <v>0</v>
      </c>
      <c r="L31" s="416">
        <f>'d3'!L31-'d3-п'!L31</f>
        <v>0</v>
      </c>
      <c r="M31" s="416">
        <f>'d3'!M31-'d3-п'!M31</f>
        <v>0</v>
      </c>
      <c r="N31" s="416">
        <f>'d3'!N31-'d3-п'!N31</f>
        <v>0</v>
      </c>
      <c r="O31" s="416">
        <f>'d3'!O31-'d3-п'!O31</f>
        <v>0</v>
      </c>
      <c r="P31" s="416">
        <f>'d3'!P31-'d3-п'!P31</f>
        <v>0</v>
      </c>
      <c r="Q31" s="273"/>
      <c r="R31" s="273"/>
    </row>
    <row r="32" spans="1:18" s="85" customFormat="1" ht="46.5" customHeight="1" thickTop="1" thickBot="1" x14ac:dyDescent="0.25">
      <c r="A32" s="251" t="s">
        <v>891</v>
      </c>
      <c r="B32" s="251" t="s">
        <v>892</v>
      </c>
      <c r="C32" s="251"/>
      <c r="D32" s="251" t="s">
        <v>893</v>
      </c>
      <c r="E32" s="416">
        <f>'d3'!E32-'d3-п'!E32</f>
        <v>0</v>
      </c>
      <c r="F32" s="416">
        <f>'d3'!F32-'d3-п'!F32</f>
        <v>0</v>
      </c>
      <c r="G32" s="416">
        <f>'d3'!G32-'d3-п'!G32</f>
        <v>0</v>
      </c>
      <c r="H32" s="416">
        <f>'d3'!H32-'d3-п'!H32</f>
        <v>0</v>
      </c>
      <c r="I32" s="416">
        <f>'d3'!I32-'d3-п'!I32</f>
        <v>0</v>
      </c>
      <c r="J32" s="416">
        <f>'d3'!J32-'d3-п'!J32</f>
        <v>0</v>
      </c>
      <c r="K32" s="416">
        <f>'d3'!K32-'d3-п'!K32</f>
        <v>0</v>
      </c>
      <c r="L32" s="416">
        <f>'d3'!L32-'d3-п'!L32</f>
        <v>0</v>
      </c>
      <c r="M32" s="416">
        <f>'d3'!M32-'d3-п'!M32</f>
        <v>0</v>
      </c>
      <c r="N32" s="416">
        <f>'d3'!N32-'d3-п'!N32</f>
        <v>0</v>
      </c>
      <c r="O32" s="416">
        <f>'d3'!O32-'d3-п'!O32</f>
        <v>0</v>
      </c>
      <c r="P32" s="416">
        <f>'d3'!P32-'d3-п'!P32</f>
        <v>0</v>
      </c>
      <c r="Q32" s="273"/>
      <c r="R32" s="273"/>
    </row>
    <row r="33" spans="1:20" s="85" customFormat="1" ht="48" thickTop="1" thickBot="1" x14ac:dyDescent="0.25">
      <c r="A33" s="557" t="s">
        <v>894</v>
      </c>
      <c r="B33" s="557" t="s">
        <v>895</v>
      </c>
      <c r="C33" s="557"/>
      <c r="D33" s="557" t="s">
        <v>896</v>
      </c>
      <c r="E33" s="416">
        <f>'d3'!E33-'d3-п'!E33</f>
        <v>0</v>
      </c>
      <c r="F33" s="416">
        <f>'d3'!F33-'d3-п'!F33</f>
        <v>0</v>
      </c>
      <c r="G33" s="416">
        <f>'d3'!G33-'d3-п'!G33</f>
        <v>0</v>
      </c>
      <c r="H33" s="416">
        <f>'d3'!H33-'d3-п'!H33</f>
        <v>0</v>
      </c>
      <c r="I33" s="416">
        <f>'d3'!I33-'d3-п'!I33</f>
        <v>0</v>
      </c>
      <c r="J33" s="416">
        <f>'d3'!J33-'d3-п'!J33</f>
        <v>0</v>
      </c>
      <c r="K33" s="416">
        <f>'d3'!K33-'d3-п'!K33</f>
        <v>0</v>
      </c>
      <c r="L33" s="416">
        <f>'d3'!L33-'d3-п'!L33</f>
        <v>0</v>
      </c>
      <c r="M33" s="416">
        <f>'d3'!M33-'d3-п'!M33</f>
        <v>0</v>
      </c>
      <c r="N33" s="416">
        <f>'d3'!N33-'d3-п'!N33</f>
        <v>0</v>
      </c>
      <c r="O33" s="416">
        <f>'d3'!O33-'d3-п'!O33</f>
        <v>0</v>
      </c>
      <c r="P33" s="416">
        <f>'d3'!P33-'d3-п'!P33</f>
        <v>0</v>
      </c>
    </row>
    <row r="34" spans="1:20" ht="93" thickTop="1" thickBot="1" x14ac:dyDescent="0.25">
      <c r="A34" s="804" t="s">
        <v>266</v>
      </c>
      <c r="B34" s="804" t="s">
        <v>267</v>
      </c>
      <c r="C34" s="804" t="s">
        <v>268</v>
      </c>
      <c r="D34" s="804" t="s">
        <v>269</v>
      </c>
      <c r="E34" s="416">
        <f>'d3'!E34-'d3-п'!E34</f>
        <v>0</v>
      </c>
      <c r="F34" s="416">
        <f>'d3'!F34-'d3-п'!F34</f>
        <v>0</v>
      </c>
      <c r="G34" s="416">
        <f>'d3'!G34-'d3-п'!G34</f>
        <v>0</v>
      </c>
      <c r="H34" s="416">
        <f>'d3'!H34-'d3-п'!H34</f>
        <v>0</v>
      </c>
      <c r="I34" s="416">
        <f>'d3'!I34-'d3-п'!I34</f>
        <v>0</v>
      </c>
      <c r="J34" s="416">
        <f>'d3'!J34-'d3-п'!J34</f>
        <v>0</v>
      </c>
      <c r="K34" s="416">
        <f>'d3'!K34-'d3-п'!K34</f>
        <v>0</v>
      </c>
      <c r="L34" s="416">
        <f>'d3'!L34-'d3-п'!L34</f>
        <v>0</v>
      </c>
      <c r="M34" s="416">
        <f>'d3'!M34-'d3-п'!M34</f>
        <v>0</v>
      </c>
      <c r="N34" s="416">
        <f>'d3'!N34-'d3-п'!N34</f>
        <v>0</v>
      </c>
      <c r="O34" s="416">
        <f>'d3'!O34-'d3-п'!O34</f>
        <v>0</v>
      </c>
      <c r="P34" s="416">
        <f>'d3'!P34-'d3-п'!P34</f>
        <v>0</v>
      </c>
    </row>
    <row r="35" spans="1:20" ht="48" thickTop="1" thickBot="1" x14ac:dyDescent="0.25">
      <c r="A35" s="251" t="s">
        <v>897</v>
      </c>
      <c r="B35" s="251" t="s">
        <v>898</v>
      </c>
      <c r="C35" s="251"/>
      <c r="D35" s="251" t="s">
        <v>899</v>
      </c>
      <c r="E35" s="416">
        <f>'d3'!E35-'d3-п'!E35</f>
        <v>0</v>
      </c>
      <c r="F35" s="416">
        <f>'d3'!F35-'d3-п'!F35</f>
        <v>0</v>
      </c>
      <c r="G35" s="416">
        <f>'d3'!G35-'d3-п'!G35</f>
        <v>0</v>
      </c>
      <c r="H35" s="416">
        <f>'d3'!H35-'d3-п'!H35</f>
        <v>0</v>
      </c>
      <c r="I35" s="416">
        <f>'d3'!I35-'d3-п'!I35</f>
        <v>0</v>
      </c>
      <c r="J35" s="416">
        <f>'d3'!J35-'d3-п'!J35</f>
        <v>0</v>
      </c>
      <c r="K35" s="416">
        <f>'d3'!K35-'d3-п'!K35</f>
        <v>0</v>
      </c>
      <c r="L35" s="416">
        <f>'d3'!L35-'d3-п'!L35</f>
        <v>0</v>
      </c>
      <c r="M35" s="416">
        <f>'d3'!M35-'d3-п'!M35</f>
        <v>0</v>
      </c>
      <c r="N35" s="416">
        <f>'d3'!N35-'d3-п'!N35</f>
        <v>0</v>
      </c>
      <c r="O35" s="416">
        <f>'d3'!O35-'d3-п'!O35</f>
        <v>0</v>
      </c>
      <c r="P35" s="416">
        <f>'d3'!P35-'d3-п'!P35</f>
        <v>0</v>
      </c>
    </row>
    <row r="36" spans="1:20" s="85" customFormat="1" ht="271.5" thickTop="1" thickBot="1" x14ac:dyDescent="0.25">
      <c r="A36" s="557" t="s">
        <v>900</v>
      </c>
      <c r="B36" s="557" t="s">
        <v>901</v>
      </c>
      <c r="C36" s="557"/>
      <c r="D36" s="557" t="s">
        <v>902</v>
      </c>
      <c r="E36" s="416">
        <f>'d3'!E36-'d3-п'!E36</f>
        <v>0</v>
      </c>
      <c r="F36" s="416">
        <f>'d3'!F36-'d3-п'!F36</f>
        <v>0</v>
      </c>
      <c r="G36" s="416">
        <f>'d3'!G36-'d3-п'!G36</f>
        <v>0</v>
      </c>
      <c r="H36" s="416">
        <f>'d3'!H36-'d3-п'!H36</f>
        <v>0</v>
      </c>
      <c r="I36" s="416">
        <f>'d3'!I36-'d3-п'!I36</f>
        <v>0</v>
      </c>
      <c r="J36" s="416">
        <f>'d3'!J36-'d3-п'!J36</f>
        <v>0</v>
      </c>
      <c r="K36" s="416">
        <f>'d3'!K36-'d3-п'!K36</f>
        <v>0</v>
      </c>
      <c r="L36" s="416">
        <f>'d3'!L36-'d3-п'!L36</f>
        <v>0</v>
      </c>
      <c r="M36" s="416">
        <f>'d3'!M36-'d3-п'!M36</f>
        <v>0</v>
      </c>
      <c r="N36" s="416">
        <f>'d3'!N36-'d3-п'!N36</f>
        <v>0</v>
      </c>
      <c r="O36" s="416">
        <f>'d3'!O36-'d3-п'!O36</f>
        <v>0</v>
      </c>
      <c r="P36" s="416">
        <f>'d3'!P36-'d3-п'!P36</f>
        <v>0</v>
      </c>
      <c r="Q36" s="273"/>
      <c r="R36" s="273"/>
    </row>
    <row r="37" spans="1:20" ht="276" thickTop="1" thickBot="1" x14ac:dyDescent="0.25">
      <c r="A37" s="795" t="s">
        <v>270</v>
      </c>
      <c r="B37" s="795" t="s">
        <v>271</v>
      </c>
      <c r="C37" s="795" t="s">
        <v>45</v>
      </c>
      <c r="D37" s="795" t="s">
        <v>486</v>
      </c>
      <c r="E37" s="416">
        <f>'d3'!E37-'d3-п'!E37</f>
        <v>0</v>
      </c>
      <c r="F37" s="416">
        <f>'d3'!F37-'d3-п'!F37</f>
        <v>0</v>
      </c>
      <c r="G37" s="416">
        <f>'d3'!G37-'d3-п'!G37</f>
        <v>0</v>
      </c>
      <c r="H37" s="416">
        <f>'d3'!H37-'d3-п'!H37</f>
        <v>0</v>
      </c>
      <c r="I37" s="416">
        <f>'d3'!I37-'d3-п'!I37</f>
        <v>0</v>
      </c>
      <c r="J37" s="416">
        <f>'d3'!J37-'d3-п'!J37</f>
        <v>0</v>
      </c>
      <c r="K37" s="416">
        <f>'d3'!K37-'d3-п'!K37</f>
        <v>0</v>
      </c>
      <c r="L37" s="416">
        <f>'d3'!L37-'d3-п'!L37</f>
        <v>0</v>
      </c>
      <c r="M37" s="416">
        <f>'d3'!M37-'d3-п'!M37</f>
        <v>0</v>
      </c>
      <c r="N37" s="416">
        <f>'d3'!N37-'d3-п'!N37</f>
        <v>0</v>
      </c>
      <c r="O37" s="416">
        <f>'d3'!O37-'d3-п'!O37</f>
        <v>0</v>
      </c>
      <c r="P37" s="416">
        <f>'d3'!P37-'d3-п'!P37</f>
        <v>0</v>
      </c>
    </row>
    <row r="38" spans="1:20" ht="93" thickTop="1" thickBot="1" x14ac:dyDescent="0.25">
      <c r="A38" s="795" t="s">
        <v>721</v>
      </c>
      <c r="B38" s="795" t="s">
        <v>399</v>
      </c>
      <c r="C38" s="795" t="s">
        <v>45</v>
      </c>
      <c r="D38" s="795" t="s">
        <v>400</v>
      </c>
      <c r="E38" s="416">
        <f>'d3'!E38-'d3-п'!E38</f>
        <v>0</v>
      </c>
      <c r="F38" s="416">
        <f>'d3'!F38-'d3-п'!F38</f>
        <v>0</v>
      </c>
      <c r="G38" s="416">
        <f>'d3'!G38-'d3-п'!G38</f>
        <v>0</v>
      </c>
      <c r="H38" s="416">
        <f>'d3'!H38-'d3-п'!H38</f>
        <v>0</v>
      </c>
      <c r="I38" s="416">
        <f>'d3'!I38-'d3-п'!I38</f>
        <v>0</v>
      </c>
      <c r="J38" s="416">
        <f>'d3'!J38-'d3-п'!J38</f>
        <v>0</v>
      </c>
      <c r="K38" s="416">
        <f>'d3'!K38-'d3-п'!K38</f>
        <v>0</v>
      </c>
      <c r="L38" s="416">
        <f>'d3'!L38-'d3-п'!L38</f>
        <v>0</v>
      </c>
      <c r="M38" s="416">
        <f>'d3'!M38-'d3-п'!M38</f>
        <v>0</v>
      </c>
      <c r="N38" s="416">
        <f>'d3'!N38-'d3-п'!N38</f>
        <v>0</v>
      </c>
      <c r="O38" s="416">
        <f>'d3'!O38-'d3-п'!O38</f>
        <v>0</v>
      </c>
      <c r="P38" s="416">
        <f>'d3'!P38-'d3-п'!P38</f>
        <v>0</v>
      </c>
    </row>
    <row r="39" spans="1:20" ht="271.5" thickTop="1" thickBot="1" x14ac:dyDescent="0.25">
      <c r="A39" s="557" t="s">
        <v>572</v>
      </c>
      <c r="B39" s="557" t="s">
        <v>573</v>
      </c>
      <c r="C39" s="557" t="s">
        <v>45</v>
      </c>
      <c r="D39" s="557" t="s">
        <v>574</v>
      </c>
      <c r="E39" s="416">
        <f>'d3'!E39-'d3-п'!E39</f>
        <v>0</v>
      </c>
      <c r="F39" s="416">
        <f>'d3'!F39-'d3-п'!F39</f>
        <v>0</v>
      </c>
      <c r="G39" s="416">
        <f>'d3'!G39-'d3-п'!G39</f>
        <v>0</v>
      </c>
      <c r="H39" s="416">
        <f>'d3'!H39-'d3-п'!H39</f>
        <v>0</v>
      </c>
      <c r="I39" s="416">
        <f>'d3'!I39-'d3-п'!I39</f>
        <v>0</v>
      </c>
      <c r="J39" s="416">
        <f>'d3'!J39-'d3-п'!J39</f>
        <v>0</v>
      </c>
      <c r="K39" s="416">
        <f>'d3'!K39-'d3-п'!K39</f>
        <v>0</v>
      </c>
      <c r="L39" s="416">
        <f>'d3'!L39-'d3-п'!L39</f>
        <v>0</v>
      </c>
      <c r="M39" s="416">
        <f>'d3'!M39-'d3-п'!M39</f>
        <v>0</v>
      </c>
      <c r="N39" s="416">
        <f>'d3'!N39-'d3-п'!N39</f>
        <v>0</v>
      </c>
      <c r="O39" s="416">
        <f>'d3'!O39-'d3-п'!O39</f>
        <v>0</v>
      </c>
      <c r="P39" s="416">
        <f>'d3'!P39-'d3-п'!P39</f>
        <v>0</v>
      </c>
      <c r="R39" s="180" t="e">
        <f>K39=#REF!+#REF!</f>
        <v>#REF!</v>
      </c>
    </row>
    <row r="40" spans="1:20" ht="136.5" thickTop="1" thickBot="1" x14ac:dyDescent="0.25">
      <c r="A40" s="680" t="s">
        <v>173</v>
      </c>
      <c r="B40" s="680"/>
      <c r="C40" s="680"/>
      <c r="D40" s="681" t="s">
        <v>0</v>
      </c>
      <c r="E40" s="682">
        <f>E41</f>
        <v>795970</v>
      </c>
      <c r="F40" s="683">
        <f t="shared" ref="F40" si="4">F41</f>
        <v>795970</v>
      </c>
      <c r="G40" s="683">
        <f>G41</f>
        <v>0</v>
      </c>
      <c r="H40" s="683">
        <f>H41</f>
        <v>0</v>
      </c>
      <c r="I40" s="683">
        <f t="shared" ref="I40" si="5">I41</f>
        <v>0</v>
      </c>
      <c r="J40" s="682">
        <f>J41</f>
        <v>291970</v>
      </c>
      <c r="K40" s="683">
        <f>K41</f>
        <v>291970</v>
      </c>
      <c r="L40" s="683">
        <f>L41</f>
        <v>0</v>
      </c>
      <c r="M40" s="683">
        <f t="shared" ref="M40" si="6">M41</f>
        <v>0</v>
      </c>
      <c r="N40" s="682">
        <f>N41</f>
        <v>0</v>
      </c>
      <c r="O40" s="682">
        <f>O41</f>
        <v>291970</v>
      </c>
      <c r="P40" s="683">
        <f t="shared" ref="P40" si="7">P41</f>
        <v>1087940</v>
      </c>
    </row>
    <row r="41" spans="1:20" ht="136.5" thickTop="1" thickBot="1" x14ac:dyDescent="0.25">
      <c r="A41" s="684" t="s">
        <v>174</v>
      </c>
      <c r="B41" s="684"/>
      <c r="C41" s="684"/>
      <c r="D41" s="685" t="s">
        <v>1</v>
      </c>
      <c r="E41" s="686">
        <f>E42+E66</f>
        <v>795970</v>
      </c>
      <c r="F41" s="686">
        <f t="shared" ref="F41:I41" si="8">F42+F66</f>
        <v>795970</v>
      </c>
      <c r="G41" s="686">
        <f t="shared" si="8"/>
        <v>0</v>
      </c>
      <c r="H41" s="686">
        <f t="shared" si="8"/>
        <v>0</v>
      </c>
      <c r="I41" s="686">
        <f t="shared" si="8"/>
        <v>0</v>
      </c>
      <c r="J41" s="686">
        <f>L41+O41</f>
        <v>291970</v>
      </c>
      <c r="K41" s="686">
        <f t="shared" ref="K41:O41" si="9">K42+K66</f>
        <v>291970</v>
      </c>
      <c r="L41" s="686">
        <f t="shared" si="9"/>
        <v>0</v>
      </c>
      <c r="M41" s="686">
        <f t="shared" si="9"/>
        <v>0</v>
      </c>
      <c r="N41" s="686">
        <f t="shared" si="9"/>
        <v>0</v>
      </c>
      <c r="O41" s="686">
        <f t="shared" si="9"/>
        <v>291970</v>
      </c>
      <c r="P41" s="687">
        <f>E41+J41</f>
        <v>1087940</v>
      </c>
      <c r="Q41" s="180" t="b">
        <f>P41=P43+P45+P46+P48+P52+P54+P55+P57+P58+P60+P61+P62+P64+P65+P67+P51</f>
        <v>1</v>
      </c>
      <c r="R41" s="180" t="e">
        <f>K41=#REF!</f>
        <v>#REF!</v>
      </c>
    </row>
    <row r="42" spans="1:20" ht="48" thickTop="1" thickBot="1" x14ac:dyDescent="0.25">
      <c r="A42" s="251" t="s">
        <v>903</v>
      </c>
      <c r="B42" s="251" t="s">
        <v>904</v>
      </c>
      <c r="C42" s="251"/>
      <c r="D42" s="251" t="s">
        <v>905</v>
      </c>
      <c r="E42" s="416">
        <f>'d3'!E42-'d3-п'!E42</f>
        <v>795970</v>
      </c>
      <c r="F42" s="416">
        <f>'d3'!F42-'d3-п'!F42</f>
        <v>795970</v>
      </c>
      <c r="G42" s="416">
        <f>'d3'!G42-'d3-п'!G42</f>
        <v>0</v>
      </c>
      <c r="H42" s="416">
        <f>'d3'!H42-'d3-п'!H42</f>
        <v>0</v>
      </c>
      <c r="I42" s="416">
        <f>'d3'!I42-'d3-п'!I42</f>
        <v>0</v>
      </c>
      <c r="J42" s="416">
        <f>'d3'!J42-'d3-п'!J42</f>
        <v>291970</v>
      </c>
      <c r="K42" s="416">
        <f>'d3'!K42-'d3-п'!K42</f>
        <v>291970</v>
      </c>
      <c r="L42" s="416">
        <f>'d3'!L42-'d3-п'!L42</f>
        <v>0</v>
      </c>
      <c r="M42" s="416">
        <f>'d3'!M42-'d3-п'!M42</f>
        <v>0</v>
      </c>
      <c r="N42" s="416">
        <f>'d3'!N42-'d3-п'!N42</f>
        <v>0</v>
      </c>
      <c r="O42" s="416">
        <f>'d3'!O42-'d3-п'!O42</f>
        <v>291970</v>
      </c>
      <c r="P42" s="416">
        <f>'d3'!P42-'d3-п'!P42</f>
        <v>1087940</v>
      </c>
      <c r="Q42" s="180"/>
      <c r="R42" s="180"/>
    </row>
    <row r="43" spans="1:20" ht="99" customHeight="1" thickTop="1" thickBot="1" x14ac:dyDescent="0.6">
      <c r="A43" s="795" t="s">
        <v>223</v>
      </c>
      <c r="B43" s="795" t="s">
        <v>224</v>
      </c>
      <c r="C43" s="795" t="s">
        <v>226</v>
      </c>
      <c r="D43" s="795" t="s">
        <v>227</v>
      </c>
      <c r="E43" s="416">
        <f>'d3'!E43-'d3-п'!E43</f>
        <v>0</v>
      </c>
      <c r="F43" s="416">
        <f>'d3'!F43-'d3-п'!F43</f>
        <v>0</v>
      </c>
      <c r="G43" s="416">
        <f>'d3'!G43-'d3-п'!G43</f>
        <v>0</v>
      </c>
      <c r="H43" s="416">
        <f>'d3'!H43-'d3-п'!H43</f>
        <v>0</v>
      </c>
      <c r="I43" s="416">
        <f>'d3'!I43-'d3-п'!I43</f>
        <v>0</v>
      </c>
      <c r="J43" s="416">
        <f>'d3'!J43-'d3-п'!J43</f>
        <v>0</v>
      </c>
      <c r="K43" s="416">
        <f>'d3'!K43-'d3-п'!K43</f>
        <v>0</v>
      </c>
      <c r="L43" s="416">
        <f>'d3'!L43-'d3-п'!L43</f>
        <v>0</v>
      </c>
      <c r="M43" s="416">
        <f>'d3'!M43-'d3-п'!M43</f>
        <v>0</v>
      </c>
      <c r="N43" s="416">
        <f>'d3'!N43-'d3-п'!N43</f>
        <v>0</v>
      </c>
      <c r="O43" s="416">
        <f>'d3'!O43-'d3-п'!O43</f>
        <v>0</v>
      </c>
      <c r="P43" s="416">
        <f>'d3'!P43-'d3-п'!P43</f>
        <v>0</v>
      </c>
      <c r="Q43" s="274"/>
      <c r="R43" s="180" t="e">
        <f>K43=#REF!+#REF!+#REF!+#REF!+#REF!+#REF!+#REF!+#REF!+#REF!+#REF!+#REF!</f>
        <v>#REF!</v>
      </c>
    </row>
    <row r="44" spans="1:20" ht="138.75" thickTop="1" thickBot="1" x14ac:dyDescent="0.6">
      <c r="A44" s="552" t="s">
        <v>228</v>
      </c>
      <c r="B44" s="552" t="s">
        <v>225</v>
      </c>
      <c r="C44" s="552"/>
      <c r="D44" s="552" t="s">
        <v>839</v>
      </c>
      <c r="E44" s="416">
        <f>'d3'!E44-'d3-п'!E44</f>
        <v>795970</v>
      </c>
      <c r="F44" s="416">
        <f>'d3'!F44-'d3-п'!F44</f>
        <v>795970</v>
      </c>
      <c r="G44" s="416">
        <f>'d3'!G44-'d3-п'!G44</f>
        <v>0</v>
      </c>
      <c r="H44" s="416">
        <f>'d3'!H44-'d3-п'!H44</f>
        <v>0</v>
      </c>
      <c r="I44" s="416">
        <f>'d3'!I44-'d3-п'!I44</f>
        <v>0</v>
      </c>
      <c r="J44" s="416">
        <f>'d3'!J44-'d3-п'!J44</f>
        <v>291970</v>
      </c>
      <c r="K44" s="416">
        <f>'d3'!K44-'d3-п'!K44</f>
        <v>291970</v>
      </c>
      <c r="L44" s="416">
        <f>'d3'!L44-'d3-п'!L44</f>
        <v>0</v>
      </c>
      <c r="M44" s="416">
        <f>'d3'!M44-'d3-п'!M44</f>
        <v>0</v>
      </c>
      <c r="N44" s="416">
        <f>'d3'!N44-'d3-п'!N44</f>
        <v>0</v>
      </c>
      <c r="O44" s="416">
        <f>'d3'!O44-'d3-п'!O44</f>
        <v>291970</v>
      </c>
      <c r="P44" s="416">
        <f>'d3'!P44-'d3-п'!P44</f>
        <v>1087940</v>
      </c>
      <c r="Q44" s="274"/>
      <c r="R44" s="96"/>
    </row>
    <row r="45" spans="1:20" ht="138.75" thickTop="1" thickBot="1" x14ac:dyDescent="0.6">
      <c r="A45" s="795" t="s">
        <v>836</v>
      </c>
      <c r="B45" s="795" t="s">
        <v>837</v>
      </c>
      <c r="C45" s="795" t="s">
        <v>229</v>
      </c>
      <c r="D45" s="795" t="s">
        <v>838</v>
      </c>
      <c r="E45" s="416">
        <f>'d3'!E45-'d3-п'!E45</f>
        <v>795970</v>
      </c>
      <c r="F45" s="416">
        <f>'d3'!F45-'d3-п'!F45</f>
        <v>795970</v>
      </c>
      <c r="G45" s="416">
        <f>'d3'!G45-'d3-п'!G45</f>
        <v>0</v>
      </c>
      <c r="H45" s="416">
        <f>'d3'!H45-'d3-п'!H45</f>
        <v>0</v>
      </c>
      <c r="I45" s="416">
        <f>'d3'!I45-'d3-п'!I45</f>
        <v>0</v>
      </c>
      <c r="J45" s="416">
        <f>'d3'!J45-'d3-п'!J45</f>
        <v>291970</v>
      </c>
      <c r="K45" s="416">
        <f>'d3'!K45-'d3-п'!K45</f>
        <v>291970</v>
      </c>
      <c r="L45" s="416">
        <f>'d3'!L45-'d3-п'!L45</f>
        <v>0</v>
      </c>
      <c r="M45" s="416">
        <f>'d3'!M45-'d3-п'!M45</f>
        <v>0</v>
      </c>
      <c r="N45" s="416">
        <f>'d3'!N45-'d3-п'!N45</f>
        <v>0</v>
      </c>
      <c r="O45" s="416">
        <f>'d3'!O45-'d3-п'!O45</f>
        <v>291970</v>
      </c>
      <c r="P45" s="416">
        <f>'d3'!P45-'d3-п'!P45</f>
        <v>1087940</v>
      </c>
      <c r="Q45" s="274"/>
      <c r="R45" s="468" t="e">
        <f>K45=#REF!+#REF!+#REF!+#REF!+#REF!+#REF!+#REF!+#REF!+#REF!+#REF!+#REF!+#REF!+#REF!+#REF!+#REF!+#REF!+#REF!+#REF!+#REF!+#REF!+#REF!+#REF!+#REF!+#REF!</f>
        <v>#REF!</v>
      </c>
      <c r="T45" s="315"/>
    </row>
    <row r="46" spans="1:20" ht="276" thickTop="1" thickBot="1" x14ac:dyDescent="0.25">
      <c r="A46" s="795" t="s">
        <v>846</v>
      </c>
      <c r="B46" s="795" t="s">
        <v>847</v>
      </c>
      <c r="C46" s="795" t="s">
        <v>232</v>
      </c>
      <c r="D46" s="795" t="s">
        <v>555</v>
      </c>
      <c r="E46" s="416">
        <f>'d3'!E46-'d3-п'!E46</f>
        <v>0</v>
      </c>
      <c r="F46" s="416">
        <f>'d3'!F46-'d3-п'!F46</f>
        <v>0</v>
      </c>
      <c r="G46" s="416">
        <f>'d3'!G46-'d3-п'!G46</f>
        <v>0</v>
      </c>
      <c r="H46" s="416">
        <f>'d3'!H46-'d3-п'!H46</f>
        <v>0</v>
      </c>
      <c r="I46" s="416">
        <f>'d3'!I46-'d3-п'!I46</f>
        <v>0</v>
      </c>
      <c r="J46" s="416">
        <f>'d3'!J46-'d3-п'!J46</f>
        <v>0</v>
      </c>
      <c r="K46" s="416">
        <f>'d3'!K46-'d3-п'!K46</f>
        <v>0</v>
      </c>
      <c r="L46" s="416">
        <f>'d3'!L46-'d3-п'!L46</f>
        <v>0</v>
      </c>
      <c r="M46" s="416">
        <f>'d3'!M46-'d3-п'!M46</f>
        <v>0</v>
      </c>
      <c r="N46" s="416">
        <f>'d3'!N46-'d3-п'!N46</f>
        <v>0</v>
      </c>
      <c r="O46" s="416">
        <f>'d3'!O46-'d3-п'!O46</f>
        <v>0</v>
      </c>
      <c r="P46" s="416">
        <f>'d3'!P46-'d3-п'!P46</f>
        <v>0</v>
      </c>
      <c r="R46" s="468" t="e">
        <f>K46=#REF!+#REF!</f>
        <v>#REF!</v>
      </c>
    </row>
    <row r="47" spans="1:20" ht="138.75" thickTop="1" thickBot="1" x14ac:dyDescent="0.25">
      <c r="A47" s="552" t="s">
        <v>556</v>
      </c>
      <c r="B47" s="552" t="s">
        <v>230</v>
      </c>
      <c r="C47" s="552"/>
      <c r="D47" s="552" t="s">
        <v>854</v>
      </c>
      <c r="E47" s="416">
        <f>'d3'!E47-'d3-п'!E47</f>
        <v>0</v>
      </c>
      <c r="F47" s="416">
        <f>'d3'!F47-'d3-п'!F47</f>
        <v>0</v>
      </c>
      <c r="G47" s="416">
        <f>'d3'!G47-'d3-п'!G47</f>
        <v>0</v>
      </c>
      <c r="H47" s="416">
        <f>'d3'!H47-'d3-п'!H47</f>
        <v>0</v>
      </c>
      <c r="I47" s="416">
        <f>'d3'!I47-'d3-п'!I47</f>
        <v>0</v>
      </c>
      <c r="J47" s="416">
        <f>'d3'!J47-'d3-п'!J47</f>
        <v>0</v>
      </c>
      <c r="K47" s="416">
        <f>'d3'!K47-'d3-п'!K47</f>
        <v>0</v>
      </c>
      <c r="L47" s="416">
        <f>'d3'!L47-'d3-п'!L47</f>
        <v>0</v>
      </c>
      <c r="M47" s="416">
        <f>'d3'!M47-'d3-п'!M47</f>
        <v>0</v>
      </c>
      <c r="N47" s="416">
        <f>'d3'!N47-'d3-п'!N47</f>
        <v>0</v>
      </c>
      <c r="O47" s="416">
        <f>'d3'!O47-'d3-п'!O47</f>
        <v>0</v>
      </c>
      <c r="P47" s="416">
        <f>'d3'!P47-'d3-п'!P47</f>
        <v>0</v>
      </c>
      <c r="R47" s="511"/>
    </row>
    <row r="48" spans="1:20" ht="138.75" thickTop="1" thickBot="1" x14ac:dyDescent="0.25">
      <c r="A48" s="795" t="s">
        <v>855</v>
      </c>
      <c r="B48" s="795" t="s">
        <v>856</v>
      </c>
      <c r="C48" s="795" t="s">
        <v>229</v>
      </c>
      <c r="D48" s="795" t="s">
        <v>838</v>
      </c>
      <c r="E48" s="416">
        <f>'d3'!E48-'d3-п'!E48</f>
        <v>0</v>
      </c>
      <c r="F48" s="416">
        <f>'d3'!F48-'d3-п'!F48</f>
        <v>0</v>
      </c>
      <c r="G48" s="416">
        <f>'d3'!G48-'d3-п'!G48</f>
        <v>0</v>
      </c>
      <c r="H48" s="416">
        <f>'d3'!H48-'d3-п'!H48</f>
        <v>0</v>
      </c>
      <c r="I48" s="416">
        <f>'d3'!I48-'d3-п'!I48</f>
        <v>0</v>
      </c>
      <c r="J48" s="416">
        <f>'d3'!J48-'d3-п'!J48</f>
        <v>0</v>
      </c>
      <c r="K48" s="416">
        <f>'d3'!K48-'d3-п'!K48</f>
        <v>0</v>
      </c>
      <c r="L48" s="416">
        <f>'d3'!L48-'d3-п'!L48</f>
        <v>0</v>
      </c>
      <c r="M48" s="416">
        <f>'d3'!M48-'d3-п'!M48</f>
        <v>0</v>
      </c>
      <c r="N48" s="416">
        <f>'d3'!N48-'d3-п'!N48</f>
        <v>0</v>
      </c>
      <c r="O48" s="416">
        <f>'d3'!O48-'d3-п'!O48</f>
        <v>0</v>
      </c>
      <c r="P48" s="416">
        <f>'d3'!P48-'d3-п'!P48</f>
        <v>0</v>
      </c>
      <c r="R48" s="270"/>
    </row>
    <row r="49" spans="1:18" ht="409.6" thickTop="1" x14ac:dyDescent="0.65">
      <c r="A49" s="987" t="s">
        <v>1226</v>
      </c>
      <c r="B49" s="987" t="s">
        <v>52</v>
      </c>
      <c r="C49" s="987"/>
      <c r="D49" s="807" t="s">
        <v>1229</v>
      </c>
      <c r="E49" s="989">
        <f>'d3'!E49-'d3-п'!E49</f>
        <v>0</v>
      </c>
      <c r="F49" s="989">
        <f>'d3'!F49-'d3-п'!F49</f>
        <v>0</v>
      </c>
      <c r="G49" s="989">
        <f>'d3'!G49-'d3-п'!G49</f>
        <v>0</v>
      </c>
      <c r="H49" s="989">
        <f>'d3'!H49-'d3-п'!H49</f>
        <v>0</v>
      </c>
      <c r="I49" s="989">
        <f>'d3'!I49-'d3-п'!I49</f>
        <v>0</v>
      </c>
      <c r="J49" s="989">
        <f>'d3'!J49-'d3-п'!J49</f>
        <v>0</v>
      </c>
      <c r="K49" s="989">
        <f>'d3'!K49-'d3-п'!K49</f>
        <v>0</v>
      </c>
      <c r="L49" s="989">
        <f>'d3'!L49-'d3-п'!L49</f>
        <v>0</v>
      </c>
      <c r="M49" s="989">
        <f>'d3'!M49-'d3-п'!M49</f>
        <v>0</v>
      </c>
      <c r="N49" s="989">
        <f>'d3'!N49-'d3-п'!N49</f>
        <v>0</v>
      </c>
      <c r="O49" s="989">
        <f>'d3'!O49-'d3-п'!O49</f>
        <v>0</v>
      </c>
      <c r="P49" s="989">
        <f>'d3'!P49-'d3-п'!P49</f>
        <v>0</v>
      </c>
      <c r="R49" s="270"/>
    </row>
    <row r="50" spans="1:18" ht="183.75" thickBot="1" x14ac:dyDescent="0.25">
      <c r="A50" s="929"/>
      <c r="B50" s="929"/>
      <c r="C50" s="929"/>
      <c r="D50" s="808" t="s">
        <v>1230</v>
      </c>
      <c r="E50" s="929"/>
      <c r="F50" s="929"/>
      <c r="G50" s="929"/>
      <c r="H50" s="929"/>
      <c r="I50" s="929"/>
      <c r="J50" s="929"/>
      <c r="K50" s="929"/>
      <c r="L50" s="929"/>
      <c r="M50" s="929"/>
      <c r="N50" s="929"/>
      <c r="O50" s="929"/>
      <c r="P50" s="929"/>
      <c r="R50" s="270"/>
    </row>
    <row r="51" spans="1:18" ht="138.75" thickTop="1" thickBot="1" x14ac:dyDescent="0.25">
      <c r="A51" s="795" t="s">
        <v>1227</v>
      </c>
      <c r="B51" s="795" t="s">
        <v>1228</v>
      </c>
      <c r="C51" s="795" t="s">
        <v>229</v>
      </c>
      <c r="D51" s="795" t="s">
        <v>1231</v>
      </c>
      <c r="E51" s="416">
        <f>'d3'!E51-'d3-п'!E51</f>
        <v>0</v>
      </c>
      <c r="F51" s="416">
        <f>'d3'!F51-'d3-п'!F51</f>
        <v>0</v>
      </c>
      <c r="G51" s="416">
        <f>'d3'!G51-'d3-п'!G51</f>
        <v>0</v>
      </c>
      <c r="H51" s="416">
        <f>'d3'!H51-'d3-п'!H51</f>
        <v>0</v>
      </c>
      <c r="I51" s="416">
        <f>'d3'!I51-'d3-п'!I51</f>
        <v>0</v>
      </c>
      <c r="J51" s="416">
        <f>'d3'!J51-'d3-п'!J51</f>
        <v>0</v>
      </c>
      <c r="K51" s="416">
        <f>'d3'!K51-'d3-п'!K51</f>
        <v>0</v>
      </c>
      <c r="L51" s="416">
        <f>'d3'!L51-'d3-п'!L51</f>
        <v>0</v>
      </c>
      <c r="M51" s="416">
        <f>'d3'!M51-'d3-п'!M51</f>
        <v>0</v>
      </c>
      <c r="N51" s="416">
        <f>'d3'!N51-'d3-п'!N51</f>
        <v>0</v>
      </c>
      <c r="O51" s="416">
        <f>'d3'!O51-'d3-п'!O51</f>
        <v>0</v>
      </c>
      <c r="P51" s="416">
        <f>'d3'!P51-'d3-п'!P51</f>
        <v>0</v>
      </c>
      <c r="R51" s="180" t="e">
        <f>K51=#REF!+#REF!+#REF!+#REF!+#REF!+#REF!+#REF!+#REF!+#REF!</f>
        <v>#REF!</v>
      </c>
    </row>
    <row r="52" spans="1:18" ht="184.5" thickTop="1" thickBot="1" x14ac:dyDescent="0.25">
      <c r="A52" s="795" t="s">
        <v>857</v>
      </c>
      <c r="B52" s="795" t="s">
        <v>231</v>
      </c>
      <c r="C52" s="795" t="s">
        <v>206</v>
      </c>
      <c r="D52" s="795" t="s">
        <v>557</v>
      </c>
      <c r="E52" s="416">
        <f>'d3'!E52-'d3-п'!E52</f>
        <v>0</v>
      </c>
      <c r="F52" s="416">
        <f>'d3'!F52-'d3-п'!F52</f>
        <v>0</v>
      </c>
      <c r="G52" s="416">
        <f>'d3'!G52-'d3-п'!G52</f>
        <v>0</v>
      </c>
      <c r="H52" s="416">
        <f>'d3'!H52-'d3-п'!H52</f>
        <v>0</v>
      </c>
      <c r="I52" s="416">
        <f>'d3'!I52-'d3-п'!I52</f>
        <v>0</v>
      </c>
      <c r="J52" s="416">
        <f>'d3'!J52-'d3-п'!J52</f>
        <v>0</v>
      </c>
      <c r="K52" s="416">
        <f>'d3'!K52-'d3-п'!K52</f>
        <v>0</v>
      </c>
      <c r="L52" s="416">
        <f>'d3'!L52-'d3-п'!L52</f>
        <v>0</v>
      </c>
      <c r="M52" s="416">
        <f>'d3'!M52-'d3-п'!M52</f>
        <v>0</v>
      </c>
      <c r="N52" s="416">
        <f>'d3'!N52-'d3-п'!N52</f>
        <v>0</v>
      </c>
      <c r="O52" s="416">
        <f>'d3'!O52-'d3-п'!O52</f>
        <v>0</v>
      </c>
      <c r="P52" s="416">
        <f>'d3'!P52-'d3-п'!P52</f>
        <v>0</v>
      </c>
      <c r="R52" s="180" t="e">
        <f>K52=#REF!+#REF!</f>
        <v>#REF!</v>
      </c>
    </row>
    <row r="53" spans="1:18" ht="184.5" thickTop="1" thickBot="1" x14ac:dyDescent="0.25">
      <c r="A53" s="552" t="s">
        <v>233</v>
      </c>
      <c r="B53" s="552" t="s">
        <v>216</v>
      </c>
      <c r="C53" s="552"/>
      <c r="D53" s="552" t="s">
        <v>559</v>
      </c>
      <c r="E53" s="416">
        <f>'d3'!E53-'d3-п'!E53</f>
        <v>0</v>
      </c>
      <c r="F53" s="416">
        <f>'d3'!F53-'d3-п'!F53</f>
        <v>0</v>
      </c>
      <c r="G53" s="416">
        <f>'d3'!G53-'d3-п'!G53</f>
        <v>0</v>
      </c>
      <c r="H53" s="416">
        <f>'d3'!H53-'d3-п'!H53</f>
        <v>0</v>
      </c>
      <c r="I53" s="416">
        <f>'d3'!I53-'d3-п'!I53</f>
        <v>0</v>
      </c>
      <c r="J53" s="416">
        <f>'d3'!J53-'d3-п'!J53</f>
        <v>0</v>
      </c>
      <c r="K53" s="416">
        <f>'d3'!K53-'d3-п'!K53</f>
        <v>0</v>
      </c>
      <c r="L53" s="416">
        <f>'d3'!L53-'d3-п'!L53</f>
        <v>0</v>
      </c>
      <c r="M53" s="416">
        <f>'d3'!M53-'d3-п'!M53</f>
        <v>0</v>
      </c>
      <c r="N53" s="416">
        <f>'d3'!N53-'d3-п'!N53</f>
        <v>0</v>
      </c>
      <c r="O53" s="416">
        <f>'d3'!O53-'d3-п'!O53</f>
        <v>0</v>
      </c>
      <c r="P53" s="416">
        <f>'d3'!P53-'d3-п'!P53</f>
        <v>0</v>
      </c>
      <c r="R53" s="511"/>
    </row>
    <row r="54" spans="1:18" ht="230.25" thickTop="1" thickBot="1" x14ac:dyDescent="0.25">
      <c r="A54" s="795" t="s">
        <v>858</v>
      </c>
      <c r="B54" s="795" t="s">
        <v>859</v>
      </c>
      <c r="C54" s="795" t="s">
        <v>234</v>
      </c>
      <c r="D54" s="795" t="s">
        <v>860</v>
      </c>
      <c r="E54" s="416">
        <f>'d3'!E54-'d3-п'!E54</f>
        <v>0</v>
      </c>
      <c r="F54" s="416">
        <f>'d3'!F54-'d3-п'!F54</f>
        <v>0</v>
      </c>
      <c r="G54" s="416">
        <f>'d3'!G54-'d3-п'!G54</f>
        <v>0</v>
      </c>
      <c r="H54" s="416">
        <f>'d3'!H54-'d3-п'!H54</f>
        <v>0</v>
      </c>
      <c r="I54" s="416">
        <f>'d3'!I54-'d3-п'!I54</f>
        <v>0</v>
      </c>
      <c r="J54" s="416">
        <f>'d3'!J54-'d3-п'!J54</f>
        <v>0</v>
      </c>
      <c r="K54" s="416">
        <f>'d3'!K54-'d3-п'!K54</f>
        <v>0</v>
      </c>
      <c r="L54" s="416">
        <f>'d3'!L54-'d3-п'!L54</f>
        <v>0</v>
      </c>
      <c r="M54" s="416">
        <f>'d3'!M54-'d3-п'!M54</f>
        <v>0</v>
      </c>
      <c r="N54" s="416">
        <f>'d3'!N54-'d3-п'!N54</f>
        <v>0</v>
      </c>
      <c r="O54" s="416">
        <f>'d3'!O54-'d3-п'!O54</f>
        <v>0</v>
      </c>
      <c r="P54" s="416">
        <f>'d3'!P54-'d3-п'!P54</f>
        <v>0</v>
      </c>
      <c r="R54" s="180" t="e">
        <f>K54=#REF!+#REF!+#REF!</f>
        <v>#REF!</v>
      </c>
    </row>
    <row r="55" spans="1:18" ht="230.25" thickTop="1" thickBot="1" x14ac:dyDescent="0.25">
      <c r="A55" s="795" t="s">
        <v>862</v>
      </c>
      <c r="B55" s="795" t="s">
        <v>861</v>
      </c>
      <c r="C55" s="795" t="s">
        <v>234</v>
      </c>
      <c r="D55" s="795" t="s">
        <v>863</v>
      </c>
      <c r="E55" s="416">
        <f>'d3'!E55-'d3-п'!E55</f>
        <v>0</v>
      </c>
      <c r="F55" s="416">
        <f>'d3'!F55-'d3-п'!F55</f>
        <v>0</v>
      </c>
      <c r="G55" s="416">
        <f>'d3'!G55-'d3-п'!G55</f>
        <v>0</v>
      </c>
      <c r="H55" s="416">
        <f>'d3'!H55-'d3-п'!H55</f>
        <v>0</v>
      </c>
      <c r="I55" s="416">
        <f>'d3'!I55-'d3-п'!I55</f>
        <v>0</v>
      </c>
      <c r="J55" s="416">
        <f>'d3'!J55-'d3-п'!J55</f>
        <v>0</v>
      </c>
      <c r="K55" s="416">
        <f>'d3'!K55-'d3-п'!K55</f>
        <v>0</v>
      </c>
      <c r="L55" s="416">
        <f>'d3'!L55-'d3-п'!L55</f>
        <v>0</v>
      </c>
      <c r="M55" s="416">
        <f>'d3'!M55-'d3-п'!M55</f>
        <v>0</v>
      </c>
      <c r="N55" s="416">
        <f>'d3'!N55-'d3-п'!N55</f>
        <v>0</v>
      </c>
      <c r="O55" s="416">
        <f>'d3'!O55-'d3-п'!O55</f>
        <v>0</v>
      </c>
      <c r="P55" s="416">
        <f>'d3'!P55-'d3-п'!P55</f>
        <v>0</v>
      </c>
      <c r="R55" s="270"/>
    </row>
    <row r="56" spans="1:18" ht="93" thickTop="1" thickBot="1" x14ac:dyDescent="0.25">
      <c r="A56" s="552" t="s">
        <v>865</v>
      </c>
      <c r="B56" s="552" t="s">
        <v>864</v>
      </c>
      <c r="C56" s="552"/>
      <c r="D56" s="552" t="s">
        <v>866</v>
      </c>
      <c r="E56" s="416">
        <f>'d3'!E56-'d3-п'!E56</f>
        <v>0</v>
      </c>
      <c r="F56" s="416">
        <f>'d3'!F56-'d3-п'!F56</f>
        <v>0</v>
      </c>
      <c r="G56" s="416">
        <f>'d3'!G56-'d3-п'!G56</f>
        <v>0</v>
      </c>
      <c r="H56" s="416">
        <f>'d3'!H56-'d3-п'!H56</f>
        <v>0</v>
      </c>
      <c r="I56" s="416">
        <f>'d3'!I56-'d3-п'!I56</f>
        <v>0</v>
      </c>
      <c r="J56" s="416">
        <f>'d3'!J56-'d3-п'!J56</f>
        <v>0</v>
      </c>
      <c r="K56" s="416">
        <f>'d3'!K56-'d3-п'!K56</f>
        <v>0</v>
      </c>
      <c r="L56" s="416">
        <f>'d3'!L56-'d3-п'!L56</f>
        <v>0</v>
      </c>
      <c r="M56" s="416">
        <f>'d3'!M56-'d3-п'!M56</f>
        <v>0</v>
      </c>
      <c r="N56" s="416">
        <f>'d3'!N56-'d3-п'!N56</f>
        <v>0</v>
      </c>
      <c r="O56" s="416">
        <f>'d3'!O56-'d3-п'!O56</f>
        <v>0</v>
      </c>
      <c r="P56" s="416">
        <f>'d3'!P56-'d3-п'!P56</f>
        <v>0</v>
      </c>
      <c r="R56" s="511"/>
    </row>
    <row r="57" spans="1:18" ht="93" thickTop="1" thickBot="1" x14ac:dyDescent="0.25">
      <c r="A57" s="795" t="s">
        <v>867</v>
      </c>
      <c r="B57" s="795" t="s">
        <v>868</v>
      </c>
      <c r="C57" s="795" t="s">
        <v>235</v>
      </c>
      <c r="D57" s="795" t="s">
        <v>560</v>
      </c>
      <c r="E57" s="416">
        <f>'d3'!E57-'d3-п'!E57</f>
        <v>0</v>
      </c>
      <c r="F57" s="416">
        <f>'d3'!F57-'d3-п'!F57</f>
        <v>0</v>
      </c>
      <c r="G57" s="416">
        <f>'d3'!G57-'d3-п'!G57</f>
        <v>0</v>
      </c>
      <c r="H57" s="416">
        <f>'d3'!H57-'d3-п'!H57</f>
        <v>0</v>
      </c>
      <c r="I57" s="416">
        <f>'d3'!I57-'d3-п'!I57</f>
        <v>0</v>
      </c>
      <c r="J57" s="416">
        <f>'d3'!J57-'d3-п'!J57</f>
        <v>0</v>
      </c>
      <c r="K57" s="416">
        <f>'d3'!K57-'d3-п'!K57</f>
        <v>0</v>
      </c>
      <c r="L57" s="416">
        <f>'d3'!L57-'d3-п'!L57</f>
        <v>0</v>
      </c>
      <c r="M57" s="416">
        <f>'d3'!M57-'d3-п'!M57</f>
        <v>0</v>
      </c>
      <c r="N57" s="416">
        <f>'d3'!N57-'d3-п'!N57</f>
        <v>0</v>
      </c>
      <c r="O57" s="416">
        <f>'d3'!O57-'d3-п'!O57</f>
        <v>0</v>
      </c>
      <c r="P57" s="416">
        <f>'d3'!P57-'d3-п'!P57</f>
        <v>0</v>
      </c>
      <c r="R57" s="270"/>
    </row>
    <row r="58" spans="1:18" ht="93" thickTop="1" thickBot="1" x14ac:dyDescent="0.25">
      <c r="A58" s="795" t="s">
        <v>869</v>
      </c>
      <c r="B58" s="795" t="s">
        <v>870</v>
      </c>
      <c r="C58" s="795" t="s">
        <v>235</v>
      </c>
      <c r="D58" s="795" t="s">
        <v>370</v>
      </c>
      <c r="E58" s="416">
        <f>'d3'!E58-'d3-п'!E58</f>
        <v>0</v>
      </c>
      <c r="F58" s="416">
        <f>'d3'!F58-'d3-п'!F58</f>
        <v>0</v>
      </c>
      <c r="G58" s="416">
        <f>'d3'!G58-'d3-п'!G58</f>
        <v>0</v>
      </c>
      <c r="H58" s="416">
        <f>'d3'!H58-'d3-п'!H58</f>
        <v>0</v>
      </c>
      <c r="I58" s="416">
        <f>'d3'!I58-'d3-п'!I58</f>
        <v>0</v>
      </c>
      <c r="J58" s="416">
        <f>'d3'!J58-'d3-п'!J58</f>
        <v>0</v>
      </c>
      <c r="K58" s="416">
        <f>'d3'!K58-'d3-п'!K58</f>
        <v>0</v>
      </c>
      <c r="L58" s="416">
        <f>'d3'!L58-'d3-п'!L58</f>
        <v>0</v>
      </c>
      <c r="M58" s="416">
        <f>'d3'!M58-'d3-п'!M58</f>
        <v>0</v>
      </c>
      <c r="N58" s="416">
        <f>'d3'!N58-'d3-п'!N58</f>
        <v>0</v>
      </c>
      <c r="O58" s="416">
        <f>'d3'!O58-'d3-п'!O58</f>
        <v>0</v>
      </c>
      <c r="P58" s="416">
        <f>'d3'!P58-'d3-п'!P58</f>
        <v>0</v>
      </c>
      <c r="R58" s="270"/>
    </row>
    <row r="59" spans="1:18" ht="93" thickTop="1" thickBot="1" x14ac:dyDescent="0.25">
      <c r="A59" s="552" t="s">
        <v>871</v>
      </c>
      <c r="B59" s="552" t="s">
        <v>872</v>
      </c>
      <c r="C59" s="552"/>
      <c r="D59" s="552" t="s">
        <v>469</v>
      </c>
      <c r="E59" s="416">
        <f>'d3'!E59-'d3-п'!E59</f>
        <v>0</v>
      </c>
      <c r="F59" s="416">
        <f>'d3'!F59-'d3-п'!F59</f>
        <v>0</v>
      </c>
      <c r="G59" s="416">
        <f>'d3'!G59-'d3-п'!G59</f>
        <v>0</v>
      </c>
      <c r="H59" s="416">
        <f>'d3'!H59-'d3-п'!H59</f>
        <v>0</v>
      </c>
      <c r="I59" s="416">
        <f>'d3'!I59-'d3-п'!I59</f>
        <v>0</v>
      </c>
      <c r="J59" s="416">
        <f>'d3'!J59-'d3-п'!J59</f>
        <v>0</v>
      </c>
      <c r="K59" s="416">
        <f>'d3'!K59-'d3-п'!K59</f>
        <v>0</v>
      </c>
      <c r="L59" s="416">
        <f>'d3'!L59-'d3-п'!L59</f>
        <v>0</v>
      </c>
      <c r="M59" s="416">
        <f>'d3'!M59-'d3-п'!M59</f>
        <v>0</v>
      </c>
      <c r="N59" s="416">
        <f>'d3'!N59-'d3-п'!N59</f>
        <v>0</v>
      </c>
      <c r="O59" s="416">
        <f>'d3'!O59-'d3-п'!O59</f>
        <v>0</v>
      </c>
      <c r="P59" s="416">
        <f>'d3'!P59-'d3-п'!P59</f>
        <v>0</v>
      </c>
      <c r="R59" s="511"/>
    </row>
    <row r="60" spans="1:18" ht="184.5" thickTop="1" thickBot="1" x14ac:dyDescent="0.25">
      <c r="A60" s="795" t="s">
        <v>873</v>
      </c>
      <c r="B60" s="795" t="s">
        <v>874</v>
      </c>
      <c r="C60" s="795" t="s">
        <v>235</v>
      </c>
      <c r="D60" s="795" t="s">
        <v>875</v>
      </c>
      <c r="E60" s="416">
        <f>'d3'!E60-'d3-п'!E60</f>
        <v>0</v>
      </c>
      <c r="F60" s="416">
        <f>'d3'!F60-'d3-п'!F60</f>
        <v>0</v>
      </c>
      <c r="G60" s="416">
        <f>'d3'!G60-'d3-п'!G60</f>
        <v>0</v>
      </c>
      <c r="H60" s="416">
        <f>'d3'!H60-'d3-п'!H60</f>
        <v>0</v>
      </c>
      <c r="I60" s="416">
        <f>'d3'!I60-'d3-п'!I60</f>
        <v>0</v>
      </c>
      <c r="J60" s="416">
        <f>'d3'!J60-'d3-п'!J60</f>
        <v>0</v>
      </c>
      <c r="K60" s="416">
        <f>'d3'!K60-'d3-п'!K60</f>
        <v>0</v>
      </c>
      <c r="L60" s="416">
        <f>'d3'!L60-'d3-п'!L60</f>
        <v>0</v>
      </c>
      <c r="M60" s="416">
        <f>'d3'!M60-'d3-п'!M60</f>
        <v>0</v>
      </c>
      <c r="N60" s="416">
        <f>'d3'!N60-'d3-п'!N60</f>
        <v>0</v>
      </c>
      <c r="O60" s="416">
        <f>'d3'!O60-'d3-п'!O60</f>
        <v>0</v>
      </c>
      <c r="P60" s="416">
        <f>'d3'!P60-'d3-п'!P60</f>
        <v>0</v>
      </c>
      <c r="R60" s="180" t="e">
        <f>K60=#REF!</f>
        <v>#REF!</v>
      </c>
    </row>
    <row r="61" spans="1:18" ht="138.75" thickTop="1" thickBot="1" x14ac:dyDescent="0.25">
      <c r="A61" s="795" t="s">
        <v>876</v>
      </c>
      <c r="B61" s="795" t="s">
        <v>877</v>
      </c>
      <c r="C61" s="795" t="s">
        <v>235</v>
      </c>
      <c r="D61" s="795" t="s">
        <v>878</v>
      </c>
      <c r="E61" s="416">
        <f>'d3'!E61-'d3-п'!E61</f>
        <v>0</v>
      </c>
      <c r="F61" s="416">
        <f>'d3'!F61-'d3-п'!F61</f>
        <v>0</v>
      </c>
      <c r="G61" s="416">
        <f>'d3'!G61-'d3-п'!G61</f>
        <v>0</v>
      </c>
      <c r="H61" s="416">
        <f>'d3'!H61-'d3-п'!H61</f>
        <v>0</v>
      </c>
      <c r="I61" s="416">
        <f>'d3'!I61-'d3-п'!I61</f>
        <v>0</v>
      </c>
      <c r="J61" s="416">
        <f>'d3'!J61-'d3-п'!J61</f>
        <v>0</v>
      </c>
      <c r="K61" s="416">
        <f>'d3'!K61-'d3-п'!K61</f>
        <v>0</v>
      </c>
      <c r="L61" s="416">
        <f>'d3'!L61-'d3-п'!L61</f>
        <v>0</v>
      </c>
      <c r="M61" s="416">
        <f>'d3'!M61-'d3-п'!M61</f>
        <v>0</v>
      </c>
      <c r="N61" s="416">
        <f>'d3'!N61-'d3-п'!N61</f>
        <v>0</v>
      </c>
      <c r="O61" s="416">
        <f>'d3'!O61-'d3-п'!O61</f>
        <v>0</v>
      </c>
      <c r="P61" s="416">
        <f>'d3'!P61-'d3-п'!P61</f>
        <v>0</v>
      </c>
      <c r="R61" s="270"/>
    </row>
    <row r="62" spans="1:18" ht="138.75" thickTop="1" thickBot="1" x14ac:dyDescent="0.25">
      <c r="A62" s="795" t="s">
        <v>843</v>
      </c>
      <c r="B62" s="795" t="s">
        <v>844</v>
      </c>
      <c r="C62" s="795" t="s">
        <v>235</v>
      </c>
      <c r="D62" s="795" t="s">
        <v>845</v>
      </c>
      <c r="E62" s="416">
        <f>'d3'!E62-'d3-п'!E62</f>
        <v>0</v>
      </c>
      <c r="F62" s="416">
        <f>'d3'!F62-'d3-п'!F62</f>
        <v>0</v>
      </c>
      <c r="G62" s="416">
        <f>'d3'!G62-'d3-п'!G62</f>
        <v>0</v>
      </c>
      <c r="H62" s="416">
        <f>'d3'!H62-'d3-п'!H62</f>
        <v>0</v>
      </c>
      <c r="I62" s="416">
        <f>'d3'!I62-'d3-п'!I62</f>
        <v>0</v>
      </c>
      <c r="J62" s="416">
        <f>'d3'!J62-'d3-п'!J62</f>
        <v>0</v>
      </c>
      <c r="K62" s="416">
        <f>'d3'!K62-'d3-п'!K62</f>
        <v>0</v>
      </c>
      <c r="L62" s="416">
        <f>'d3'!L62-'d3-п'!L62</f>
        <v>0</v>
      </c>
      <c r="M62" s="416">
        <f>'d3'!M62-'d3-п'!M62</f>
        <v>0</v>
      </c>
      <c r="N62" s="416">
        <f>'d3'!N62-'d3-п'!N62</f>
        <v>0</v>
      </c>
      <c r="O62" s="416">
        <f>'d3'!O62-'d3-п'!O62</f>
        <v>0</v>
      </c>
      <c r="P62" s="416">
        <f>'d3'!P62-'d3-п'!P62</f>
        <v>0</v>
      </c>
      <c r="R62" s="180" t="e">
        <f>K62=#REF!</f>
        <v>#REF!</v>
      </c>
    </row>
    <row r="63" spans="1:18" s="85" customFormat="1" ht="230.25" thickTop="1" thickBot="1" x14ac:dyDescent="0.25">
      <c r="A63" s="552" t="s">
        <v>848</v>
      </c>
      <c r="B63" s="552" t="s">
        <v>849</v>
      </c>
      <c r="C63" s="552"/>
      <c r="D63" s="552" t="s">
        <v>850</v>
      </c>
      <c r="E63" s="416">
        <f>'d3'!E63-'d3-п'!E63</f>
        <v>0</v>
      </c>
      <c r="F63" s="416">
        <f>'d3'!F63-'d3-п'!F63</f>
        <v>0</v>
      </c>
      <c r="G63" s="416">
        <f>'d3'!G63-'d3-п'!G63</f>
        <v>0</v>
      </c>
      <c r="H63" s="416">
        <f>'d3'!H63-'d3-п'!H63</f>
        <v>0</v>
      </c>
      <c r="I63" s="416">
        <f>'d3'!I63-'d3-п'!I63</f>
        <v>0</v>
      </c>
      <c r="J63" s="416">
        <f>'d3'!J63-'d3-п'!J63</f>
        <v>0</v>
      </c>
      <c r="K63" s="416">
        <f>'d3'!K63-'d3-п'!K63</f>
        <v>0</v>
      </c>
      <c r="L63" s="416">
        <f>'d3'!L63-'d3-п'!L63</f>
        <v>0</v>
      </c>
      <c r="M63" s="416">
        <f>'d3'!M63-'d3-п'!M63</f>
        <v>0</v>
      </c>
      <c r="N63" s="416">
        <f>'d3'!N63-'d3-п'!N63</f>
        <v>0</v>
      </c>
      <c r="O63" s="416">
        <f>'d3'!O63-'d3-п'!O63</f>
        <v>0</v>
      </c>
      <c r="P63" s="416">
        <f>'d3'!P63-'d3-п'!P63</f>
        <v>0</v>
      </c>
      <c r="Q63" s="273"/>
      <c r="R63" s="96"/>
    </row>
    <row r="64" spans="1:18" s="85" customFormat="1" ht="367.5" thickTop="1" thickBot="1" x14ac:dyDescent="0.25">
      <c r="A64" s="795" t="s">
        <v>851</v>
      </c>
      <c r="B64" s="795" t="s">
        <v>852</v>
      </c>
      <c r="C64" s="795" t="s">
        <v>235</v>
      </c>
      <c r="D64" s="795" t="s">
        <v>853</v>
      </c>
      <c r="E64" s="416">
        <f>'d3'!E64-'d3-п'!E64</f>
        <v>0</v>
      </c>
      <c r="F64" s="416">
        <f>'d3'!F64-'d3-п'!F64</f>
        <v>0</v>
      </c>
      <c r="G64" s="416">
        <f>'d3'!G64-'d3-п'!G64</f>
        <v>0</v>
      </c>
      <c r="H64" s="416">
        <f>'d3'!H64-'d3-п'!H64</f>
        <v>0</v>
      </c>
      <c r="I64" s="416">
        <f>'d3'!I64-'d3-п'!I64</f>
        <v>0</v>
      </c>
      <c r="J64" s="416">
        <f>'d3'!J64-'d3-п'!J64</f>
        <v>0</v>
      </c>
      <c r="K64" s="416">
        <f>'d3'!K64-'d3-п'!K64</f>
        <v>0</v>
      </c>
      <c r="L64" s="416">
        <f>'d3'!L64-'d3-п'!L64</f>
        <v>0</v>
      </c>
      <c r="M64" s="416">
        <f>'d3'!M64-'d3-п'!M64</f>
        <v>0</v>
      </c>
      <c r="N64" s="416">
        <f>'d3'!N64-'d3-п'!N64</f>
        <v>0</v>
      </c>
      <c r="O64" s="416">
        <f>'d3'!O64-'d3-п'!O64</f>
        <v>0</v>
      </c>
      <c r="P64" s="416">
        <f>'d3'!P64-'d3-п'!P64</f>
        <v>0</v>
      </c>
      <c r="Q64" s="273"/>
      <c r="R64" s="180" t="e">
        <f>#REF!=K64</f>
        <v>#REF!</v>
      </c>
    </row>
    <row r="65" spans="1:18" s="85" customFormat="1" ht="321.75" thickTop="1" thickBot="1" x14ac:dyDescent="0.25">
      <c r="A65" s="795" t="s">
        <v>840</v>
      </c>
      <c r="B65" s="795" t="s">
        <v>841</v>
      </c>
      <c r="C65" s="795" t="s">
        <v>235</v>
      </c>
      <c r="D65" s="795" t="s">
        <v>842</v>
      </c>
      <c r="E65" s="416">
        <f>'d3'!E65-'d3-п'!E65</f>
        <v>0</v>
      </c>
      <c r="F65" s="416">
        <f>'d3'!F65-'d3-п'!F65</f>
        <v>0</v>
      </c>
      <c r="G65" s="416">
        <f>'d3'!G65-'d3-п'!G65</f>
        <v>0</v>
      </c>
      <c r="H65" s="416">
        <f>'d3'!H65-'d3-п'!H65</f>
        <v>0</v>
      </c>
      <c r="I65" s="416">
        <f>'d3'!I65-'d3-п'!I65</f>
        <v>0</v>
      </c>
      <c r="J65" s="416">
        <f>'d3'!J65-'d3-п'!J65</f>
        <v>0</v>
      </c>
      <c r="K65" s="416">
        <f>'d3'!K65-'d3-п'!K65</f>
        <v>0</v>
      </c>
      <c r="L65" s="416">
        <f>'d3'!L65-'d3-п'!L65</f>
        <v>0</v>
      </c>
      <c r="M65" s="416">
        <f>'d3'!M65-'d3-п'!M65</f>
        <v>0</v>
      </c>
      <c r="N65" s="416">
        <f>'d3'!N65-'d3-п'!N65</f>
        <v>0</v>
      </c>
      <c r="O65" s="416">
        <f>'d3'!O65-'d3-п'!O65</f>
        <v>0</v>
      </c>
      <c r="P65" s="416">
        <f>'d3'!P65-'d3-п'!P65</f>
        <v>0</v>
      </c>
      <c r="Q65" s="273"/>
      <c r="R65" s="180" t="e">
        <f>K65=#REF!</f>
        <v>#REF!</v>
      </c>
    </row>
    <row r="66" spans="1:18" s="85" customFormat="1" ht="91.5" hidden="1" thickTop="1" thickBot="1" x14ac:dyDescent="0.25">
      <c r="A66" s="251" t="s">
        <v>906</v>
      </c>
      <c r="B66" s="251" t="s">
        <v>907</v>
      </c>
      <c r="C66" s="251"/>
      <c r="D66" s="251" t="s">
        <v>908</v>
      </c>
      <c r="E66" s="796">
        <f>SUM(E67)</f>
        <v>0</v>
      </c>
      <c r="F66" s="796">
        <f t="shared" ref="F66:O66" si="10">SUM(F67)</f>
        <v>0</v>
      </c>
      <c r="G66" s="796">
        <f t="shared" si="10"/>
        <v>0</v>
      </c>
      <c r="H66" s="796">
        <f t="shared" si="10"/>
        <v>0</v>
      </c>
      <c r="I66" s="796">
        <f t="shared" si="10"/>
        <v>0</v>
      </c>
      <c r="J66" s="796">
        <f t="shared" si="10"/>
        <v>0</v>
      </c>
      <c r="K66" s="796">
        <f t="shared" si="10"/>
        <v>0</v>
      </c>
      <c r="L66" s="796">
        <f t="shared" si="10"/>
        <v>0</v>
      </c>
      <c r="M66" s="796">
        <f t="shared" si="10"/>
        <v>0</v>
      </c>
      <c r="N66" s="796">
        <f t="shared" si="10"/>
        <v>0</v>
      </c>
      <c r="O66" s="796">
        <f t="shared" si="10"/>
        <v>0</v>
      </c>
      <c r="P66" s="796">
        <f>SUM(P67)</f>
        <v>0</v>
      </c>
      <c r="Q66" s="273"/>
      <c r="R66" s="180"/>
    </row>
    <row r="67" spans="1:18" s="85" customFormat="1" ht="367.5" hidden="1" thickTop="1" thickBot="1" x14ac:dyDescent="0.25">
      <c r="A67" s="795" t="s">
        <v>471</v>
      </c>
      <c r="B67" s="795" t="s">
        <v>472</v>
      </c>
      <c r="C67" s="795" t="s">
        <v>210</v>
      </c>
      <c r="D67" s="795" t="s">
        <v>470</v>
      </c>
      <c r="E67" s="796">
        <f t="shared" ref="E67" si="11">F67</f>
        <v>0</v>
      </c>
      <c r="F67" s="416">
        <f>(2688000)-2688000</f>
        <v>0</v>
      </c>
      <c r="G67" s="416"/>
      <c r="H67" s="416"/>
      <c r="I67" s="416"/>
      <c r="J67" s="796">
        <f>L67+O67</f>
        <v>0</v>
      </c>
      <c r="K67" s="416"/>
      <c r="L67" s="416"/>
      <c r="M67" s="416"/>
      <c r="N67" s="416"/>
      <c r="O67" s="797">
        <f>K67</f>
        <v>0</v>
      </c>
      <c r="P67" s="796">
        <f>E67+J67</f>
        <v>0</v>
      </c>
      <c r="Q67" s="273"/>
      <c r="R67" s="275"/>
    </row>
    <row r="68" spans="1:18" ht="136.5" thickTop="1" thickBot="1" x14ac:dyDescent="0.25">
      <c r="A68" s="680" t="s">
        <v>175</v>
      </c>
      <c r="B68" s="680"/>
      <c r="C68" s="680"/>
      <c r="D68" s="681" t="s">
        <v>18</v>
      </c>
      <c r="E68" s="682">
        <f>E69</f>
        <v>0</v>
      </c>
      <c r="F68" s="683">
        <f t="shared" ref="F68:G68" si="12">F69</f>
        <v>0</v>
      </c>
      <c r="G68" s="683">
        <f t="shared" si="12"/>
        <v>0</v>
      </c>
      <c r="H68" s="683">
        <f>H69</f>
        <v>0</v>
      </c>
      <c r="I68" s="683">
        <f t="shared" ref="I68" si="13">I69</f>
        <v>0</v>
      </c>
      <c r="J68" s="682">
        <f>J69</f>
        <v>6800000</v>
      </c>
      <c r="K68" s="683">
        <f>K69</f>
        <v>6800000</v>
      </c>
      <c r="L68" s="683">
        <f>L69</f>
        <v>0</v>
      </c>
      <c r="M68" s="683">
        <f t="shared" ref="M68" si="14">M69</f>
        <v>0</v>
      </c>
      <c r="N68" s="682">
        <f>N69</f>
        <v>0</v>
      </c>
      <c r="O68" s="682">
        <f>O69</f>
        <v>6800000</v>
      </c>
      <c r="P68" s="683">
        <f>P69</f>
        <v>6800000</v>
      </c>
    </row>
    <row r="69" spans="1:18" ht="136.5" thickTop="1" thickBot="1" x14ac:dyDescent="0.25">
      <c r="A69" s="684" t="s">
        <v>176</v>
      </c>
      <c r="B69" s="684"/>
      <c r="C69" s="684"/>
      <c r="D69" s="685" t="s">
        <v>38</v>
      </c>
      <c r="E69" s="686">
        <f>E70+E72+E85</f>
        <v>0</v>
      </c>
      <c r="F69" s="686">
        <f t="shared" ref="F69:I69" si="15">F70+F72+F85</f>
        <v>0</v>
      </c>
      <c r="G69" s="686">
        <f t="shared" si="15"/>
        <v>0</v>
      </c>
      <c r="H69" s="686">
        <f t="shared" si="15"/>
        <v>0</v>
      </c>
      <c r="I69" s="686">
        <f t="shared" si="15"/>
        <v>0</v>
      </c>
      <c r="J69" s="686">
        <f>L69+O69</f>
        <v>6800000</v>
      </c>
      <c r="K69" s="686">
        <f t="shared" ref="K69:O69" si="16">K70+K72+K85</f>
        <v>6800000</v>
      </c>
      <c r="L69" s="686">
        <f t="shared" si="16"/>
        <v>0</v>
      </c>
      <c r="M69" s="686">
        <f t="shared" si="16"/>
        <v>0</v>
      </c>
      <c r="N69" s="686">
        <f t="shared" si="16"/>
        <v>0</v>
      </c>
      <c r="O69" s="686">
        <f t="shared" si="16"/>
        <v>6800000</v>
      </c>
      <c r="P69" s="687">
        <f t="shared" ref="P69:P88" si="17">E69+J69</f>
        <v>6800000</v>
      </c>
      <c r="Q69" s="180" t="b">
        <f>P69=P71+P73+P74+P75+P76+P77+P79+P81+P83+P84+P87</f>
        <v>1</v>
      </c>
      <c r="R69" s="180" t="e">
        <f>K69=#REF!</f>
        <v>#REF!</v>
      </c>
    </row>
    <row r="70" spans="1:18" ht="48" thickTop="1" thickBot="1" x14ac:dyDescent="0.25">
      <c r="A70" s="251" t="s">
        <v>909</v>
      </c>
      <c r="B70" s="251" t="s">
        <v>880</v>
      </c>
      <c r="C70" s="251"/>
      <c r="D70" s="251" t="s">
        <v>881</v>
      </c>
      <c r="E70" s="416">
        <f>'d3'!E70-'d3-п'!E70</f>
        <v>0</v>
      </c>
      <c r="F70" s="416">
        <f>'d3'!F70-'d3-п'!F70</f>
        <v>0</v>
      </c>
      <c r="G70" s="416">
        <f>'d3'!G70-'d3-п'!G70</f>
        <v>0</v>
      </c>
      <c r="H70" s="416">
        <f>'d3'!H70-'d3-п'!H70</f>
        <v>0</v>
      </c>
      <c r="I70" s="416">
        <f>'d3'!I70-'d3-п'!I70</f>
        <v>0</v>
      </c>
      <c r="J70" s="416">
        <f>'d3'!J70-'d3-п'!J70</f>
        <v>0</v>
      </c>
      <c r="K70" s="416">
        <f>'d3'!K70-'d3-п'!K70</f>
        <v>0</v>
      </c>
      <c r="L70" s="416">
        <f>'d3'!L70-'d3-п'!L70</f>
        <v>0</v>
      </c>
      <c r="M70" s="416">
        <f>'d3'!M70-'d3-п'!M70</f>
        <v>0</v>
      </c>
      <c r="N70" s="416">
        <f>'d3'!N70-'d3-п'!N70</f>
        <v>0</v>
      </c>
      <c r="O70" s="416">
        <f>'d3'!O70-'d3-п'!O70</f>
        <v>0</v>
      </c>
      <c r="P70" s="416">
        <f>'d3'!P70-'d3-п'!P70</f>
        <v>0</v>
      </c>
      <c r="Q70" s="180"/>
      <c r="R70" s="180"/>
    </row>
    <row r="71" spans="1:18" ht="230.25" thickTop="1" thickBot="1" x14ac:dyDescent="0.25">
      <c r="A71" s="795" t="s">
        <v>454</v>
      </c>
      <c r="B71" s="795" t="s">
        <v>261</v>
      </c>
      <c r="C71" s="795" t="s">
        <v>259</v>
      </c>
      <c r="D71" s="795" t="s">
        <v>260</v>
      </c>
      <c r="E71" s="416">
        <f>'d3'!E71-'d3-п'!E71</f>
        <v>0</v>
      </c>
      <c r="F71" s="416">
        <f>'d3'!F71-'d3-п'!F71</f>
        <v>0</v>
      </c>
      <c r="G71" s="416">
        <f>'d3'!G71-'d3-п'!G71</f>
        <v>0</v>
      </c>
      <c r="H71" s="416">
        <f>'d3'!H71-'d3-п'!H71</f>
        <v>0</v>
      </c>
      <c r="I71" s="416">
        <f>'d3'!I71-'d3-п'!I71</f>
        <v>0</v>
      </c>
      <c r="J71" s="416">
        <f>'d3'!J71-'d3-п'!J71</f>
        <v>0</v>
      </c>
      <c r="K71" s="416">
        <f>'d3'!K71-'d3-п'!K71</f>
        <v>0</v>
      </c>
      <c r="L71" s="416">
        <f>'d3'!L71-'d3-п'!L71</f>
        <v>0</v>
      </c>
      <c r="M71" s="416">
        <f>'d3'!M71-'d3-п'!M71</f>
        <v>0</v>
      </c>
      <c r="N71" s="416">
        <f>'d3'!N71-'d3-п'!N71</f>
        <v>0</v>
      </c>
      <c r="O71" s="416">
        <f>'d3'!O71-'d3-п'!O71</f>
        <v>0</v>
      </c>
      <c r="P71" s="416">
        <f>'d3'!P71-'d3-п'!P71</f>
        <v>0</v>
      </c>
      <c r="Q71" s="275"/>
      <c r="R71" s="275"/>
    </row>
    <row r="72" spans="1:18" ht="48" thickTop="1" thickBot="1" x14ac:dyDescent="0.25">
      <c r="A72" s="251" t="s">
        <v>910</v>
      </c>
      <c r="B72" s="251" t="s">
        <v>911</v>
      </c>
      <c r="C72" s="251"/>
      <c r="D72" s="251" t="s">
        <v>912</v>
      </c>
      <c r="E72" s="416">
        <f>'d3'!E72-'d3-п'!E72</f>
        <v>0</v>
      </c>
      <c r="F72" s="416">
        <f>'d3'!F72-'d3-п'!F72</f>
        <v>0</v>
      </c>
      <c r="G72" s="416">
        <f>'d3'!G72-'d3-п'!G72</f>
        <v>0</v>
      </c>
      <c r="H72" s="416">
        <f>'d3'!H72-'d3-п'!H72</f>
        <v>0</v>
      </c>
      <c r="I72" s="416">
        <f>'d3'!I72-'d3-п'!I72</f>
        <v>0</v>
      </c>
      <c r="J72" s="416">
        <f>'d3'!J72-'d3-п'!J72</f>
        <v>0</v>
      </c>
      <c r="K72" s="416">
        <f>'d3'!K72-'d3-п'!K72</f>
        <v>0</v>
      </c>
      <c r="L72" s="416">
        <f>'d3'!L72-'d3-п'!L72</f>
        <v>0</v>
      </c>
      <c r="M72" s="416">
        <f>'d3'!M72-'d3-п'!M72</f>
        <v>0</v>
      </c>
      <c r="N72" s="416">
        <f>'d3'!N72-'d3-п'!N72</f>
        <v>0</v>
      </c>
      <c r="O72" s="416">
        <f>'d3'!O72-'d3-п'!O72</f>
        <v>0</v>
      </c>
      <c r="P72" s="416">
        <f>'d3'!P72-'d3-п'!P72</f>
        <v>0</v>
      </c>
      <c r="Q72" s="275"/>
      <c r="R72" s="275"/>
    </row>
    <row r="73" spans="1:18" ht="93" thickTop="1" thickBot="1" x14ac:dyDescent="0.25">
      <c r="A73" s="795" t="s">
        <v>239</v>
      </c>
      <c r="B73" s="795" t="s">
        <v>236</v>
      </c>
      <c r="C73" s="795" t="s">
        <v>240</v>
      </c>
      <c r="D73" s="795" t="s">
        <v>19</v>
      </c>
      <c r="E73" s="416">
        <f>'d3'!E73-'d3-п'!E73</f>
        <v>0</v>
      </c>
      <c r="F73" s="416">
        <f>'d3'!F73-'d3-п'!F73</f>
        <v>0</v>
      </c>
      <c r="G73" s="416">
        <f>'d3'!G73-'d3-п'!G73</f>
        <v>0</v>
      </c>
      <c r="H73" s="416">
        <f>'d3'!H73-'d3-п'!H73</f>
        <v>0</v>
      </c>
      <c r="I73" s="416">
        <f>'d3'!I73-'d3-п'!I73</f>
        <v>0</v>
      </c>
      <c r="J73" s="416">
        <f>'d3'!J73-'d3-п'!J73</f>
        <v>0</v>
      </c>
      <c r="K73" s="416">
        <f>'d3'!K73-'d3-п'!K73</f>
        <v>0</v>
      </c>
      <c r="L73" s="416">
        <f>'d3'!L73-'d3-п'!L73</f>
        <v>0</v>
      </c>
      <c r="M73" s="416">
        <f>'d3'!M73-'d3-п'!M73</f>
        <v>0</v>
      </c>
      <c r="N73" s="416">
        <f>'d3'!N73-'d3-п'!N73</f>
        <v>0</v>
      </c>
      <c r="O73" s="416">
        <f>'d3'!O73-'d3-п'!O73</f>
        <v>0</v>
      </c>
      <c r="P73" s="416">
        <f>'d3'!P73-'d3-п'!P73</f>
        <v>0</v>
      </c>
      <c r="R73" s="270"/>
    </row>
    <row r="74" spans="1:18" ht="93" thickTop="1" thickBot="1" x14ac:dyDescent="0.25">
      <c r="A74" s="795" t="s">
        <v>564</v>
      </c>
      <c r="B74" s="795" t="s">
        <v>567</v>
      </c>
      <c r="C74" s="795" t="s">
        <v>566</v>
      </c>
      <c r="D74" s="795" t="s">
        <v>565</v>
      </c>
      <c r="E74" s="416">
        <f>'d3'!E74-'d3-п'!E74</f>
        <v>0</v>
      </c>
      <c r="F74" s="416">
        <f>'d3'!F74-'d3-п'!F74</f>
        <v>0</v>
      </c>
      <c r="G74" s="416">
        <f>'d3'!G74-'d3-п'!G74</f>
        <v>0</v>
      </c>
      <c r="H74" s="416">
        <f>'d3'!H74-'d3-п'!H74</f>
        <v>0</v>
      </c>
      <c r="I74" s="416">
        <f>'d3'!I74-'d3-п'!I74</f>
        <v>0</v>
      </c>
      <c r="J74" s="416">
        <f>'d3'!J74-'d3-п'!J74</f>
        <v>0</v>
      </c>
      <c r="K74" s="416">
        <f>'d3'!K74-'d3-п'!K74</f>
        <v>0</v>
      </c>
      <c r="L74" s="416">
        <f>'d3'!L74-'d3-п'!L74</f>
        <v>0</v>
      </c>
      <c r="M74" s="416">
        <f>'d3'!M74-'d3-п'!M74</f>
        <v>0</v>
      </c>
      <c r="N74" s="416">
        <f>'d3'!N74-'d3-п'!N74</f>
        <v>0</v>
      </c>
      <c r="O74" s="416">
        <f>'d3'!O74-'d3-п'!O74</f>
        <v>0</v>
      </c>
      <c r="P74" s="416">
        <f>'d3'!P74-'d3-п'!P74</f>
        <v>0</v>
      </c>
      <c r="R74" s="275"/>
    </row>
    <row r="75" spans="1:18" ht="138.75" thickTop="1" thickBot="1" x14ac:dyDescent="0.25">
      <c r="A75" s="795" t="s">
        <v>241</v>
      </c>
      <c r="B75" s="795" t="s">
        <v>242</v>
      </c>
      <c r="C75" s="795" t="s">
        <v>243</v>
      </c>
      <c r="D75" s="795" t="s">
        <v>244</v>
      </c>
      <c r="E75" s="416">
        <f>'d3'!E75-'d3-п'!E75</f>
        <v>0</v>
      </c>
      <c r="F75" s="416">
        <f>'d3'!F75-'d3-п'!F75</f>
        <v>0</v>
      </c>
      <c r="G75" s="416">
        <f>'d3'!G75-'d3-п'!G75</f>
        <v>0</v>
      </c>
      <c r="H75" s="416">
        <f>'d3'!H75-'d3-п'!H75</f>
        <v>0</v>
      </c>
      <c r="I75" s="416">
        <f>'d3'!I75-'d3-п'!I75</f>
        <v>0</v>
      </c>
      <c r="J75" s="416">
        <f>'d3'!J75-'d3-п'!J75</f>
        <v>0</v>
      </c>
      <c r="K75" s="416">
        <f>'d3'!K75-'d3-п'!K75</f>
        <v>0</v>
      </c>
      <c r="L75" s="416">
        <f>'d3'!L75-'d3-п'!L75</f>
        <v>0</v>
      </c>
      <c r="M75" s="416">
        <f>'d3'!M75-'d3-п'!M75</f>
        <v>0</v>
      </c>
      <c r="N75" s="416">
        <f>'d3'!N75-'d3-п'!N75</f>
        <v>0</v>
      </c>
      <c r="O75" s="416">
        <f>'d3'!O75-'d3-п'!O75</f>
        <v>0</v>
      </c>
      <c r="P75" s="416">
        <f>'d3'!P75-'d3-п'!P75</f>
        <v>0</v>
      </c>
      <c r="R75" s="275"/>
    </row>
    <row r="76" spans="1:18" ht="138.75" thickTop="1" thickBot="1" x14ac:dyDescent="0.25">
      <c r="A76" s="795" t="s">
        <v>245</v>
      </c>
      <c r="B76" s="795" t="s">
        <v>246</v>
      </c>
      <c r="C76" s="795" t="s">
        <v>247</v>
      </c>
      <c r="D76" s="795" t="s">
        <v>379</v>
      </c>
      <c r="E76" s="416">
        <f>'d3'!E76-'d3-п'!E76</f>
        <v>0</v>
      </c>
      <c r="F76" s="416">
        <f>'d3'!F76-'d3-п'!F76</f>
        <v>0</v>
      </c>
      <c r="G76" s="416">
        <f>'d3'!G76-'d3-п'!G76</f>
        <v>0</v>
      </c>
      <c r="H76" s="416">
        <f>'d3'!H76-'d3-п'!H76</f>
        <v>0</v>
      </c>
      <c r="I76" s="416">
        <f>'d3'!I76-'d3-п'!I76</f>
        <v>0</v>
      </c>
      <c r="J76" s="416">
        <f>'d3'!J76-'d3-п'!J76</f>
        <v>0</v>
      </c>
      <c r="K76" s="416">
        <f>'d3'!K76-'d3-п'!K76</f>
        <v>0</v>
      </c>
      <c r="L76" s="416">
        <f>'d3'!L76-'d3-п'!L76</f>
        <v>0</v>
      </c>
      <c r="M76" s="416">
        <f>'d3'!M76-'d3-п'!M76</f>
        <v>0</v>
      </c>
      <c r="N76" s="416">
        <f>'d3'!N76-'d3-п'!N76</f>
        <v>0</v>
      </c>
      <c r="O76" s="416">
        <f>'d3'!O76-'d3-п'!O76</f>
        <v>0</v>
      </c>
      <c r="P76" s="416">
        <f>'d3'!P76-'d3-п'!P76</f>
        <v>0</v>
      </c>
      <c r="R76" s="275"/>
    </row>
    <row r="77" spans="1:18" ht="93" thickTop="1" thickBot="1" x14ac:dyDescent="0.25">
      <c r="A77" s="795" t="s">
        <v>248</v>
      </c>
      <c r="B77" s="795" t="s">
        <v>249</v>
      </c>
      <c r="C77" s="795" t="s">
        <v>250</v>
      </c>
      <c r="D77" s="795" t="s">
        <v>251</v>
      </c>
      <c r="E77" s="416">
        <f>'d3'!E77-'d3-п'!E77</f>
        <v>0</v>
      </c>
      <c r="F77" s="416">
        <f>'d3'!F77-'d3-п'!F77</f>
        <v>0</v>
      </c>
      <c r="G77" s="416">
        <f>'d3'!G77-'d3-п'!G77</f>
        <v>0</v>
      </c>
      <c r="H77" s="416">
        <f>'d3'!H77-'d3-п'!H77</f>
        <v>0</v>
      </c>
      <c r="I77" s="416">
        <f>'d3'!I77-'d3-п'!I77</f>
        <v>0</v>
      </c>
      <c r="J77" s="416">
        <f>'d3'!J77-'d3-п'!J77</f>
        <v>0</v>
      </c>
      <c r="K77" s="416">
        <f>'d3'!K77-'d3-п'!K77</f>
        <v>0</v>
      </c>
      <c r="L77" s="416">
        <f>'d3'!L77-'d3-п'!L77</f>
        <v>0</v>
      </c>
      <c r="M77" s="416">
        <f>'d3'!M77-'d3-п'!M77</f>
        <v>0</v>
      </c>
      <c r="N77" s="416">
        <f>'d3'!N77-'d3-п'!N77</f>
        <v>0</v>
      </c>
      <c r="O77" s="416">
        <f>'d3'!O77-'d3-п'!O77</f>
        <v>0</v>
      </c>
      <c r="P77" s="416">
        <f>'d3'!P77-'d3-п'!P77</f>
        <v>0</v>
      </c>
      <c r="R77" s="275"/>
    </row>
    <row r="78" spans="1:18" ht="93" thickTop="1" thickBot="1" x14ac:dyDescent="0.25">
      <c r="A78" s="795" t="s">
        <v>913</v>
      </c>
      <c r="B78" s="795" t="s">
        <v>914</v>
      </c>
      <c r="C78" s="795"/>
      <c r="D78" s="795" t="s">
        <v>915</v>
      </c>
      <c r="E78" s="416">
        <f>'d3'!E78-'d3-п'!E78</f>
        <v>0</v>
      </c>
      <c r="F78" s="416">
        <f>'d3'!F78-'d3-п'!F78</f>
        <v>0</v>
      </c>
      <c r="G78" s="416">
        <f>'d3'!G78-'d3-п'!G78</f>
        <v>0</v>
      </c>
      <c r="H78" s="416">
        <f>'d3'!H78-'d3-п'!H78</f>
        <v>0</v>
      </c>
      <c r="I78" s="416">
        <f>'d3'!I78-'d3-п'!I78</f>
        <v>0</v>
      </c>
      <c r="J78" s="416">
        <f>'d3'!J78-'d3-п'!J78</f>
        <v>0</v>
      </c>
      <c r="K78" s="416">
        <f>'d3'!K78-'d3-п'!K78</f>
        <v>0</v>
      </c>
      <c r="L78" s="416">
        <f>'d3'!L78-'d3-п'!L78</f>
        <v>0</v>
      </c>
      <c r="M78" s="416">
        <f>'d3'!M78-'d3-п'!M78</f>
        <v>0</v>
      </c>
      <c r="N78" s="416">
        <f>'d3'!N78-'d3-п'!N78</f>
        <v>0</v>
      </c>
      <c r="O78" s="416">
        <f>'d3'!O78-'d3-п'!O78</f>
        <v>0</v>
      </c>
      <c r="P78" s="416">
        <f>'d3'!P78-'d3-п'!P78</f>
        <v>0</v>
      </c>
      <c r="R78" s="275"/>
    </row>
    <row r="79" spans="1:18" ht="184.5" thickTop="1" thickBot="1" x14ac:dyDescent="0.25">
      <c r="A79" s="795" t="s">
        <v>252</v>
      </c>
      <c r="B79" s="795" t="s">
        <v>253</v>
      </c>
      <c r="C79" s="795" t="s">
        <v>380</v>
      </c>
      <c r="D79" s="795" t="s">
        <v>254</v>
      </c>
      <c r="E79" s="416">
        <f>'d3'!E79-'d3-п'!E79</f>
        <v>0</v>
      </c>
      <c r="F79" s="416">
        <f>'d3'!F79-'d3-п'!F79</f>
        <v>0</v>
      </c>
      <c r="G79" s="416">
        <f>'d3'!G79-'d3-п'!G79</f>
        <v>0</v>
      </c>
      <c r="H79" s="416">
        <f>'d3'!H79-'d3-п'!H79</f>
        <v>0</v>
      </c>
      <c r="I79" s="416">
        <f>'d3'!I79-'d3-п'!I79</f>
        <v>0</v>
      </c>
      <c r="J79" s="416">
        <f>'d3'!J79-'d3-п'!J79</f>
        <v>0</v>
      </c>
      <c r="K79" s="416">
        <f>'d3'!K79-'d3-п'!K79</f>
        <v>0</v>
      </c>
      <c r="L79" s="416">
        <f>'d3'!L79-'d3-п'!L79</f>
        <v>0</v>
      </c>
      <c r="M79" s="416">
        <f>'d3'!M79-'d3-п'!M79</f>
        <v>0</v>
      </c>
      <c r="N79" s="416">
        <f>'d3'!N79-'d3-п'!N79</f>
        <v>0</v>
      </c>
      <c r="O79" s="416">
        <f>'d3'!O79-'d3-п'!O79</f>
        <v>0</v>
      </c>
      <c r="P79" s="416">
        <f>'d3'!P79-'d3-п'!P79</f>
        <v>0</v>
      </c>
      <c r="R79" s="275"/>
    </row>
    <row r="80" spans="1:18" ht="138.75" thickTop="1" thickBot="1" x14ac:dyDescent="0.25">
      <c r="A80" s="552" t="s">
        <v>916</v>
      </c>
      <c r="B80" s="552" t="s">
        <v>917</v>
      </c>
      <c r="C80" s="552"/>
      <c r="D80" s="552" t="s">
        <v>918</v>
      </c>
      <c r="E80" s="416">
        <f>'d3'!E80-'d3-п'!E80</f>
        <v>0</v>
      </c>
      <c r="F80" s="416">
        <f>'d3'!F80-'d3-п'!F80</f>
        <v>0</v>
      </c>
      <c r="G80" s="416">
        <f>'d3'!G80-'d3-п'!G80</f>
        <v>0</v>
      </c>
      <c r="H80" s="416">
        <f>'d3'!H80-'d3-п'!H80</f>
        <v>0</v>
      </c>
      <c r="I80" s="416">
        <f>'d3'!I80-'d3-п'!I80</f>
        <v>0</v>
      </c>
      <c r="J80" s="416">
        <f>'d3'!J80-'d3-п'!J80</f>
        <v>0</v>
      </c>
      <c r="K80" s="416">
        <f>'d3'!K80-'d3-п'!K80</f>
        <v>0</v>
      </c>
      <c r="L80" s="416">
        <f>'d3'!L80-'d3-п'!L80</f>
        <v>0</v>
      </c>
      <c r="M80" s="416">
        <f>'d3'!M80-'d3-п'!M80</f>
        <v>0</v>
      </c>
      <c r="N80" s="416">
        <f>'d3'!N80-'d3-п'!N80</f>
        <v>0</v>
      </c>
      <c r="O80" s="416">
        <f>'d3'!O80-'d3-п'!O80</f>
        <v>0</v>
      </c>
      <c r="P80" s="416">
        <f>'d3'!P80-'d3-п'!P80</f>
        <v>0</v>
      </c>
      <c r="R80" s="275"/>
    </row>
    <row r="81" spans="1:20" ht="138.75" thickTop="1" thickBot="1" x14ac:dyDescent="0.25">
      <c r="A81" s="795" t="s">
        <v>530</v>
      </c>
      <c r="B81" s="795" t="s">
        <v>531</v>
      </c>
      <c r="C81" s="795" t="s">
        <v>255</v>
      </c>
      <c r="D81" s="795" t="s">
        <v>532</v>
      </c>
      <c r="E81" s="416">
        <f>'d3'!E81-'d3-п'!E81</f>
        <v>0</v>
      </c>
      <c r="F81" s="416">
        <f>'d3'!F81-'d3-п'!F81</f>
        <v>0</v>
      </c>
      <c r="G81" s="416">
        <f>'d3'!G81-'d3-п'!G81</f>
        <v>0</v>
      </c>
      <c r="H81" s="416">
        <f>'d3'!H81-'d3-п'!H81</f>
        <v>0</v>
      </c>
      <c r="I81" s="416">
        <f>'d3'!I81-'d3-п'!I81</f>
        <v>0</v>
      </c>
      <c r="J81" s="416">
        <f>'d3'!J81-'d3-п'!J81</f>
        <v>0</v>
      </c>
      <c r="K81" s="416">
        <f>'d3'!K81-'d3-п'!K81</f>
        <v>0</v>
      </c>
      <c r="L81" s="416">
        <f>'d3'!L81-'d3-п'!L81</f>
        <v>0</v>
      </c>
      <c r="M81" s="416">
        <f>'d3'!M81-'d3-п'!M81</f>
        <v>0</v>
      </c>
      <c r="N81" s="416">
        <f>'d3'!N81-'d3-п'!N81</f>
        <v>0</v>
      </c>
      <c r="O81" s="416">
        <f>'d3'!O81-'d3-п'!O81</f>
        <v>0</v>
      </c>
      <c r="P81" s="416">
        <f>'d3'!P81-'d3-п'!P81</f>
        <v>0</v>
      </c>
      <c r="R81" s="275"/>
    </row>
    <row r="82" spans="1:20" ht="138.75" thickTop="1" thickBot="1" x14ac:dyDescent="0.25">
      <c r="A82" s="795" t="s">
        <v>919</v>
      </c>
      <c r="B82" s="795" t="s">
        <v>920</v>
      </c>
      <c r="C82" s="795"/>
      <c r="D82" s="795" t="s">
        <v>921</v>
      </c>
      <c r="E82" s="416">
        <f>'d3'!E82-'d3-п'!E82</f>
        <v>0</v>
      </c>
      <c r="F82" s="416">
        <f>'d3'!F82-'d3-п'!F82</f>
        <v>0</v>
      </c>
      <c r="G82" s="416">
        <f>'d3'!G82-'d3-п'!G82</f>
        <v>0</v>
      </c>
      <c r="H82" s="416">
        <f>'d3'!H82-'d3-п'!H82</f>
        <v>0</v>
      </c>
      <c r="I82" s="416">
        <f>'d3'!I82-'d3-п'!I82</f>
        <v>0</v>
      </c>
      <c r="J82" s="416">
        <f>'d3'!J82-'d3-п'!J82</f>
        <v>0</v>
      </c>
      <c r="K82" s="416">
        <f>'d3'!K82-'d3-п'!K82</f>
        <v>0</v>
      </c>
      <c r="L82" s="416">
        <f>'d3'!L82-'d3-п'!L82</f>
        <v>0</v>
      </c>
      <c r="M82" s="416">
        <f>'d3'!M82-'d3-п'!M82</f>
        <v>0</v>
      </c>
      <c r="N82" s="416">
        <f>'d3'!N82-'d3-п'!N82</f>
        <v>0</v>
      </c>
      <c r="O82" s="416">
        <f>'d3'!O82-'d3-п'!O82</f>
        <v>0</v>
      </c>
      <c r="P82" s="416">
        <f>'d3'!P82-'d3-п'!P82</f>
        <v>0</v>
      </c>
      <c r="R82" s="275"/>
    </row>
    <row r="83" spans="1:20" s="85" customFormat="1" ht="138.75" thickTop="1" thickBot="1" x14ac:dyDescent="0.25">
      <c r="A83" s="795" t="s">
        <v>354</v>
      </c>
      <c r="B83" s="795" t="s">
        <v>356</v>
      </c>
      <c r="C83" s="795" t="s">
        <v>255</v>
      </c>
      <c r="D83" s="434" t="s">
        <v>352</v>
      </c>
      <c r="E83" s="416">
        <f>'d3'!E83-'d3-п'!E83</f>
        <v>0</v>
      </c>
      <c r="F83" s="416">
        <f>'d3'!F83-'d3-п'!F83</f>
        <v>0</v>
      </c>
      <c r="G83" s="416">
        <f>'d3'!G83-'d3-п'!G83</f>
        <v>0</v>
      </c>
      <c r="H83" s="416">
        <f>'d3'!H83-'d3-п'!H83</f>
        <v>0</v>
      </c>
      <c r="I83" s="416">
        <f>'d3'!I83-'d3-п'!I83</f>
        <v>0</v>
      </c>
      <c r="J83" s="416">
        <f>'d3'!J83-'d3-п'!J83</f>
        <v>0</v>
      </c>
      <c r="K83" s="416">
        <f>'d3'!K83-'d3-п'!K83</f>
        <v>0</v>
      </c>
      <c r="L83" s="416">
        <f>'d3'!L83-'d3-п'!L83</f>
        <v>0</v>
      </c>
      <c r="M83" s="416">
        <f>'d3'!M83-'d3-п'!M83</f>
        <v>0</v>
      </c>
      <c r="N83" s="416">
        <f>'d3'!N83-'d3-п'!N83</f>
        <v>0</v>
      </c>
      <c r="O83" s="416">
        <f>'d3'!O83-'d3-п'!O83</f>
        <v>0</v>
      </c>
      <c r="P83" s="416">
        <f>'d3'!P83-'d3-п'!P83</f>
        <v>0</v>
      </c>
      <c r="Q83" s="273"/>
      <c r="R83" s="275"/>
    </row>
    <row r="84" spans="1:20" s="85" customFormat="1" ht="93" thickTop="1" thickBot="1" x14ac:dyDescent="0.25">
      <c r="A84" s="795" t="s">
        <v>355</v>
      </c>
      <c r="B84" s="795" t="s">
        <v>357</v>
      </c>
      <c r="C84" s="795" t="s">
        <v>255</v>
      </c>
      <c r="D84" s="434" t="s">
        <v>353</v>
      </c>
      <c r="E84" s="416">
        <f>'d3'!E84-'d3-п'!E84</f>
        <v>0</v>
      </c>
      <c r="F84" s="416">
        <f>'d3'!F84-'d3-п'!F84</f>
        <v>0</v>
      </c>
      <c r="G84" s="416">
        <f>'d3'!G84-'d3-п'!G84</f>
        <v>0</v>
      </c>
      <c r="H84" s="416">
        <f>'d3'!H84-'d3-п'!H84</f>
        <v>0</v>
      </c>
      <c r="I84" s="416">
        <f>'d3'!I84-'d3-п'!I84</f>
        <v>0</v>
      </c>
      <c r="J84" s="416">
        <f>'d3'!J84-'d3-п'!J84</f>
        <v>0</v>
      </c>
      <c r="K84" s="416">
        <f>'d3'!K84-'d3-п'!K84</f>
        <v>0</v>
      </c>
      <c r="L84" s="416">
        <f>'d3'!L84-'d3-п'!L84</f>
        <v>0</v>
      </c>
      <c r="M84" s="416">
        <f>'d3'!M84-'d3-п'!M84</f>
        <v>0</v>
      </c>
      <c r="N84" s="416">
        <f>'d3'!N84-'d3-п'!N84</f>
        <v>0</v>
      </c>
      <c r="O84" s="416">
        <f>'d3'!O84-'d3-п'!O84</f>
        <v>0</v>
      </c>
      <c r="P84" s="416">
        <f>'d3'!P84-'d3-п'!P84</f>
        <v>0</v>
      </c>
      <c r="Q84" s="273"/>
      <c r="R84" s="275"/>
    </row>
    <row r="85" spans="1:20" s="85" customFormat="1" ht="48" thickTop="1" thickBot="1" x14ac:dyDescent="0.25">
      <c r="A85" s="251" t="s">
        <v>950</v>
      </c>
      <c r="B85" s="757" t="s">
        <v>948</v>
      </c>
      <c r="C85" s="757"/>
      <c r="D85" s="757" t="s">
        <v>949</v>
      </c>
      <c r="E85" s="416">
        <f>'d3'!E85-'d3-п'!E85</f>
        <v>0</v>
      </c>
      <c r="F85" s="416">
        <f>'d3'!F85-'d3-п'!F85</f>
        <v>0</v>
      </c>
      <c r="G85" s="416">
        <f>'d3'!G85-'d3-п'!G85</f>
        <v>0</v>
      </c>
      <c r="H85" s="416">
        <f>'d3'!H85-'d3-п'!H85</f>
        <v>0</v>
      </c>
      <c r="I85" s="416">
        <f>'d3'!I85-'d3-п'!I85</f>
        <v>0</v>
      </c>
      <c r="J85" s="416">
        <f>'d3'!J85-'d3-п'!J85</f>
        <v>6800000</v>
      </c>
      <c r="K85" s="416">
        <f>'d3'!K85-'d3-п'!K85</f>
        <v>6800000</v>
      </c>
      <c r="L85" s="416">
        <f>'d3'!L85-'d3-п'!L85</f>
        <v>0</v>
      </c>
      <c r="M85" s="416">
        <f>'d3'!M85-'d3-п'!M85</f>
        <v>0</v>
      </c>
      <c r="N85" s="416">
        <f>'d3'!N85-'d3-п'!N85</f>
        <v>0</v>
      </c>
      <c r="O85" s="416">
        <f>'d3'!O85-'d3-п'!O85</f>
        <v>6800000</v>
      </c>
      <c r="P85" s="416">
        <f>'d3'!P85-'d3-п'!P85</f>
        <v>6800000</v>
      </c>
      <c r="Q85" s="273"/>
      <c r="R85" s="275"/>
    </row>
    <row r="86" spans="1:20" s="504" customFormat="1" ht="136.5" thickTop="1" thickBot="1" x14ac:dyDescent="0.25">
      <c r="A86" s="557" t="s">
        <v>922</v>
      </c>
      <c r="B86" s="557" t="s">
        <v>887</v>
      </c>
      <c r="C86" s="557"/>
      <c r="D86" s="557" t="s">
        <v>885</v>
      </c>
      <c r="E86" s="416">
        <f>'d3'!E86-'d3-п'!E86</f>
        <v>0</v>
      </c>
      <c r="F86" s="416">
        <f>'d3'!F86-'d3-п'!F86</f>
        <v>0</v>
      </c>
      <c r="G86" s="416">
        <f>'d3'!G86-'d3-п'!G86</f>
        <v>0</v>
      </c>
      <c r="H86" s="416">
        <f>'d3'!H86-'d3-п'!H86</f>
        <v>0</v>
      </c>
      <c r="I86" s="416">
        <f>'d3'!I86-'d3-п'!I86</f>
        <v>0</v>
      </c>
      <c r="J86" s="416">
        <f>'d3'!J86-'d3-п'!J86</f>
        <v>6800000</v>
      </c>
      <c r="K86" s="416">
        <f>'d3'!K86-'d3-п'!K86</f>
        <v>6800000</v>
      </c>
      <c r="L86" s="416">
        <f>'d3'!L86-'d3-п'!L86</f>
        <v>0</v>
      </c>
      <c r="M86" s="416">
        <f>'d3'!M86-'d3-п'!M86</f>
        <v>0</v>
      </c>
      <c r="N86" s="416">
        <f>'d3'!N86-'d3-п'!N86</f>
        <v>0</v>
      </c>
      <c r="O86" s="416">
        <f>'d3'!O86-'d3-п'!O86</f>
        <v>6800000</v>
      </c>
      <c r="P86" s="416">
        <f>'d3'!P86-'d3-п'!P86</f>
        <v>6800000</v>
      </c>
      <c r="Q86" s="509"/>
      <c r="R86" s="512"/>
    </row>
    <row r="87" spans="1:20" s="85" customFormat="1" ht="93" thickTop="1" thickBot="1" x14ac:dyDescent="0.25">
      <c r="A87" s="795" t="s">
        <v>476</v>
      </c>
      <c r="B87" s="795" t="s">
        <v>222</v>
      </c>
      <c r="C87" s="795" t="s">
        <v>191</v>
      </c>
      <c r="D87" s="795" t="s">
        <v>36</v>
      </c>
      <c r="E87" s="416">
        <f>'d3'!E87-'d3-п'!E87</f>
        <v>0</v>
      </c>
      <c r="F87" s="416">
        <f>'d3'!F87-'d3-п'!F87</f>
        <v>0</v>
      </c>
      <c r="G87" s="416">
        <f>'d3'!G87-'d3-п'!G87</f>
        <v>0</v>
      </c>
      <c r="H87" s="416">
        <f>'d3'!H87-'d3-п'!H87</f>
        <v>0</v>
      </c>
      <c r="I87" s="416">
        <f>'d3'!I87-'d3-п'!I87</f>
        <v>0</v>
      </c>
      <c r="J87" s="416">
        <f>'d3'!J87-'d3-п'!J87</f>
        <v>6800000</v>
      </c>
      <c r="K87" s="416">
        <f>'d3'!K87-'d3-п'!K87</f>
        <v>6800000</v>
      </c>
      <c r="L87" s="416">
        <f>'d3'!L87-'d3-п'!L87</f>
        <v>0</v>
      </c>
      <c r="M87" s="416">
        <f>'d3'!M87-'d3-п'!M87</f>
        <v>0</v>
      </c>
      <c r="N87" s="416">
        <f>'d3'!N87-'d3-п'!N87</f>
        <v>0</v>
      </c>
      <c r="O87" s="416">
        <f>'d3'!O87-'d3-п'!O87</f>
        <v>6800000</v>
      </c>
      <c r="P87" s="416">
        <f>'d3'!P87-'d3-п'!P87</f>
        <v>6800000</v>
      </c>
      <c r="Q87" s="273"/>
      <c r="R87" s="180" t="e">
        <f>K87=#REF!+#REF!+#REF!+#REF!+#REF!+#REF!+#REF!+#REF!+#REF!+#REF!+#REF!+#REF!+#REF!</f>
        <v>#REF!</v>
      </c>
    </row>
    <row r="88" spans="1:20" s="85" customFormat="1" ht="93" hidden="1" thickTop="1" thickBot="1" x14ac:dyDescent="0.25">
      <c r="A88" s="232" t="s">
        <v>568</v>
      </c>
      <c r="B88" s="232" t="s">
        <v>399</v>
      </c>
      <c r="C88" s="232" t="s">
        <v>45</v>
      </c>
      <c r="D88" s="232" t="s">
        <v>400</v>
      </c>
      <c r="E88" s="231">
        <f t="shared" ref="E88" si="18">F88</f>
        <v>0</v>
      </c>
      <c r="F88" s="233"/>
      <c r="G88" s="233"/>
      <c r="H88" s="233"/>
      <c r="I88" s="233"/>
      <c r="J88" s="231">
        <f t="shared" ref="J88" si="19">L88+O88</f>
        <v>0</v>
      </c>
      <c r="K88" s="233"/>
      <c r="L88" s="233"/>
      <c r="M88" s="233"/>
      <c r="N88" s="233"/>
      <c r="O88" s="234">
        <f t="shared" ref="O88" si="20">K88</f>
        <v>0</v>
      </c>
      <c r="P88" s="231">
        <f t="shared" si="17"/>
        <v>0</v>
      </c>
      <c r="Q88" s="273"/>
      <c r="R88" s="270"/>
    </row>
    <row r="89" spans="1:20" ht="226.5" thickTop="1" thickBot="1" x14ac:dyDescent="0.25">
      <c r="A89" s="680" t="s">
        <v>177</v>
      </c>
      <c r="B89" s="680"/>
      <c r="C89" s="680"/>
      <c r="D89" s="681" t="s">
        <v>39</v>
      </c>
      <c r="E89" s="682">
        <f>E90</f>
        <v>0</v>
      </c>
      <c r="F89" s="683">
        <f t="shared" ref="F89:G89" si="21">F90</f>
        <v>0</v>
      </c>
      <c r="G89" s="683">
        <f t="shared" si="21"/>
        <v>0</v>
      </c>
      <c r="H89" s="683">
        <f>H90</f>
        <v>0</v>
      </c>
      <c r="I89" s="683">
        <f t="shared" ref="I89" si="22">I90</f>
        <v>0</v>
      </c>
      <c r="J89" s="682">
        <f>J90</f>
        <v>0</v>
      </c>
      <c r="K89" s="683">
        <f>K90</f>
        <v>0</v>
      </c>
      <c r="L89" s="683">
        <f>L90</f>
        <v>0</v>
      </c>
      <c r="M89" s="683">
        <f t="shared" ref="M89" si="23">M90</f>
        <v>0</v>
      </c>
      <c r="N89" s="682">
        <f>N90</f>
        <v>0</v>
      </c>
      <c r="O89" s="682">
        <f>O90</f>
        <v>0</v>
      </c>
      <c r="P89" s="683">
        <f>P90</f>
        <v>0</v>
      </c>
    </row>
    <row r="90" spans="1:20" ht="226.5" thickTop="1" thickBot="1" x14ac:dyDescent="0.25">
      <c r="A90" s="684" t="s">
        <v>178</v>
      </c>
      <c r="B90" s="684"/>
      <c r="C90" s="684"/>
      <c r="D90" s="685" t="s">
        <v>40</v>
      </c>
      <c r="E90" s="686">
        <f>E91+E95+E119+E122</f>
        <v>0</v>
      </c>
      <c r="F90" s="686">
        <f t="shared" ref="F90:I90" si="24">F91+F95+F119+F122</f>
        <v>0</v>
      </c>
      <c r="G90" s="686">
        <f t="shared" si="24"/>
        <v>0</v>
      </c>
      <c r="H90" s="686">
        <f t="shared" si="24"/>
        <v>0</v>
      </c>
      <c r="I90" s="686">
        <f t="shared" si="24"/>
        <v>0</v>
      </c>
      <c r="J90" s="686">
        <f t="shared" ref="J90" si="25">L90+O90</f>
        <v>0</v>
      </c>
      <c r="K90" s="686">
        <f t="shared" ref="K90:O90" si="26">K91+K95+K119+K122</f>
        <v>0</v>
      </c>
      <c r="L90" s="686">
        <f t="shared" si="26"/>
        <v>0</v>
      </c>
      <c r="M90" s="686">
        <f t="shared" si="26"/>
        <v>0</v>
      </c>
      <c r="N90" s="686">
        <f t="shared" si="26"/>
        <v>0</v>
      </c>
      <c r="O90" s="686">
        <f t="shared" si="26"/>
        <v>0</v>
      </c>
      <c r="P90" s="687">
        <f t="shared" ref="P90" si="27">E90+J90</f>
        <v>0</v>
      </c>
      <c r="Q90" s="181" t="b">
        <f>P90=P92+P93+P97+P98+P99+P100+P101+P106+P107+P108+P111+P113+P115+P117+P118+P121+P128+P102+P104+P110+P94+P103+P125</f>
        <v>1</v>
      </c>
      <c r="R90" s="317" t="e">
        <f>K90=#REF!</f>
        <v>#REF!</v>
      </c>
      <c r="S90" s="317" t="b">
        <f>P90=P91+P95+P119+P122</f>
        <v>1</v>
      </c>
      <c r="T90" s="181"/>
    </row>
    <row r="91" spans="1:20" ht="48" thickTop="1" thickBot="1" x14ac:dyDescent="0.25">
      <c r="A91" s="251" t="s">
        <v>924</v>
      </c>
      <c r="B91" s="251" t="s">
        <v>880</v>
      </c>
      <c r="C91" s="251"/>
      <c r="D91" s="251" t="s">
        <v>881</v>
      </c>
      <c r="E91" s="416">
        <f>'d3'!E91-'d3-п'!E91</f>
        <v>0</v>
      </c>
      <c r="F91" s="416">
        <f>'d3'!F91-'d3-п'!F91</f>
        <v>0</v>
      </c>
      <c r="G91" s="416">
        <f>'d3'!G91-'d3-п'!G91</f>
        <v>0</v>
      </c>
      <c r="H91" s="416">
        <f>'d3'!H91-'d3-п'!H91</f>
        <v>0</v>
      </c>
      <c r="I91" s="416">
        <f>'d3'!I91-'d3-п'!I91</f>
        <v>0</v>
      </c>
      <c r="J91" s="416">
        <f>'d3'!J91-'d3-п'!J91</f>
        <v>0</v>
      </c>
      <c r="K91" s="416">
        <f>'d3'!K91-'d3-п'!K91</f>
        <v>0</v>
      </c>
      <c r="L91" s="416">
        <f>'d3'!L91-'d3-п'!L91</f>
        <v>0</v>
      </c>
      <c r="M91" s="416">
        <f>'d3'!M91-'d3-п'!M91</f>
        <v>0</v>
      </c>
      <c r="N91" s="416">
        <f>'d3'!N91-'d3-п'!N91</f>
        <v>0</v>
      </c>
      <c r="O91" s="416">
        <f>'d3'!O91-'d3-п'!O91</f>
        <v>0</v>
      </c>
      <c r="P91" s="416">
        <f>'d3'!P91-'d3-п'!P91</f>
        <v>0</v>
      </c>
      <c r="Q91" s="181"/>
      <c r="R91" s="317"/>
      <c r="T91" s="181"/>
    </row>
    <row r="92" spans="1:20" ht="230.25" thickTop="1" thickBot="1" x14ac:dyDescent="0.25">
      <c r="A92" s="795" t="s">
        <v>453</v>
      </c>
      <c r="B92" s="795" t="s">
        <v>261</v>
      </c>
      <c r="C92" s="795" t="s">
        <v>259</v>
      </c>
      <c r="D92" s="795" t="s">
        <v>260</v>
      </c>
      <c r="E92" s="416">
        <f>'d3'!E92-'d3-п'!E92</f>
        <v>0</v>
      </c>
      <c r="F92" s="416">
        <f>'d3'!F92-'d3-п'!F92</f>
        <v>0</v>
      </c>
      <c r="G92" s="416">
        <f>'d3'!G92-'d3-п'!G92</f>
        <v>0</v>
      </c>
      <c r="H92" s="416">
        <f>'d3'!H92-'d3-п'!H92</f>
        <v>0</v>
      </c>
      <c r="I92" s="416">
        <f>'d3'!I92-'d3-п'!I92</f>
        <v>0</v>
      </c>
      <c r="J92" s="416">
        <f>'d3'!J92-'d3-п'!J92</f>
        <v>0</v>
      </c>
      <c r="K92" s="416">
        <f>'d3'!K92-'d3-п'!K92</f>
        <v>0</v>
      </c>
      <c r="L92" s="416">
        <f>'d3'!L92-'d3-п'!L92</f>
        <v>0</v>
      </c>
      <c r="M92" s="416">
        <f>'d3'!M92-'d3-п'!M92</f>
        <v>0</v>
      </c>
      <c r="N92" s="416">
        <f>'d3'!N92-'d3-п'!N92</f>
        <v>0</v>
      </c>
      <c r="O92" s="416">
        <f>'d3'!O92-'d3-п'!O92</f>
        <v>0</v>
      </c>
      <c r="P92" s="416">
        <f>'d3'!P92-'d3-п'!P92</f>
        <v>0</v>
      </c>
      <c r="Q92" s="276"/>
      <c r="R92" s="317" t="e">
        <f>K92=#REF!+#REF!</f>
        <v>#REF!</v>
      </c>
      <c r="T92" s="181"/>
    </row>
    <row r="93" spans="1:20" ht="184.5" thickTop="1" thickBot="1" x14ac:dyDescent="0.25">
      <c r="A93" s="795" t="s">
        <v>823</v>
      </c>
      <c r="B93" s="795" t="s">
        <v>398</v>
      </c>
      <c r="C93" s="795" t="s">
        <v>815</v>
      </c>
      <c r="D93" s="795" t="s">
        <v>816</v>
      </c>
      <c r="E93" s="416">
        <f>'d3'!E93-'d3-п'!E93</f>
        <v>0</v>
      </c>
      <c r="F93" s="416">
        <f>'d3'!F93-'d3-п'!F93</f>
        <v>0</v>
      </c>
      <c r="G93" s="416">
        <f>'d3'!G93-'d3-п'!G93</f>
        <v>0</v>
      </c>
      <c r="H93" s="416">
        <f>'d3'!H93-'d3-п'!H93</f>
        <v>0</v>
      </c>
      <c r="I93" s="416">
        <f>'d3'!I93-'d3-п'!I93</f>
        <v>0</v>
      </c>
      <c r="J93" s="416">
        <f>'d3'!J93-'d3-п'!J93</f>
        <v>0</v>
      </c>
      <c r="K93" s="416">
        <f>'d3'!K93-'d3-п'!K93</f>
        <v>0</v>
      </c>
      <c r="L93" s="416">
        <f>'d3'!L93-'d3-п'!L93</f>
        <v>0</v>
      </c>
      <c r="M93" s="416">
        <f>'d3'!M93-'d3-п'!M93</f>
        <v>0</v>
      </c>
      <c r="N93" s="416">
        <f>'d3'!N93-'d3-п'!N93</f>
        <v>0</v>
      </c>
      <c r="O93" s="416">
        <f>'d3'!O93-'d3-п'!O93</f>
        <v>0</v>
      </c>
      <c r="P93" s="416">
        <f>'d3'!P93-'d3-п'!P93</f>
        <v>0</v>
      </c>
      <c r="Q93" s="276"/>
      <c r="R93" s="317"/>
      <c r="T93" s="181"/>
    </row>
    <row r="94" spans="1:20" ht="93" thickTop="1" thickBot="1" x14ac:dyDescent="0.25">
      <c r="A94" s="804" t="s">
        <v>1187</v>
      </c>
      <c r="B94" s="804" t="s">
        <v>45</v>
      </c>
      <c r="C94" s="804" t="s">
        <v>44</v>
      </c>
      <c r="D94" s="804" t="s">
        <v>273</v>
      </c>
      <c r="E94" s="416">
        <f>'d3'!E94-'d3-п'!E94</f>
        <v>0</v>
      </c>
      <c r="F94" s="416">
        <f>'d3'!F94-'d3-п'!F94</f>
        <v>0</v>
      </c>
      <c r="G94" s="416">
        <f>'d3'!G94-'d3-п'!G94</f>
        <v>0</v>
      </c>
      <c r="H94" s="416">
        <f>'d3'!H94-'d3-п'!H94</f>
        <v>0</v>
      </c>
      <c r="I94" s="416">
        <f>'d3'!I94-'d3-п'!I94</f>
        <v>0</v>
      </c>
      <c r="J94" s="416">
        <f>'d3'!J94-'d3-п'!J94</f>
        <v>0</v>
      </c>
      <c r="K94" s="416">
        <f>'d3'!K94-'d3-п'!K94</f>
        <v>0</v>
      </c>
      <c r="L94" s="416">
        <f>'d3'!L94-'d3-п'!L94</f>
        <v>0</v>
      </c>
      <c r="M94" s="416">
        <f>'d3'!M94-'d3-п'!M94</f>
        <v>0</v>
      </c>
      <c r="N94" s="416">
        <f>'d3'!N94-'d3-п'!N94</f>
        <v>0</v>
      </c>
      <c r="O94" s="416">
        <f>'d3'!O94-'d3-п'!O94</f>
        <v>0</v>
      </c>
      <c r="P94" s="416">
        <f>'d3'!P94-'d3-п'!P94</f>
        <v>0</v>
      </c>
      <c r="Q94" s="276"/>
      <c r="R94" s="317"/>
      <c r="T94" s="181"/>
    </row>
    <row r="95" spans="1:20" ht="91.5" thickTop="1" thickBot="1" x14ac:dyDescent="0.25">
      <c r="A95" s="251" t="s">
        <v>925</v>
      </c>
      <c r="B95" s="251" t="s">
        <v>907</v>
      </c>
      <c r="C95" s="251"/>
      <c r="D95" s="251" t="s">
        <v>908</v>
      </c>
      <c r="E95" s="416">
        <f>'d3'!E95-'d3-п'!E95</f>
        <v>0</v>
      </c>
      <c r="F95" s="416">
        <f>'d3'!F95-'d3-п'!F95</f>
        <v>0</v>
      </c>
      <c r="G95" s="416">
        <f>'d3'!G95-'d3-п'!G95</f>
        <v>0</v>
      </c>
      <c r="H95" s="416">
        <f>'d3'!H95-'d3-п'!H95</f>
        <v>0</v>
      </c>
      <c r="I95" s="416">
        <f>'d3'!I95-'d3-п'!I95</f>
        <v>0</v>
      </c>
      <c r="J95" s="416">
        <f>'d3'!J95-'d3-п'!J95</f>
        <v>0</v>
      </c>
      <c r="K95" s="416">
        <f>'d3'!K95-'d3-п'!K95</f>
        <v>0</v>
      </c>
      <c r="L95" s="416">
        <f>'d3'!L95-'d3-п'!L95</f>
        <v>0</v>
      </c>
      <c r="M95" s="416">
        <f>'d3'!M95-'d3-п'!M95</f>
        <v>0</v>
      </c>
      <c r="N95" s="416">
        <f>'d3'!N95-'d3-п'!N95</f>
        <v>0</v>
      </c>
      <c r="O95" s="416">
        <f>'d3'!O95-'d3-п'!O95</f>
        <v>0</v>
      </c>
      <c r="P95" s="416">
        <f>'d3'!P95-'d3-п'!P95</f>
        <v>0</v>
      </c>
      <c r="Q95" s="276"/>
      <c r="R95" s="317"/>
      <c r="T95" s="181"/>
    </row>
    <row r="96" spans="1:20" ht="276" thickTop="1" thickBot="1" x14ac:dyDescent="0.25">
      <c r="A96" s="552" t="s">
        <v>926</v>
      </c>
      <c r="B96" s="552" t="s">
        <v>927</v>
      </c>
      <c r="C96" s="552"/>
      <c r="D96" s="552" t="s">
        <v>928</v>
      </c>
      <c r="E96" s="416">
        <f>'d3'!E96-'d3-п'!E96</f>
        <v>0</v>
      </c>
      <c r="F96" s="416">
        <f>'d3'!F96-'d3-п'!F96</f>
        <v>0</v>
      </c>
      <c r="G96" s="416">
        <f>'d3'!G96-'d3-п'!G96</f>
        <v>0</v>
      </c>
      <c r="H96" s="416">
        <f>'d3'!H96-'d3-п'!H96</f>
        <v>0</v>
      </c>
      <c r="I96" s="416">
        <f>'d3'!I96-'d3-п'!I96</f>
        <v>0</v>
      </c>
      <c r="J96" s="416">
        <f>'d3'!J96-'d3-п'!J96</f>
        <v>0</v>
      </c>
      <c r="K96" s="416">
        <f>'d3'!K96-'d3-п'!K96</f>
        <v>0</v>
      </c>
      <c r="L96" s="416">
        <f>'d3'!L96-'d3-п'!L96</f>
        <v>0</v>
      </c>
      <c r="M96" s="416">
        <f>'d3'!M96-'d3-п'!M96</f>
        <v>0</v>
      </c>
      <c r="N96" s="416">
        <f>'d3'!N96-'d3-п'!N96</f>
        <v>0</v>
      </c>
      <c r="O96" s="416">
        <f>'d3'!O96-'d3-п'!O96</f>
        <v>0</v>
      </c>
      <c r="P96" s="416">
        <f>'d3'!P96-'d3-п'!P96</f>
        <v>0</v>
      </c>
      <c r="Q96" s="302"/>
      <c r="R96" s="550"/>
      <c r="T96" s="551"/>
    </row>
    <row r="97" spans="1:18" s="85" customFormat="1" ht="138.75" thickTop="1" thickBot="1" x14ac:dyDescent="0.25">
      <c r="A97" s="795" t="s">
        <v>294</v>
      </c>
      <c r="B97" s="795" t="s">
        <v>295</v>
      </c>
      <c r="C97" s="795" t="s">
        <v>230</v>
      </c>
      <c r="D97" s="361" t="s">
        <v>296</v>
      </c>
      <c r="E97" s="416">
        <f>'d3'!E97-'d3-п'!E97</f>
        <v>0</v>
      </c>
      <c r="F97" s="416">
        <f>'d3'!F97-'d3-п'!F97</f>
        <v>0</v>
      </c>
      <c r="G97" s="416">
        <f>'d3'!G97-'d3-п'!G97</f>
        <v>0</v>
      </c>
      <c r="H97" s="416">
        <f>'d3'!H97-'d3-п'!H97</f>
        <v>0</v>
      </c>
      <c r="I97" s="416">
        <f>'d3'!I97-'d3-п'!I97</f>
        <v>0</v>
      </c>
      <c r="J97" s="416">
        <f>'d3'!J97-'d3-п'!J97</f>
        <v>0</v>
      </c>
      <c r="K97" s="416">
        <f>'d3'!K97-'d3-п'!K97</f>
        <v>0</v>
      </c>
      <c r="L97" s="416">
        <f>'d3'!L97-'d3-п'!L97</f>
        <v>0</v>
      </c>
      <c r="M97" s="416">
        <f>'d3'!M97-'d3-п'!M97</f>
        <v>0</v>
      </c>
      <c r="N97" s="416">
        <f>'d3'!N97-'d3-п'!N97</f>
        <v>0</v>
      </c>
      <c r="O97" s="416">
        <f>'d3'!O97-'d3-п'!O97</f>
        <v>0</v>
      </c>
      <c r="P97" s="416">
        <f>'d3'!P97-'d3-п'!P97</f>
        <v>0</v>
      </c>
      <c r="Q97" s="273"/>
      <c r="R97" s="317" t="e">
        <f>K97=#REF!</f>
        <v>#REF!</v>
      </c>
    </row>
    <row r="98" spans="1:18" s="85" customFormat="1" ht="138.75" thickTop="1" thickBot="1" x14ac:dyDescent="0.25">
      <c r="A98" s="795" t="s">
        <v>297</v>
      </c>
      <c r="B98" s="795" t="s">
        <v>298</v>
      </c>
      <c r="C98" s="795" t="s">
        <v>231</v>
      </c>
      <c r="D98" s="795" t="s">
        <v>6</v>
      </c>
      <c r="E98" s="416">
        <f>'d3'!E98-'d3-п'!E98</f>
        <v>0</v>
      </c>
      <c r="F98" s="416">
        <f>'d3'!F98-'d3-п'!F98</f>
        <v>0</v>
      </c>
      <c r="G98" s="416">
        <f>'d3'!G98-'d3-п'!G98</f>
        <v>0</v>
      </c>
      <c r="H98" s="416">
        <f>'d3'!H98-'d3-п'!H98</f>
        <v>0</v>
      </c>
      <c r="I98" s="416">
        <f>'d3'!I98-'d3-п'!I98</f>
        <v>0</v>
      </c>
      <c r="J98" s="416">
        <f>'d3'!J98-'d3-п'!J98</f>
        <v>0</v>
      </c>
      <c r="K98" s="416">
        <f>'d3'!K98-'d3-п'!K98</f>
        <v>0</v>
      </c>
      <c r="L98" s="416">
        <f>'d3'!L98-'d3-п'!L98</f>
        <v>0</v>
      </c>
      <c r="M98" s="416">
        <f>'d3'!M98-'d3-п'!M98</f>
        <v>0</v>
      </c>
      <c r="N98" s="416">
        <f>'d3'!N98-'d3-п'!N98</f>
        <v>0</v>
      </c>
      <c r="O98" s="416">
        <f>'d3'!O98-'d3-п'!O98</f>
        <v>0</v>
      </c>
      <c r="P98" s="416">
        <f>'d3'!P98-'d3-п'!P98</f>
        <v>0</v>
      </c>
      <c r="Q98" s="273"/>
      <c r="R98" s="277"/>
    </row>
    <row r="99" spans="1:18" s="85" customFormat="1" ht="184.5" thickTop="1" thickBot="1" x14ac:dyDescent="0.25">
      <c r="A99" s="795" t="s">
        <v>300</v>
      </c>
      <c r="B99" s="795" t="s">
        <v>301</v>
      </c>
      <c r="C99" s="795" t="s">
        <v>231</v>
      </c>
      <c r="D99" s="795" t="s">
        <v>7</v>
      </c>
      <c r="E99" s="416">
        <f>'d3'!E99-'d3-п'!E99</f>
        <v>0</v>
      </c>
      <c r="F99" s="416">
        <f>'d3'!F99-'d3-п'!F99</f>
        <v>0</v>
      </c>
      <c r="G99" s="416">
        <f>'d3'!G99-'d3-п'!G99</f>
        <v>0</v>
      </c>
      <c r="H99" s="416">
        <f>'d3'!H99-'d3-п'!H99</f>
        <v>0</v>
      </c>
      <c r="I99" s="416">
        <f>'d3'!I99-'d3-п'!I99</f>
        <v>0</v>
      </c>
      <c r="J99" s="416">
        <f>'d3'!J99-'d3-п'!J99</f>
        <v>0</v>
      </c>
      <c r="K99" s="416">
        <f>'d3'!K99-'d3-п'!K99</f>
        <v>0</v>
      </c>
      <c r="L99" s="416">
        <f>'d3'!L99-'d3-п'!L99</f>
        <v>0</v>
      </c>
      <c r="M99" s="416">
        <f>'d3'!M99-'d3-п'!M99</f>
        <v>0</v>
      </c>
      <c r="N99" s="416">
        <f>'d3'!N99-'d3-п'!N99</f>
        <v>0</v>
      </c>
      <c r="O99" s="416">
        <f>'d3'!O99-'d3-п'!O99</f>
        <v>0</v>
      </c>
      <c r="P99" s="416">
        <f>'d3'!P99-'d3-п'!P99</f>
        <v>0</v>
      </c>
      <c r="Q99" s="273"/>
      <c r="R99" s="277"/>
    </row>
    <row r="100" spans="1:18" s="85" customFormat="1" ht="184.5" thickTop="1" thickBot="1" x14ac:dyDescent="0.25">
      <c r="A100" s="795" t="s">
        <v>302</v>
      </c>
      <c r="B100" s="795" t="s">
        <v>299</v>
      </c>
      <c r="C100" s="795" t="s">
        <v>231</v>
      </c>
      <c r="D100" s="795" t="s">
        <v>8</v>
      </c>
      <c r="E100" s="416">
        <f>'d3'!E100-'d3-п'!E100</f>
        <v>0</v>
      </c>
      <c r="F100" s="416">
        <f>'d3'!F100-'d3-п'!F100</f>
        <v>0</v>
      </c>
      <c r="G100" s="416">
        <f>'d3'!G100-'d3-п'!G100</f>
        <v>0</v>
      </c>
      <c r="H100" s="416">
        <f>'d3'!H100-'d3-п'!H100</f>
        <v>0</v>
      </c>
      <c r="I100" s="416">
        <f>'d3'!I100-'d3-п'!I100</f>
        <v>0</v>
      </c>
      <c r="J100" s="416">
        <f>'d3'!J100-'d3-п'!J100</f>
        <v>0</v>
      </c>
      <c r="K100" s="416">
        <f>'d3'!K100-'d3-п'!K100</f>
        <v>0</v>
      </c>
      <c r="L100" s="416">
        <f>'d3'!L100-'d3-п'!L100</f>
        <v>0</v>
      </c>
      <c r="M100" s="416">
        <f>'d3'!M100-'d3-п'!M100</f>
        <v>0</v>
      </c>
      <c r="N100" s="416">
        <f>'d3'!N100-'d3-п'!N100</f>
        <v>0</v>
      </c>
      <c r="O100" s="416">
        <f>'d3'!O100-'d3-п'!O100</f>
        <v>0</v>
      </c>
      <c r="P100" s="416">
        <f>'d3'!P100-'d3-п'!P100</f>
        <v>0</v>
      </c>
      <c r="Q100" s="273"/>
      <c r="R100" s="277"/>
    </row>
    <row r="101" spans="1:18" s="85" customFormat="1" ht="184.5" thickTop="1" thickBot="1" x14ac:dyDescent="0.25">
      <c r="A101" s="795" t="s">
        <v>303</v>
      </c>
      <c r="B101" s="795" t="s">
        <v>304</v>
      </c>
      <c r="C101" s="795" t="s">
        <v>231</v>
      </c>
      <c r="D101" s="795" t="s">
        <v>9</v>
      </c>
      <c r="E101" s="416">
        <f>'d3'!E101-'d3-п'!E101</f>
        <v>0</v>
      </c>
      <c r="F101" s="416">
        <f>'d3'!F101-'d3-п'!F101</f>
        <v>0</v>
      </c>
      <c r="G101" s="416">
        <f>'d3'!G101-'d3-п'!G101</f>
        <v>0</v>
      </c>
      <c r="H101" s="416">
        <f>'d3'!H101-'d3-п'!H101</f>
        <v>0</v>
      </c>
      <c r="I101" s="416">
        <f>'d3'!I101-'d3-п'!I101</f>
        <v>0</v>
      </c>
      <c r="J101" s="416">
        <f>'d3'!J101-'d3-п'!J101</f>
        <v>0</v>
      </c>
      <c r="K101" s="416">
        <f>'d3'!K101-'d3-п'!K101</f>
        <v>0</v>
      </c>
      <c r="L101" s="416">
        <f>'d3'!L101-'d3-п'!L101</f>
        <v>0</v>
      </c>
      <c r="M101" s="416">
        <f>'d3'!M101-'d3-п'!M101</f>
        <v>0</v>
      </c>
      <c r="N101" s="416">
        <f>'d3'!N101-'d3-п'!N101</f>
        <v>0</v>
      </c>
      <c r="O101" s="416">
        <f>'d3'!O101-'d3-п'!O101</f>
        <v>0</v>
      </c>
      <c r="P101" s="416">
        <f>'d3'!P101-'d3-п'!P101</f>
        <v>0</v>
      </c>
      <c r="Q101" s="273"/>
      <c r="R101" s="277"/>
    </row>
    <row r="102" spans="1:18" s="85" customFormat="1" ht="184.5" thickTop="1" thickBot="1" x14ac:dyDescent="0.25">
      <c r="A102" s="795" t="s">
        <v>533</v>
      </c>
      <c r="B102" s="795" t="s">
        <v>534</v>
      </c>
      <c r="C102" s="795" t="s">
        <v>231</v>
      </c>
      <c r="D102" s="795" t="s">
        <v>535</v>
      </c>
      <c r="E102" s="416">
        <f>'d3'!E102-'d3-п'!E102</f>
        <v>0</v>
      </c>
      <c r="F102" s="416">
        <f>'d3'!F102-'d3-п'!F102</f>
        <v>0</v>
      </c>
      <c r="G102" s="416">
        <f>'d3'!G102-'d3-п'!G102</f>
        <v>0</v>
      </c>
      <c r="H102" s="416">
        <f>'d3'!H102-'d3-п'!H102</f>
        <v>0</v>
      </c>
      <c r="I102" s="416">
        <f>'d3'!I102-'d3-п'!I102</f>
        <v>0</v>
      </c>
      <c r="J102" s="416">
        <f>'d3'!J102-'d3-п'!J102</f>
        <v>0</v>
      </c>
      <c r="K102" s="416">
        <f>'d3'!K102-'d3-п'!K102</f>
        <v>0</v>
      </c>
      <c r="L102" s="416">
        <f>'d3'!L102-'d3-п'!L102</f>
        <v>0</v>
      </c>
      <c r="M102" s="416">
        <f>'d3'!M102-'d3-п'!M102</f>
        <v>0</v>
      </c>
      <c r="N102" s="416">
        <f>'d3'!N102-'d3-п'!N102</f>
        <v>0</v>
      </c>
      <c r="O102" s="416">
        <f>'d3'!O102-'d3-п'!O102</f>
        <v>0</v>
      </c>
      <c r="P102" s="416">
        <f>'d3'!P102-'d3-п'!P102</f>
        <v>0</v>
      </c>
      <c r="Q102" s="273"/>
      <c r="R102" s="277"/>
    </row>
    <row r="103" spans="1:18" s="85" customFormat="1" ht="138.75" thickTop="1" thickBot="1" x14ac:dyDescent="0.25">
      <c r="A103" s="795" t="s">
        <v>1189</v>
      </c>
      <c r="B103" s="795" t="s">
        <v>1190</v>
      </c>
      <c r="C103" s="795" t="s">
        <v>231</v>
      </c>
      <c r="D103" s="795" t="s">
        <v>1191</v>
      </c>
      <c r="E103" s="416">
        <f>'d3'!E103-'d3-п'!E103</f>
        <v>0</v>
      </c>
      <c r="F103" s="416">
        <f>'d3'!F103-'d3-п'!F103</f>
        <v>0</v>
      </c>
      <c r="G103" s="416">
        <f>'d3'!G103-'d3-п'!G103</f>
        <v>0</v>
      </c>
      <c r="H103" s="416">
        <f>'d3'!H103-'d3-п'!H103</f>
        <v>0</v>
      </c>
      <c r="I103" s="416">
        <f>'d3'!I103-'d3-п'!I103</f>
        <v>0</v>
      </c>
      <c r="J103" s="416">
        <f>'d3'!J103-'d3-п'!J103</f>
        <v>0</v>
      </c>
      <c r="K103" s="416">
        <f>'d3'!K103-'d3-п'!K103</f>
        <v>0</v>
      </c>
      <c r="L103" s="416">
        <f>'d3'!L103-'d3-п'!L103</f>
        <v>0</v>
      </c>
      <c r="M103" s="416">
        <f>'d3'!M103-'d3-п'!M103</f>
        <v>0</v>
      </c>
      <c r="N103" s="416">
        <f>'d3'!N103-'d3-п'!N103</f>
        <v>0</v>
      </c>
      <c r="O103" s="416">
        <f>'d3'!O103-'d3-п'!O103</f>
        <v>0</v>
      </c>
      <c r="P103" s="416">
        <f>'d3'!P103-'d3-п'!P103</f>
        <v>0</v>
      </c>
      <c r="Q103" s="273"/>
      <c r="R103" s="277"/>
    </row>
    <row r="104" spans="1:18" ht="138.75" thickTop="1" thickBot="1" x14ac:dyDescent="0.25">
      <c r="A104" s="795" t="s">
        <v>536</v>
      </c>
      <c r="B104" s="795" t="s">
        <v>537</v>
      </c>
      <c r="C104" s="795" t="s">
        <v>230</v>
      </c>
      <c r="D104" s="795" t="s">
        <v>538</v>
      </c>
      <c r="E104" s="416">
        <f>'d3'!E104-'d3-п'!E104</f>
        <v>0</v>
      </c>
      <c r="F104" s="416">
        <f>'d3'!F104-'d3-п'!F104</f>
        <v>0</v>
      </c>
      <c r="G104" s="416">
        <f>'d3'!G104-'d3-п'!G104</f>
        <v>0</v>
      </c>
      <c r="H104" s="416">
        <f>'d3'!H104-'d3-п'!H104</f>
        <v>0</v>
      </c>
      <c r="I104" s="416">
        <f>'d3'!I104-'d3-п'!I104</f>
        <v>0</v>
      </c>
      <c r="J104" s="416">
        <f>'d3'!J104-'d3-п'!J104</f>
        <v>0</v>
      </c>
      <c r="K104" s="416">
        <f>'d3'!K104-'d3-п'!K104</f>
        <v>0</v>
      </c>
      <c r="L104" s="416">
        <f>'d3'!L104-'d3-п'!L104</f>
        <v>0</v>
      </c>
      <c r="M104" s="416">
        <f>'d3'!M104-'d3-п'!M104</f>
        <v>0</v>
      </c>
      <c r="N104" s="416">
        <f>'d3'!N104-'d3-п'!N104</f>
        <v>0</v>
      </c>
      <c r="O104" s="416">
        <f>'d3'!O104-'d3-п'!O104</f>
        <v>0</v>
      </c>
      <c r="P104" s="416">
        <f>'d3'!P104-'d3-п'!P104</f>
        <v>0</v>
      </c>
      <c r="R104" s="277"/>
    </row>
    <row r="105" spans="1:18" s="85" customFormat="1" ht="276" thickTop="1" thickBot="1" x14ac:dyDescent="0.25">
      <c r="A105" s="552" t="s">
        <v>929</v>
      </c>
      <c r="B105" s="552" t="s">
        <v>930</v>
      </c>
      <c r="C105" s="552"/>
      <c r="D105" s="552" t="s">
        <v>931</v>
      </c>
      <c r="E105" s="416">
        <f>'d3'!E105-'d3-п'!E105</f>
        <v>0</v>
      </c>
      <c r="F105" s="416">
        <f>'d3'!F105-'d3-п'!F105</f>
        <v>0</v>
      </c>
      <c r="G105" s="416">
        <f>'d3'!G105-'d3-п'!G105</f>
        <v>0</v>
      </c>
      <c r="H105" s="416">
        <f>'d3'!H105-'d3-п'!H105</f>
        <v>0</v>
      </c>
      <c r="I105" s="416">
        <f>'d3'!I105-'d3-п'!I105</f>
        <v>0</v>
      </c>
      <c r="J105" s="416">
        <f>'d3'!J105-'d3-п'!J105</f>
        <v>0</v>
      </c>
      <c r="K105" s="416">
        <f>'d3'!K105-'d3-п'!K105</f>
        <v>0</v>
      </c>
      <c r="L105" s="416">
        <f>'d3'!L105-'d3-п'!L105</f>
        <v>0</v>
      </c>
      <c r="M105" s="416">
        <f>'d3'!M105-'d3-п'!M105</f>
        <v>0</v>
      </c>
      <c r="N105" s="416">
        <f>'d3'!N105-'d3-п'!N105</f>
        <v>0</v>
      </c>
      <c r="O105" s="416">
        <f>'d3'!O105-'d3-п'!O105</f>
        <v>0</v>
      </c>
      <c r="P105" s="416">
        <f>'d3'!P105-'d3-п'!P105</f>
        <v>0</v>
      </c>
      <c r="Q105" s="273"/>
      <c r="R105" s="554"/>
    </row>
    <row r="106" spans="1:18" ht="276" thickTop="1" thickBot="1" x14ac:dyDescent="0.25">
      <c r="A106" s="795" t="s">
        <v>292</v>
      </c>
      <c r="B106" s="795" t="s">
        <v>290</v>
      </c>
      <c r="C106" s="795" t="s">
        <v>225</v>
      </c>
      <c r="D106" s="795" t="s">
        <v>17</v>
      </c>
      <c r="E106" s="416">
        <f>'d3'!E106-'d3-п'!E106</f>
        <v>0</v>
      </c>
      <c r="F106" s="416">
        <f>'d3'!F106-'d3-п'!F106</f>
        <v>0</v>
      </c>
      <c r="G106" s="416">
        <f>'d3'!G106-'d3-п'!G106</f>
        <v>0</v>
      </c>
      <c r="H106" s="416">
        <f>'d3'!H106-'d3-п'!H106</f>
        <v>0</v>
      </c>
      <c r="I106" s="416">
        <f>'d3'!I106-'d3-п'!I106</f>
        <v>0</v>
      </c>
      <c r="J106" s="416">
        <f>'d3'!J106-'d3-п'!J106</f>
        <v>0</v>
      </c>
      <c r="K106" s="416">
        <f>'d3'!K106-'d3-п'!K106</f>
        <v>0</v>
      </c>
      <c r="L106" s="416">
        <f>'d3'!L106-'d3-п'!L106</f>
        <v>0</v>
      </c>
      <c r="M106" s="416">
        <f>'d3'!M106-'d3-п'!M106</f>
        <v>0</v>
      </c>
      <c r="N106" s="416">
        <f>'d3'!N106-'d3-п'!N106</f>
        <v>0</v>
      </c>
      <c r="O106" s="416">
        <f>'d3'!O106-'d3-п'!O106</f>
        <v>0</v>
      </c>
      <c r="P106" s="416">
        <f>'d3'!P106-'d3-п'!P106</f>
        <v>0</v>
      </c>
      <c r="R106" s="317" t="e">
        <f>K106=#REF!</f>
        <v>#REF!</v>
      </c>
    </row>
    <row r="107" spans="1:18" ht="138.75" thickTop="1" thickBot="1" x14ac:dyDescent="0.25">
      <c r="A107" s="795" t="s">
        <v>293</v>
      </c>
      <c r="B107" s="795" t="s">
        <v>291</v>
      </c>
      <c r="C107" s="795" t="s">
        <v>224</v>
      </c>
      <c r="D107" s="795" t="s">
        <v>501</v>
      </c>
      <c r="E107" s="416">
        <f>'d3'!E107-'d3-п'!E107</f>
        <v>0</v>
      </c>
      <c r="F107" s="416">
        <f>'d3'!F107-'d3-п'!F107</f>
        <v>0</v>
      </c>
      <c r="G107" s="416">
        <f>'d3'!G107-'d3-п'!G107</f>
        <v>0</v>
      </c>
      <c r="H107" s="416">
        <f>'d3'!H107-'d3-п'!H107</f>
        <v>0</v>
      </c>
      <c r="I107" s="416">
        <f>'d3'!I107-'d3-п'!I107</f>
        <v>0</v>
      </c>
      <c r="J107" s="416">
        <f>'d3'!J107-'d3-п'!J107</f>
        <v>0</v>
      </c>
      <c r="K107" s="416">
        <f>'d3'!K107-'d3-п'!K107</f>
        <v>0</v>
      </c>
      <c r="L107" s="416">
        <f>'d3'!L107-'d3-п'!L107</f>
        <v>0</v>
      </c>
      <c r="M107" s="416">
        <f>'d3'!M107-'d3-п'!M107</f>
        <v>0</v>
      </c>
      <c r="N107" s="416">
        <f>'d3'!N107-'d3-п'!N107</f>
        <v>0</v>
      </c>
      <c r="O107" s="416">
        <f>'d3'!O107-'d3-п'!O107</f>
        <v>0</v>
      </c>
      <c r="P107" s="416">
        <f>'d3'!P107-'d3-п'!P107</f>
        <v>0</v>
      </c>
      <c r="R107" s="317" t="e">
        <f>K107=#REF!</f>
        <v>#REF!</v>
      </c>
    </row>
    <row r="108" spans="1:18" ht="409.6" thickTop="1" thickBot="1" x14ac:dyDescent="0.25">
      <c r="A108" s="795" t="s">
        <v>288</v>
      </c>
      <c r="B108" s="795" t="s">
        <v>289</v>
      </c>
      <c r="C108" s="795" t="s">
        <v>224</v>
      </c>
      <c r="D108" s="795" t="s">
        <v>499</v>
      </c>
      <c r="E108" s="416">
        <f>'d3'!E108-'d3-п'!E108</f>
        <v>0</v>
      </c>
      <c r="F108" s="416">
        <f>'d3'!F108-'d3-п'!F108</f>
        <v>0</v>
      </c>
      <c r="G108" s="416">
        <f>'d3'!G108-'d3-п'!G108</f>
        <v>0</v>
      </c>
      <c r="H108" s="416">
        <f>'d3'!H108-'d3-п'!H108</f>
        <v>0</v>
      </c>
      <c r="I108" s="416">
        <f>'d3'!I108-'d3-п'!I108</f>
        <v>0</v>
      </c>
      <c r="J108" s="416">
        <f>'d3'!J108-'d3-п'!J108</f>
        <v>0</v>
      </c>
      <c r="K108" s="416">
        <f>'d3'!K108-'d3-п'!K108</f>
        <v>0</v>
      </c>
      <c r="L108" s="416">
        <f>'d3'!L108-'d3-п'!L108</f>
        <v>0</v>
      </c>
      <c r="M108" s="416">
        <f>'d3'!M108-'d3-п'!M108</f>
        <v>0</v>
      </c>
      <c r="N108" s="416">
        <f>'d3'!N108-'d3-п'!N108</f>
        <v>0</v>
      </c>
      <c r="O108" s="416">
        <f>'d3'!O108-'d3-п'!O108</f>
        <v>0</v>
      </c>
      <c r="P108" s="416">
        <f>'d3'!P108-'d3-п'!P108</f>
        <v>0</v>
      </c>
      <c r="R108" s="277"/>
    </row>
    <row r="109" spans="1:18" ht="138.75" thickTop="1" thickBot="1" x14ac:dyDescent="0.25">
      <c r="A109" s="552" t="s">
        <v>1098</v>
      </c>
      <c r="B109" s="552" t="s">
        <v>1099</v>
      </c>
      <c r="C109" s="552"/>
      <c r="D109" s="552" t="s">
        <v>1100</v>
      </c>
      <c r="E109" s="416">
        <f>'d3'!E109-'d3-п'!E109</f>
        <v>0</v>
      </c>
      <c r="F109" s="416">
        <f>'d3'!F109-'d3-п'!F109</f>
        <v>0</v>
      </c>
      <c r="G109" s="416">
        <f>'d3'!G109-'d3-п'!G109</f>
        <v>0</v>
      </c>
      <c r="H109" s="416">
        <f>'d3'!H109-'d3-п'!H109</f>
        <v>0</v>
      </c>
      <c r="I109" s="416">
        <f>'d3'!I109-'d3-п'!I109</f>
        <v>0</v>
      </c>
      <c r="J109" s="416">
        <f>'d3'!J109-'d3-п'!J109</f>
        <v>0</v>
      </c>
      <c r="K109" s="416">
        <f>'d3'!K109-'d3-п'!K109</f>
        <v>0</v>
      </c>
      <c r="L109" s="416">
        <f>'d3'!L109-'d3-п'!L109</f>
        <v>0</v>
      </c>
      <c r="M109" s="416">
        <f>'d3'!M109-'d3-п'!M109</f>
        <v>0</v>
      </c>
      <c r="N109" s="416">
        <f>'d3'!N109-'d3-п'!N109</f>
        <v>0</v>
      </c>
      <c r="O109" s="416">
        <f>'d3'!O109-'d3-п'!O109</f>
        <v>0</v>
      </c>
      <c r="P109" s="416">
        <f>'d3'!P109-'d3-п'!P109</f>
        <v>0</v>
      </c>
      <c r="R109" s="277"/>
    </row>
    <row r="110" spans="1:18" ht="276" thickTop="1" thickBot="1" x14ac:dyDescent="0.25">
      <c r="A110" s="795" t="s">
        <v>539</v>
      </c>
      <c r="B110" s="795" t="s">
        <v>540</v>
      </c>
      <c r="C110" s="795" t="s">
        <v>224</v>
      </c>
      <c r="D110" s="795" t="s">
        <v>541</v>
      </c>
      <c r="E110" s="416">
        <f>'d3'!E110-'d3-п'!E110</f>
        <v>0</v>
      </c>
      <c r="F110" s="416">
        <f>'d3'!F110-'d3-п'!F110</f>
        <v>0</v>
      </c>
      <c r="G110" s="416">
        <f>'d3'!G110-'d3-п'!G110</f>
        <v>0</v>
      </c>
      <c r="H110" s="416">
        <f>'d3'!H110-'d3-п'!H110</f>
        <v>0</v>
      </c>
      <c r="I110" s="416">
        <f>'d3'!I110-'d3-п'!I110</f>
        <v>0</v>
      </c>
      <c r="J110" s="416">
        <f>'d3'!J110-'d3-п'!J110</f>
        <v>0</v>
      </c>
      <c r="K110" s="416">
        <f>'d3'!K110-'d3-п'!K110</f>
        <v>0</v>
      </c>
      <c r="L110" s="416">
        <f>'d3'!L110-'d3-п'!L110</f>
        <v>0</v>
      </c>
      <c r="M110" s="416">
        <f>'d3'!M110-'d3-п'!M110</f>
        <v>0</v>
      </c>
      <c r="N110" s="416">
        <f>'d3'!N110-'d3-п'!N110</f>
        <v>0</v>
      </c>
      <c r="O110" s="416">
        <f>'d3'!O110-'d3-п'!O110</f>
        <v>0</v>
      </c>
      <c r="P110" s="416">
        <f>'d3'!P110-'d3-п'!P110</f>
        <v>0</v>
      </c>
      <c r="R110" s="277"/>
    </row>
    <row r="111" spans="1:18" ht="367.5" thickTop="1" thickBot="1" x14ac:dyDescent="0.25">
      <c r="A111" s="795" t="s">
        <v>382</v>
      </c>
      <c r="B111" s="795" t="s">
        <v>381</v>
      </c>
      <c r="C111" s="795" t="s">
        <v>52</v>
      </c>
      <c r="D111" s="795" t="s">
        <v>500</v>
      </c>
      <c r="E111" s="416">
        <f>'d3'!E111-'d3-п'!E111</f>
        <v>0</v>
      </c>
      <c r="F111" s="416">
        <f>'d3'!F111-'d3-п'!F111</f>
        <v>0</v>
      </c>
      <c r="G111" s="416">
        <f>'d3'!G111-'d3-п'!G111</f>
        <v>0</v>
      </c>
      <c r="H111" s="416">
        <f>'d3'!H111-'d3-п'!H111</f>
        <v>0</v>
      </c>
      <c r="I111" s="416">
        <f>'d3'!I111-'d3-п'!I111</f>
        <v>0</v>
      </c>
      <c r="J111" s="416">
        <f>'d3'!J111-'d3-п'!J111</f>
        <v>0</v>
      </c>
      <c r="K111" s="416">
        <f>'d3'!K111-'d3-п'!K111</f>
        <v>0</v>
      </c>
      <c r="L111" s="416">
        <f>'d3'!L111-'d3-п'!L111</f>
        <v>0</v>
      </c>
      <c r="M111" s="416">
        <f>'d3'!M111-'d3-п'!M111</f>
        <v>0</v>
      </c>
      <c r="N111" s="416">
        <f>'d3'!N111-'d3-п'!N111</f>
        <v>0</v>
      </c>
      <c r="O111" s="416">
        <f>'d3'!O111-'d3-п'!O111</f>
        <v>0</v>
      </c>
      <c r="P111" s="416">
        <f>'d3'!P111-'d3-п'!P111</f>
        <v>0</v>
      </c>
      <c r="R111" s="277"/>
    </row>
    <row r="112" spans="1:18" s="85" customFormat="1" ht="93" thickTop="1" thickBot="1" x14ac:dyDescent="0.25">
      <c r="A112" s="552" t="s">
        <v>932</v>
      </c>
      <c r="B112" s="552" t="s">
        <v>933</v>
      </c>
      <c r="C112" s="552"/>
      <c r="D112" s="552" t="s">
        <v>934</v>
      </c>
      <c r="E112" s="416">
        <f>'d3'!E112-'d3-п'!E112</f>
        <v>0</v>
      </c>
      <c r="F112" s="416">
        <f>'d3'!F112-'d3-п'!F112</f>
        <v>0</v>
      </c>
      <c r="G112" s="416">
        <f>'d3'!G112-'d3-п'!G112</f>
        <v>0</v>
      </c>
      <c r="H112" s="416">
        <f>'d3'!H112-'d3-п'!H112</f>
        <v>0</v>
      </c>
      <c r="I112" s="416">
        <f>'d3'!I112-'d3-п'!I112</f>
        <v>0</v>
      </c>
      <c r="J112" s="416">
        <f>'d3'!J112-'d3-п'!J112</f>
        <v>0</v>
      </c>
      <c r="K112" s="416">
        <f>'d3'!K112-'d3-п'!K112</f>
        <v>0</v>
      </c>
      <c r="L112" s="416">
        <f>'d3'!L112-'d3-п'!L112</f>
        <v>0</v>
      </c>
      <c r="M112" s="416">
        <f>'d3'!M112-'d3-п'!M112</f>
        <v>0</v>
      </c>
      <c r="N112" s="416">
        <f>'d3'!N112-'d3-п'!N112</f>
        <v>0</v>
      </c>
      <c r="O112" s="416">
        <f>'d3'!O112-'d3-п'!O112</f>
        <v>0</v>
      </c>
      <c r="P112" s="416">
        <f>'d3'!P112-'d3-п'!P112</f>
        <v>0</v>
      </c>
      <c r="Q112" s="273"/>
      <c r="R112" s="554"/>
    </row>
    <row r="113" spans="1:18" ht="230.25" thickTop="1" thickBot="1" x14ac:dyDescent="0.25">
      <c r="A113" s="795" t="s">
        <v>358</v>
      </c>
      <c r="B113" s="795" t="s">
        <v>359</v>
      </c>
      <c r="C113" s="795" t="s">
        <v>230</v>
      </c>
      <c r="D113" s="795" t="s">
        <v>830</v>
      </c>
      <c r="E113" s="416">
        <f>'d3'!E113-'d3-п'!E113</f>
        <v>0</v>
      </c>
      <c r="F113" s="416">
        <f>'d3'!F113-'d3-п'!F113</f>
        <v>0</v>
      </c>
      <c r="G113" s="416">
        <f>'d3'!G113-'d3-п'!G113</f>
        <v>0</v>
      </c>
      <c r="H113" s="416">
        <f>'d3'!H113-'d3-п'!H113</f>
        <v>0</v>
      </c>
      <c r="I113" s="416">
        <f>'d3'!I113-'d3-п'!I113</f>
        <v>0</v>
      </c>
      <c r="J113" s="416">
        <f>'d3'!J113-'d3-п'!J113</f>
        <v>0</v>
      </c>
      <c r="K113" s="416">
        <f>'d3'!K113-'d3-п'!K113</f>
        <v>0</v>
      </c>
      <c r="L113" s="416">
        <f>'d3'!L113-'d3-п'!L113</f>
        <v>0</v>
      </c>
      <c r="M113" s="416">
        <f>'d3'!M113-'d3-п'!M113</f>
        <v>0</v>
      </c>
      <c r="N113" s="416">
        <f>'d3'!N113-'d3-п'!N113</f>
        <v>0</v>
      </c>
      <c r="O113" s="416">
        <f>'d3'!O113-'d3-п'!O113</f>
        <v>0</v>
      </c>
      <c r="P113" s="416">
        <f>'d3'!P113-'d3-п'!P113</f>
        <v>0</v>
      </c>
      <c r="R113" s="277"/>
    </row>
    <row r="114" spans="1:18" s="85" customFormat="1" ht="184.5" thickTop="1" thickBot="1" x14ac:dyDescent="0.25">
      <c r="A114" s="552" t="s">
        <v>935</v>
      </c>
      <c r="B114" s="552" t="s">
        <v>936</v>
      </c>
      <c r="C114" s="552"/>
      <c r="D114" s="552" t="s">
        <v>937</v>
      </c>
      <c r="E114" s="416">
        <f>'d3'!E114-'d3-п'!E114</f>
        <v>0</v>
      </c>
      <c r="F114" s="416">
        <f>'d3'!F114-'d3-п'!F114</f>
        <v>0</v>
      </c>
      <c r="G114" s="416">
        <f>'d3'!G114-'d3-п'!G114</f>
        <v>0</v>
      </c>
      <c r="H114" s="416">
        <f>'d3'!H114-'d3-п'!H114</f>
        <v>0</v>
      </c>
      <c r="I114" s="416">
        <f>'d3'!I114-'d3-п'!I114</f>
        <v>0</v>
      </c>
      <c r="J114" s="416">
        <f>'d3'!J114-'d3-п'!J114</f>
        <v>0</v>
      </c>
      <c r="K114" s="416">
        <f>'d3'!K114-'d3-п'!K114</f>
        <v>0</v>
      </c>
      <c r="L114" s="416">
        <f>'d3'!L114-'d3-п'!L114</f>
        <v>0</v>
      </c>
      <c r="M114" s="416">
        <f>'d3'!M114-'d3-п'!M114</f>
        <v>0</v>
      </c>
      <c r="N114" s="416">
        <f>'d3'!N114-'d3-п'!N114</f>
        <v>0</v>
      </c>
      <c r="O114" s="416">
        <f>'d3'!O114-'d3-п'!O114</f>
        <v>0</v>
      </c>
      <c r="P114" s="416">
        <f>'d3'!P114-'d3-п'!P114</f>
        <v>0</v>
      </c>
      <c r="Q114" s="273"/>
      <c r="R114" s="554"/>
    </row>
    <row r="115" spans="1:18" ht="93" thickTop="1" thickBot="1" x14ac:dyDescent="0.25">
      <c r="A115" s="795" t="s">
        <v>466</v>
      </c>
      <c r="B115" s="795" t="s">
        <v>408</v>
      </c>
      <c r="C115" s="795" t="s">
        <v>409</v>
      </c>
      <c r="D115" s="795" t="s">
        <v>407</v>
      </c>
      <c r="E115" s="416">
        <f>'d3'!E115-'d3-п'!E115</f>
        <v>0</v>
      </c>
      <c r="F115" s="416">
        <f>'d3'!F115-'d3-п'!F115</f>
        <v>0</v>
      </c>
      <c r="G115" s="416">
        <f>'d3'!G115-'d3-п'!G115</f>
        <v>0</v>
      </c>
      <c r="H115" s="416">
        <f>'d3'!H115-'d3-п'!H115</f>
        <v>0</v>
      </c>
      <c r="I115" s="416">
        <f>'d3'!I115-'d3-п'!I115</f>
        <v>0</v>
      </c>
      <c r="J115" s="416">
        <f>'d3'!J115-'d3-п'!J115</f>
        <v>0</v>
      </c>
      <c r="K115" s="416">
        <f>'d3'!K115-'d3-п'!K115</f>
        <v>0</v>
      </c>
      <c r="L115" s="416">
        <f>'d3'!L115-'d3-п'!L115</f>
        <v>0</v>
      </c>
      <c r="M115" s="416">
        <f>'d3'!M115-'d3-п'!M115</f>
        <v>0</v>
      </c>
      <c r="N115" s="416">
        <f>'d3'!N115-'d3-п'!N115</f>
        <v>0</v>
      </c>
      <c r="O115" s="416">
        <f>'d3'!O115-'d3-п'!O115</f>
        <v>0</v>
      </c>
      <c r="P115" s="416">
        <f>'d3'!P115-'d3-п'!P115</f>
        <v>0</v>
      </c>
      <c r="R115" s="277"/>
    </row>
    <row r="116" spans="1:18" s="85" customFormat="1" ht="48" thickTop="1" thickBot="1" x14ac:dyDescent="0.25">
      <c r="A116" s="552" t="s">
        <v>938</v>
      </c>
      <c r="B116" s="552" t="s">
        <v>939</v>
      </c>
      <c r="C116" s="552"/>
      <c r="D116" s="552" t="s">
        <v>940</v>
      </c>
      <c r="E116" s="416">
        <f>'d3'!E116-'d3-п'!E116</f>
        <v>0</v>
      </c>
      <c r="F116" s="416">
        <f>'d3'!F116-'d3-п'!F116</f>
        <v>0</v>
      </c>
      <c r="G116" s="416">
        <f>'d3'!G116-'d3-п'!G116</f>
        <v>0</v>
      </c>
      <c r="H116" s="416">
        <f>'d3'!H116-'d3-п'!H116</f>
        <v>0</v>
      </c>
      <c r="I116" s="416">
        <f>'d3'!I116-'d3-п'!I116</f>
        <v>0</v>
      </c>
      <c r="J116" s="416">
        <f>'d3'!J116-'d3-п'!J116</f>
        <v>0</v>
      </c>
      <c r="K116" s="416">
        <f>'d3'!K116-'d3-п'!K116</f>
        <v>0</v>
      </c>
      <c r="L116" s="416">
        <f>'d3'!L116-'d3-п'!L116</f>
        <v>0</v>
      </c>
      <c r="M116" s="416">
        <f>'d3'!M116-'d3-п'!M116</f>
        <v>0</v>
      </c>
      <c r="N116" s="416">
        <f>'d3'!N116-'d3-п'!N116</f>
        <v>0</v>
      </c>
      <c r="O116" s="416">
        <f>'d3'!O116-'d3-п'!O116</f>
        <v>0</v>
      </c>
      <c r="P116" s="416">
        <f>'d3'!P116-'d3-п'!P116</f>
        <v>0</v>
      </c>
      <c r="Q116" s="273"/>
      <c r="R116" s="554"/>
    </row>
    <row r="117" spans="1:18" ht="184.5" thickTop="1" thickBot="1" x14ac:dyDescent="0.25">
      <c r="A117" s="795" t="s">
        <v>360</v>
      </c>
      <c r="B117" s="795" t="s">
        <v>362</v>
      </c>
      <c r="C117" s="795" t="s">
        <v>216</v>
      </c>
      <c r="D117" s="434" t="s">
        <v>364</v>
      </c>
      <c r="E117" s="416">
        <f>'d3'!E117-'d3-п'!E117</f>
        <v>0</v>
      </c>
      <c r="F117" s="416">
        <f>'d3'!F117-'d3-п'!F117</f>
        <v>0</v>
      </c>
      <c r="G117" s="416">
        <f>'d3'!G117-'d3-п'!G117</f>
        <v>0</v>
      </c>
      <c r="H117" s="416">
        <f>'d3'!H117-'d3-п'!H117</f>
        <v>0</v>
      </c>
      <c r="I117" s="416">
        <f>'d3'!I117-'d3-п'!I117</f>
        <v>0</v>
      </c>
      <c r="J117" s="416">
        <f>'d3'!J117-'d3-п'!J117</f>
        <v>0</v>
      </c>
      <c r="K117" s="416">
        <f>'d3'!K117-'d3-п'!K117</f>
        <v>0</v>
      </c>
      <c r="L117" s="416">
        <f>'d3'!L117-'d3-п'!L117</f>
        <v>0</v>
      </c>
      <c r="M117" s="416">
        <f>'d3'!M117-'d3-п'!M117</f>
        <v>0</v>
      </c>
      <c r="N117" s="416">
        <f>'d3'!N117-'d3-п'!N117</f>
        <v>0</v>
      </c>
      <c r="O117" s="416">
        <f>'d3'!O117-'d3-п'!O117</f>
        <v>0</v>
      </c>
      <c r="P117" s="416">
        <f>'d3'!P117-'d3-п'!P117</f>
        <v>0</v>
      </c>
      <c r="R117" s="317" t="e">
        <f>K117=#REF!</f>
        <v>#REF!</v>
      </c>
    </row>
    <row r="118" spans="1:18" ht="138.75" thickTop="1" thickBot="1" x14ac:dyDescent="0.25">
      <c r="A118" s="795" t="s">
        <v>361</v>
      </c>
      <c r="B118" s="795" t="s">
        <v>363</v>
      </c>
      <c r="C118" s="795" t="s">
        <v>216</v>
      </c>
      <c r="D118" s="434" t="s">
        <v>365</v>
      </c>
      <c r="E118" s="416">
        <f>'d3'!E118-'d3-п'!E118</f>
        <v>0</v>
      </c>
      <c r="F118" s="416">
        <f>'d3'!F118-'d3-п'!F118</f>
        <v>0</v>
      </c>
      <c r="G118" s="416">
        <f>'d3'!G118-'d3-п'!G118</f>
        <v>0</v>
      </c>
      <c r="H118" s="416">
        <f>'d3'!H118-'d3-п'!H118</f>
        <v>0</v>
      </c>
      <c r="I118" s="416">
        <f>'d3'!I118-'d3-п'!I118</f>
        <v>0</v>
      </c>
      <c r="J118" s="416">
        <f>'d3'!J118-'d3-п'!J118</f>
        <v>0</v>
      </c>
      <c r="K118" s="416">
        <f>'d3'!K118-'d3-п'!K118</f>
        <v>0</v>
      </c>
      <c r="L118" s="416">
        <f>'d3'!L118-'d3-п'!L118</f>
        <v>0</v>
      </c>
      <c r="M118" s="416">
        <f>'d3'!M118-'d3-п'!M118</f>
        <v>0</v>
      </c>
      <c r="N118" s="416">
        <f>'d3'!N118-'d3-п'!N118</f>
        <v>0</v>
      </c>
      <c r="O118" s="416">
        <f>'d3'!O118-'d3-п'!O118</f>
        <v>0</v>
      </c>
      <c r="P118" s="416">
        <f>'d3'!P118-'d3-п'!P118</f>
        <v>0</v>
      </c>
      <c r="R118" s="317" t="e">
        <f>K118=#REF!</f>
        <v>#REF!</v>
      </c>
    </row>
    <row r="119" spans="1:18" ht="91.5" thickTop="1" thickBot="1" x14ac:dyDescent="0.25">
      <c r="A119" s="251" t="s">
        <v>941</v>
      </c>
      <c r="B119" s="251" t="s">
        <v>942</v>
      </c>
      <c r="C119" s="251"/>
      <c r="D119" s="556" t="s">
        <v>943</v>
      </c>
      <c r="E119" s="416">
        <f>'d3'!E119-'d3-п'!E119</f>
        <v>0</v>
      </c>
      <c r="F119" s="416">
        <f>'d3'!F119-'d3-п'!F119</f>
        <v>0</v>
      </c>
      <c r="G119" s="416">
        <f>'d3'!G119-'d3-п'!G119</f>
        <v>0</v>
      </c>
      <c r="H119" s="416">
        <f>'d3'!H119-'d3-п'!H119</f>
        <v>0</v>
      </c>
      <c r="I119" s="416">
        <f>'d3'!I119-'d3-п'!I119</f>
        <v>0</v>
      </c>
      <c r="J119" s="416">
        <f>'d3'!J119-'d3-п'!J119</f>
        <v>0</v>
      </c>
      <c r="K119" s="416">
        <f>'d3'!K119-'d3-п'!K119</f>
        <v>0</v>
      </c>
      <c r="L119" s="416">
        <f>'d3'!L119-'d3-п'!L119</f>
        <v>0</v>
      </c>
      <c r="M119" s="416">
        <f>'d3'!M119-'d3-п'!M119</f>
        <v>0</v>
      </c>
      <c r="N119" s="416">
        <f>'d3'!N119-'d3-п'!N119</f>
        <v>0</v>
      </c>
      <c r="O119" s="416">
        <f>'d3'!O119-'d3-п'!O119</f>
        <v>0</v>
      </c>
      <c r="P119" s="416">
        <f>'d3'!P119-'d3-п'!P119</f>
        <v>0</v>
      </c>
      <c r="R119" s="317"/>
    </row>
    <row r="120" spans="1:18" s="85" customFormat="1" ht="93" thickTop="1" thickBot="1" x14ac:dyDescent="0.25">
      <c r="A120" s="552" t="s">
        <v>944</v>
      </c>
      <c r="B120" s="552" t="s">
        <v>945</v>
      </c>
      <c r="C120" s="552"/>
      <c r="D120" s="558" t="s">
        <v>946</v>
      </c>
      <c r="E120" s="416">
        <f>'d3'!E120-'d3-п'!E120</f>
        <v>0</v>
      </c>
      <c r="F120" s="416">
        <f>'d3'!F120-'d3-п'!F120</f>
        <v>0</v>
      </c>
      <c r="G120" s="416">
        <f>'d3'!G120-'d3-п'!G120</f>
        <v>0</v>
      </c>
      <c r="H120" s="416">
        <f>'d3'!H120-'d3-п'!H120</f>
        <v>0</v>
      </c>
      <c r="I120" s="416">
        <f>'d3'!I120-'d3-п'!I120</f>
        <v>0</v>
      </c>
      <c r="J120" s="416">
        <f>'d3'!J120-'d3-п'!J120</f>
        <v>0</v>
      </c>
      <c r="K120" s="416">
        <f>'d3'!K120-'d3-п'!K120</f>
        <v>0</v>
      </c>
      <c r="L120" s="416">
        <f>'d3'!L120-'d3-п'!L120</f>
        <v>0</v>
      </c>
      <c r="M120" s="416">
        <f>'d3'!M120-'d3-п'!M120</f>
        <v>0</v>
      </c>
      <c r="N120" s="416">
        <f>'d3'!N120-'d3-п'!N120</f>
        <v>0</v>
      </c>
      <c r="O120" s="416">
        <f>'d3'!O120-'d3-п'!O120</f>
        <v>0</v>
      </c>
      <c r="P120" s="416">
        <f>'d3'!P120-'d3-п'!P120</f>
        <v>0</v>
      </c>
      <c r="Q120" s="273"/>
      <c r="R120" s="560"/>
    </row>
    <row r="121" spans="1:18" ht="138.75" thickTop="1" thickBot="1" x14ac:dyDescent="0.25">
      <c r="A121" s="795" t="s">
        <v>403</v>
      </c>
      <c r="B121" s="795" t="s">
        <v>401</v>
      </c>
      <c r="C121" s="795" t="s">
        <v>373</v>
      </c>
      <c r="D121" s="434" t="s">
        <v>402</v>
      </c>
      <c r="E121" s="416">
        <f>'d3'!E121-'d3-п'!E121</f>
        <v>0</v>
      </c>
      <c r="F121" s="416">
        <f>'d3'!F121-'d3-п'!F121</f>
        <v>0</v>
      </c>
      <c r="G121" s="416">
        <f>'d3'!G121-'d3-п'!G121</f>
        <v>0</v>
      </c>
      <c r="H121" s="416">
        <f>'d3'!H121-'d3-п'!H121</f>
        <v>0</v>
      </c>
      <c r="I121" s="416">
        <f>'d3'!I121-'d3-п'!I121</f>
        <v>0</v>
      </c>
      <c r="J121" s="416">
        <f>'d3'!J121-'d3-п'!J121</f>
        <v>0</v>
      </c>
      <c r="K121" s="416">
        <f>'d3'!K121-'d3-п'!K121</f>
        <v>0</v>
      </c>
      <c r="L121" s="416">
        <f>'d3'!L121-'d3-п'!L121</f>
        <v>0</v>
      </c>
      <c r="M121" s="416">
        <f>'d3'!M121-'d3-п'!M121</f>
        <v>0</v>
      </c>
      <c r="N121" s="416">
        <f>'d3'!N121-'d3-п'!N121</f>
        <v>0</v>
      </c>
      <c r="O121" s="416">
        <f>'d3'!O121-'d3-п'!O121</f>
        <v>0</v>
      </c>
      <c r="P121" s="416">
        <f>'d3'!P121-'d3-п'!P121</f>
        <v>0</v>
      </c>
      <c r="R121" s="317" t="e">
        <f>K121=#REF!</f>
        <v>#REF!</v>
      </c>
    </row>
    <row r="122" spans="1:18" ht="48" thickTop="1" thickBot="1" x14ac:dyDescent="0.25">
      <c r="A122" s="251" t="s">
        <v>951</v>
      </c>
      <c r="B122" s="757" t="s">
        <v>948</v>
      </c>
      <c r="C122" s="757"/>
      <c r="D122" s="757" t="s">
        <v>949</v>
      </c>
      <c r="E122" s="416">
        <f>'d3'!E122-'d3-п'!E122</f>
        <v>0</v>
      </c>
      <c r="F122" s="416">
        <f>'d3'!F122-'d3-п'!F122</f>
        <v>0</v>
      </c>
      <c r="G122" s="416">
        <f>'d3'!G122-'d3-п'!G122</f>
        <v>0</v>
      </c>
      <c r="H122" s="416">
        <f>'d3'!H122-'d3-п'!H122</f>
        <v>0</v>
      </c>
      <c r="I122" s="416">
        <f>'d3'!I122-'d3-п'!I122</f>
        <v>0</v>
      </c>
      <c r="J122" s="416">
        <f>'d3'!J122-'d3-п'!J122</f>
        <v>0</v>
      </c>
      <c r="K122" s="416">
        <f>'d3'!K122-'d3-п'!K122</f>
        <v>0</v>
      </c>
      <c r="L122" s="416">
        <f>'d3'!L122-'d3-п'!L122</f>
        <v>0</v>
      </c>
      <c r="M122" s="416">
        <f>'d3'!M122-'d3-п'!M122</f>
        <v>0</v>
      </c>
      <c r="N122" s="416">
        <f>'d3'!N122-'d3-п'!N122</f>
        <v>0</v>
      </c>
      <c r="O122" s="416">
        <f>'d3'!O122-'d3-п'!O122</f>
        <v>0</v>
      </c>
      <c r="P122" s="416">
        <f>'d3'!P122-'d3-п'!P122</f>
        <v>0</v>
      </c>
      <c r="R122" s="317"/>
    </row>
    <row r="123" spans="1:18" ht="91.5" thickTop="1" thickBot="1" x14ac:dyDescent="0.25">
      <c r="A123" s="557" t="s">
        <v>1198</v>
      </c>
      <c r="B123" s="758" t="s">
        <v>1004</v>
      </c>
      <c r="C123" s="758"/>
      <c r="D123" s="758" t="s">
        <v>1005</v>
      </c>
      <c r="E123" s="416">
        <f>'d3'!E123-'d3-п'!E123</f>
        <v>0</v>
      </c>
      <c r="F123" s="416">
        <f>'d3'!F123-'d3-п'!F123</f>
        <v>0</v>
      </c>
      <c r="G123" s="416">
        <f>'d3'!G123-'d3-п'!G123</f>
        <v>0</v>
      </c>
      <c r="H123" s="416">
        <f>'d3'!H123-'d3-п'!H123</f>
        <v>0</v>
      </c>
      <c r="I123" s="416">
        <f>'d3'!I123-'d3-п'!I123</f>
        <v>0</v>
      </c>
      <c r="J123" s="416">
        <f>'d3'!J123-'d3-п'!J123</f>
        <v>0</v>
      </c>
      <c r="K123" s="416">
        <f>'d3'!K123-'d3-п'!K123</f>
        <v>0</v>
      </c>
      <c r="L123" s="416">
        <f>'d3'!L123-'d3-п'!L123</f>
        <v>0</v>
      </c>
      <c r="M123" s="416">
        <f>'d3'!M123-'d3-п'!M123</f>
        <v>0</v>
      </c>
      <c r="N123" s="416">
        <f>'d3'!N123-'d3-п'!N123</f>
        <v>0</v>
      </c>
      <c r="O123" s="416">
        <f>'d3'!O123-'d3-п'!O123</f>
        <v>0</v>
      </c>
      <c r="P123" s="416">
        <f>'d3'!P123-'d3-п'!P123</f>
        <v>0</v>
      </c>
      <c r="R123" s="317"/>
    </row>
    <row r="124" spans="1:18" ht="146.25" thickTop="1" thickBot="1" x14ac:dyDescent="0.25">
      <c r="A124" s="552" t="s">
        <v>1194</v>
      </c>
      <c r="B124" s="552" t="s">
        <v>1023</v>
      </c>
      <c r="C124" s="552"/>
      <c r="D124" s="552" t="s">
        <v>1024</v>
      </c>
      <c r="E124" s="416">
        <f>'d3'!E124-'d3-п'!E124</f>
        <v>0</v>
      </c>
      <c r="F124" s="416">
        <f>'d3'!F124-'d3-п'!F124</f>
        <v>0</v>
      </c>
      <c r="G124" s="416">
        <f>'d3'!G124-'d3-п'!G124</f>
        <v>0</v>
      </c>
      <c r="H124" s="416">
        <f>'d3'!H124-'d3-п'!H124</f>
        <v>0</v>
      </c>
      <c r="I124" s="416">
        <f>'d3'!I124-'d3-п'!I124</f>
        <v>0</v>
      </c>
      <c r="J124" s="416">
        <f>'d3'!J124-'d3-п'!J124</f>
        <v>0</v>
      </c>
      <c r="K124" s="416">
        <f>'d3'!K124-'d3-п'!K124</f>
        <v>0</v>
      </c>
      <c r="L124" s="416">
        <f>'d3'!L124-'d3-п'!L124</f>
        <v>0</v>
      </c>
      <c r="M124" s="416">
        <f>'d3'!M124-'d3-п'!M124</f>
        <v>0</v>
      </c>
      <c r="N124" s="416">
        <f>'d3'!N124-'d3-п'!N124</f>
        <v>0</v>
      </c>
      <c r="O124" s="416">
        <f>'d3'!O124-'d3-п'!O124</f>
        <v>0</v>
      </c>
      <c r="P124" s="416">
        <f>'d3'!P124-'d3-п'!P124</f>
        <v>0</v>
      </c>
      <c r="R124" s="317"/>
    </row>
    <row r="125" spans="1:18" ht="99.75" thickTop="1" thickBot="1" x14ac:dyDescent="0.25">
      <c r="A125" s="795" t="s">
        <v>1195</v>
      </c>
      <c r="B125" s="795" t="s">
        <v>1196</v>
      </c>
      <c r="C125" s="795" t="s">
        <v>330</v>
      </c>
      <c r="D125" s="795" t="s">
        <v>1197</v>
      </c>
      <c r="E125" s="416">
        <f>'d3'!E125-'d3-п'!E125</f>
        <v>0</v>
      </c>
      <c r="F125" s="416">
        <f>'d3'!F125-'d3-п'!F125</f>
        <v>0</v>
      </c>
      <c r="G125" s="416">
        <f>'d3'!G125-'d3-п'!G125</f>
        <v>0</v>
      </c>
      <c r="H125" s="416">
        <f>'d3'!H125-'d3-п'!H125</f>
        <v>0</v>
      </c>
      <c r="I125" s="416">
        <f>'d3'!I125-'d3-п'!I125</f>
        <v>0</v>
      </c>
      <c r="J125" s="416">
        <f>'d3'!J125-'d3-п'!J125</f>
        <v>0</v>
      </c>
      <c r="K125" s="416">
        <f>'d3'!K125-'d3-п'!K125</f>
        <v>0</v>
      </c>
      <c r="L125" s="416">
        <f>'d3'!L125-'d3-п'!L125</f>
        <v>0</v>
      </c>
      <c r="M125" s="416">
        <f>'d3'!M125-'d3-п'!M125</f>
        <v>0</v>
      </c>
      <c r="N125" s="416">
        <f>'d3'!N125-'d3-п'!N125</f>
        <v>0</v>
      </c>
      <c r="O125" s="416">
        <f>'d3'!O125-'d3-п'!O125</f>
        <v>0</v>
      </c>
      <c r="P125" s="416">
        <f>'d3'!P125-'d3-п'!P125</f>
        <v>0</v>
      </c>
      <c r="R125" s="317" t="e">
        <f>K125=#REF!</f>
        <v>#REF!</v>
      </c>
    </row>
    <row r="126" spans="1:18" ht="136.5" thickTop="1" thickBot="1" x14ac:dyDescent="0.25">
      <c r="A126" s="557" t="s">
        <v>953</v>
      </c>
      <c r="B126" s="758" t="s">
        <v>887</v>
      </c>
      <c r="C126" s="758"/>
      <c r="D126" s="758" t="s">
        <v>885</v>
      </c>
      <c r="E126" s="416">
        <f>'d3'!E126-'d3-п'!E126</f>
        <v>0</v>
      </c>
      <c r="F126" s="416">
        <f>'d3'!F126-'d3-п'!F126</f>
        <v>0</v>
      </c>
      <c r="G126" s="416">
        <f>'d3'!G126-'d3-п'!G126</f>
        <v>0</v>
      </c>
      <c r="H126" s="416">
        <f>'d3'!H126-'d3-п'!H126</f>
        <v>0</v>
      </c>
      <c r="I126" s="416">
        <f>'d3'!I126-'d3-п'!I126</f>
        <v>0</v>
      </c>
      <c r="J126" s="416">
        <f>'d3'!J126-'d3-п'!J126</f>
        <v>0</v>
      </c>
      <c r="K126" s="416">
        <f>'d3'!K126-'d3-п'!K126</f>
        <v>0</v>
      </c>
      <c r="L126" s="416">
        <f>'d3'!L126-'d3-п'!L126</f>
        <v>0</v>
      </c>
      <c r="M126" s="416">
        <f>'d3'!M126-'d3-п'!M126</f>
        <v>0</v>
      </c>
      <c r="N126" s="416">
        <f>'d3'!N126-'d3-п'!N126</f>
        <v>0</v>
      </c>
      <c r="O126" s="416">
        <f>'d3'!O126-'d3-п'!O126</f>
        <v>0</v>
      </c>
      <c r="P126" s="416">
        <f>'d3'!P126-'d3-п'!P126</f>
        <v>0</v>
      </c>
      <c r="R126" s="317"/>
    </row>
    <row r="127" spans="1:18" ht="48" thickTop="1" thickBot="1" x14ac:dyDescent="0.25">
      <c r="A127" s="759" t="s">
        <v>952</v>
      </c>
      <c r="B127" s="759" t="s">
        <v>890</v>
      </c>
      <c r="C127" s="759"/>
      <c r="D127" s="558" t="s">
        <v>888</v>
      </c>
      <c r="E127" s="416">
        <f>'d3'!E127-'d3-п'!E127</f>
        <v>0</v>
      </c>
      <c r="F127" s="416">
        <f>'d3'!F127-'d3-п'!F127</f>
        <v>0</v>
      </c>
      <c r="G127" s="416">
        <f>'d3'!G127-'d3-п'!G127</f>
        <v>0</v>
      </c>
      <c r="H127" s="416">
        <f>'d3'!H127-'d3-п'!H127</f>
        <v>0</v>
      </c>
      <c r="I127" s="416">
        <f>'d3'!I127-'d3-п'!I127</f>
        <v>0</v>
      </c>
      <c r="J127" s="416">
        <f>'d3'!J127-'d3-п'!J127</f>
        <v>0</v>
      </c>
      <c r="K127" s="416">
        <f>'d3'!K127-'d3-п'!K127</f>
        <v>0</v>
      </c>
      <c r="L127" s="416">
        <f>'d3'!L127-'d3-п'!L127</f>
        <v>0</v>
      </c>
      <c r="M127" s="416">
        <f>'d3'!M127-'d3-п'!M127</f>
        <v>0</v>
      </c>
      <c r="N127" s="416">
        <f>'d3'!N127-'d3-п'!N127</f>
        <v>0</v>
      </c>
      <c r="O127" s="416">
        <f>'d3'!O127-'d3-п'!O127</f>
        <v>0</v>
      </c>
      <c r="P127" s="416">
        <f>'d3'!P127-'d3-п'!P127</f>
        <v>0</v>
      </c>
      <c r="R127" s="317"/>
    </row>
    <row r="128" spans="1:18" ht="409.6" thickTop="1" thickBot="1" x14ac:dyDescent="0.7">
      <c r="A128" s="875" t="s">
        <v>461</v>
      </c>
      <c r="B128" s="875" t="s">
        <v>371</v>
      </c>
      <c r="C128" s="875" t="s">
        <v>191</v>
      </c>
      <c r="D128" s="420" t="s">
        <v>483</v>
      </c>
      <c r="E128" s="989">
        <f>'d3'!E128-'d3-п'!E128</f>
        <v>0</v>
      </c>
      <c r="F128" s="989">
        <f>'d3'!F128-'d3-п'!F128</f>
        <v>0</v>
      </c>
      <c r="G128" s="989">
        <f>'d3'!G128-'d3-п'!G128</f>
        <v>0</v>
      </c>
      <c r="H128" s="989">
        <f>'d3'!H128-'d3-п'!H128</f>
        <v>0</v>
      </c>
      <c r="I128" s="989">
        <f>'d3'!I128-'d3-п'!I128</f>
        <v>0</v>
      </c>
      <c r="J128" s="989">
        <f>'d3'!J128-'d3-п'!J128</f>
        <v>0</v>
      </c>
      <c r="K128" s="989">
        <f>'d3'!K128-'d3-п'!K128</f>
        <v>0</v>
      </c>
      <c r="L128" s="989">
        <f>'d3'!L128-'d3-п'!L128</f>
        <v>0</v>
      </c>
      <c r="M128" s="989">
        <f>'d3'!M128-'d3-п'!M128</f>
        <v>0</v>
      </c>
      <c r="N128" s="989">
        <f>'d3'!N128-'d3-п'!N128</f>
        <v>0</v>
      </c>
      <c r="O128" s="989">
        <f>'d3'!O128-'d3-п'!O128</f>
        <v>0</v>
      </c>
      <c r="P128" s="989">
        <f>'d3'!P128-'d3-п'!P128</f>
        <v>0</v>
      </c>
      <c r="R128" s="277"/>
    </row>
    <row r="129" spans="1:18" ht="184.5" thickTop="1" thickBot="1" x14ac:dyDescent="0.25">
      <c r="A129" s="984"/>
      <c r="B129" s="876"/>
      <c r="C129" s="984"/>
      <c r="D129" s="424" t="s">
        <v>484</v>
      </c>
      <c r="E129" s="929"/>
      <c r="F129" s="929"/>
      <c r="G129" s="929"/>
      <c r="H129" s="929"/>
      <c r="I129" s="929"/>
      <c r="J129" s="929"/>
      <c r="K129" s="929"/>
      <c r="L129" s="929"/>
      <c r="M129" s="929"/>
      <c r="N129" s="929"/>
      <c r="O129" s="929"/>
      <c r="P129" s="929"/>
      <c r="R129" s="277"/>
    </row>
    <row r="130" spans="1:18" ht="181.5" thickTop="1" thickBot="1" x14ac:dyDescent="0.25">
      <c r="A130" s="680">
        <v>1000000</v>
      </c>
      <c r="B130" s="680"/>
      <c r="C130" s="680"/>
      <c r="D130" s="681" t="s">
        <v>24</v>
      </c>
      <c r="E130" s="682">
        <f>E131</f>
        <v>0</v>
      </c>
      <c r="F130" s="683">
        <f t="shared" ref="F130:G130" si="28">F131</f>
        <v>0</v>
      </c>
      <c r="G130" s="683">
        <f t="shared" si="28"/>
        <v>0</v>
      </c>
      <c r="H130" s="683">
        <f>H131</f>
        <v>0</v>
      </c>
      <c r="I130" s="683">
        <f>I131</f>
        <v>0</v>
      </c>
      <c r="J130" s="682">
        <f>J131</f>
        <v>0</v>
      </c>
      <c r="K130" s="683">
        <f>K131</f>
        <v>0</v>
      </c>
      <c r="L130" s="683">
        <f>L131</f>
        <v>0</v>
      </c>
      <c r="M130" s="683">
        <f t="shared" ref="M130" si="29">M131</f>
        <v>0</v>
      </c>
      <c r="N130" s="682">
        <f>N131</f>
        <v>0</v>
      </c>
      <c r="O130" s="682">
        <f>O131</f>
        <v>0</v>
      </c>
      <c r="P130" s="683">
        <f t="shared" ref="P130" si="30">P131</f>
        <v>0</v>
      </c>
    </row>
    <row r="131" spans="1:18" ht="181.5" thickTop="1" thickBot="1" x14ac:dyDescent="0.25">
      <c r="A131" s="684">
        <v>1010000</v>
      </c>
      <c r="B131" s="684"/>
      <c r="C131" s="684"/>
      <c r="D131" s="685" t="s">
        <v>41</v>
      </c>
      <c r="E131" s="686">
        <f>E132+E134+E145+E142</f>
        <v>0</v>
      </c>
      <c r="F131" s="686">
        <f>F132+F134+F145+F142</f>
        <v>0</v>
      </c>
      <c r="G131" s="686">
        <f>G132+G134+G145+G142</f>
        <v>0</v>
      </c>
      <c r="H131" s="686">
        <f>H132+H134+H145+H142</f>
        <v>0</v>
      </c>
      <c r="I131" s="686">
        <f>I132+I134+I145+I142</f>
        <v>0</v>
      </c>
      <c r="J131" s="686">
        <f t="shared" ref="J131" si="31">L131+O131</f>
        <v>0</v>
      </c>
      <c r="K131" s="686">
        <f>K132+K134+K145+K142</f>
        <v>0</v>
      </c>
      <c r="L131" s="686">
        <f>L132+L134+L145+L142</f>
        <v>0</v>
      </c>
      <c r="M131" s="686">
        <f>M132+M134+M145+M142</f>
        <v>0</v>
      </c>
      <c r="N131" s="686">
        <f>N132+N134+N145+N142</f>
        <v>0</v>
      </c>
      <c r="O131" s="686">
        <f>O132+O134+O145+O142</f>
        <v>0</v>
      </c>
      <c r="P131" s="687">
        <f t="shared" ref="P131" si="32">E131+J131</f>
        <v>0</v>
      </c>
      <c r="Q131" s="181" t="b">
        <f>P131=P133+P135+P136+P137+P138+P140+P141+P147+P144</f>
        <v>1</v>
      </c>
      <c r="R131" s="317" t="e">
        <f>K131=#REF!</f>
        <v>#REF!</v>
      </c>
    </row>
    <row r="132" spans="1:18" ht="48" thickTop="1" thickBot="1" x14ac:dyDescent="0.25">
      <c r="A132" s="251" t="s">
        <v>954</v>
      </c>
      <c r="B132" s="251" t="s">
        <v>904</v>
      </c>
      <c r="C132" s="251"/>
      <c r="D132" s="251" t="s">
        <v>905</v>
      </c>
      <c r="E132" s="416">
        <f>'d3'!E132-'d3-п'!E132</f>
        <v>0</v>
      </c>
      <c r="F132" s="416">
        <f>'d3'!F132-'d3-п'!F132</f>
        <v>0</v>
      </c>
      <c r="G132" s="416">
        <f>'d3'!G132-'d3-п'!G132</f>
        <v>0</v>
      </c>
      <c r="H132" s="416">
        <f>'d3'!H132-'d3-п'!H132</f>
        <v>0</v>
      </c>
      <c r="I132" s="416">
        <f>'d3'!I132-'d3-п'!I132</f>
        <v>0</v>
      </c>
      <c r="J132" s="416">
        <f>'d3'!J132-'d3-п'!J132</f>
        <v>0</v>
      </c>
      <c r="K132" s="416">
        <f>'d3'!K132-'d3-п'!K132</f>
        <v>0</v>
      </c>
      <c r="L132" s="416">
        <f>'d3'!L132-'d3-п'!L132</f>
        <v>0</v>
      </c>
      <c r="M132" s="416">
        <f>'d3'!M132-'d3-п'!M132</f>
        <v>0</v>
      </c>
      <c r="N132" s="416">
        <f>'d3'!N132-'d3-п'!N132</f>
        <v>0</v>
      </c>
      <c r="O132" s="416">
        <f>'d3'!O132-'d3-п'!O132</f>
        <v>0</v>
      </c>
      <c r="P132" s="416">
        <f>'d3'!P132-'d3-п'!P132</f>
        <v>0</v>
      </c>
      <c r="Q132" s="181"/>
      <c r="R132" s="317"/>
    </row>
    <row r="133" spans="1:18" ht="93" thickTop="1" thickBot="1" x14ac:dyDescent="0.25">
      <c r="A133" s="795" t="s">
        <v>831</v>
      </c>
      <c r="B133" s="795" t="s">
        <v>832</v>
      </c>
      <c r="C133" s="795" t="s">
        <v>206</v>
      </c>
      <c r="D133" s="795" t="s">
        <v>558</v>
      </c>
      <c r="E133" s="416">
        <f>'d3'!E133-'d3-п'!E133</f>
        <v>0</v>
      </c>
      <c r="F133" s="416">
        <f>'d3'!F133-'d3-п'!F133</f>
        <v>0</v>
      </c>
      <c r="G133" s="416">
        <f>'d3'!G133-'d3-п'!G133</f>
        <v>0</v>
      </c>
      <c r="H133" s="416">
        <f>'d3'!H133-'d3-п'!H133</f>
        <v>0</v>
      </c>
      <c r="I133" s="416">
        <f>'d3'!I133-'d3-п'!I133</f>
        <v>0</v>
      </c>
      <c r="J133" s="416">
        <f>'d3'!J133-'d3-п'!J133</f>
        <v>0</v>
      </c>
      <c r="K133" s="416">
        <f>'d3'!K133-'d3-п'!K133</f>
        <v>0</v>
      </c>
      <c r="L133" s="416">
        <f>'d3'!L133-'d3-п'!L133</f>
        <v>0</v>
      </c>
      <c r="M133" s="416">
        <f>'d3'!M133-'d3-п'!M133</f>
        <v>0</v>
      </c>
      <c r="N133" s="416">
        <f>'d3'!N133-'d3-п'!N133</f>
        <v>0</v>
      </c>
      <c r="O133" s="416">
        <f>'d3'!O133-'d3-п'!O133</f>
        <v>0</v>
      </c>
      <c r="P133" s="416">
        <f>'d3'!P133-'d3-п'!P133</f>
        <v>0</v>
      </c>
      <c r="R133" s="317" t="e">
        <f>K133=#REF!</f>
        <v>#REF!</v>
      </c>
    </row>
    <row r="134" spans="1:18" s="2" customFormat="1" ht="48" thickTop="1" thickBot="1" x14ac:dyDescent="0.25">
      <c r="A134" s="251" t="s">
        <v>955</v>
      </c>
      <c r="B134" s="251" t="s">
        <v>956</v>
      </c>
      <c r="C134" s="251"/>
      <c r="D134" s="251" t="s">
        <v>957</v>
      </c>
      <c r="E134" s="416">
        <f>'d3'!E134-'d3-п'!E134</f>
        <v>0</v>
      </c>
      <c r="F134" s="416">
        <f>'d3'!F134-'d3-п'!F134</f>
        <v>0</v>
      </c>
      <c r="G134" s="416">
        <f>'d3'!G134-'d3-п'!G134</f>
        <v>0</v>
      </c>
      <c r="H134" s="416">
        <f>'d3'!H134-'d3-п'!H134</f>
        <v>0</v>
      </c>
      <c r="I134" s="416">
        <f>'d3'!I134-'d3-п'!I134</f>
        <v>0</v>
      </c>
      <c r="J134" s="416">
        <f>'d3'!J134-'d3-п'!J134</f>
        <v>0</v>
      </c>
      <c r="K134" s="416">
        <f>'d3'!K134-'d3-п'!K134</f>
        <v>0</v>
      </c>
      <c r="L134" s="416">
        <f>'d3'!L134-'d3-п'!L134</f>
        <v>0</v>
      </c>
      <c r="M134" s="416">
        <f>'d3'!M134-'d3-п'!M134</f>
        <v>0</v>
      </c>
      <c r="N134" s="416">
        <f>'d3'!N134-'d3-п'!N134</f>
        <v>0</v>
      </c>
      <c r="O134" s="416">
        <f>'d3'!O134-'d3-п'!O134</f>
        <v>0</v>
      </c>
      <c r="P134" s="416">
        <f>'d3'!P134-'d3-п'!P134</f>
        <v>0</v>
      </c>
      <c r="Q134" s="269"/>
      <c r="R134" s="277"/>
    </row>
    <row r="135" spans="1:18" ht="48" thickTop="1" thickBot="1" x14ac:dyDescent="0.25">
      <c r="A135" s="795" t="s">
        <v>192</v>
      </c>
      <c r="B135" s="795" t="s">
        <v>193</v>
      </c>
      <c r="C135" s="795" t="s">
        <v>195</v>
      </c>
      <c r="D135" s="795" t="s">
        <v>196</v>
      </c>
      <c r="E135" s="416">
        <f>'d3'!E135-'d3-п'!E135</f>
        <v>0</v>
      </c>
      <c r="F135" s="416">
        <f>'d3'!F135-'d3-п'!F135</f>
        <v>0</v>
      </c>
      <c r="G135" s="416">
        <f>'d3'!G135-'d3-п'!G135</f>
        <v>0</v>
      </c>
      <c r="H135" s="416">
        <f>'d3'!H135-'d3-п'!H135</f>
        <v>0</v>
      </c>
      <c r="I135" s="416">
        <f>'d3'!I135-'d3-п'!I135</f>
        <v>0</v>
      </c>
      <c r="J135" s="416">
        <f>'d3'!J135-'d3-п'!J135</f>
        <v>0</v>
      </c>
      <c r="K135" s="416">
        <f>'d3'!K135-'d3-п'!K135</f>
        <v>0</v>
      </c>
      <c r="L135" s="416">
        <f>'d3'!L135-'d3-п'!L135</f>
        <v>0</v>
      </c>
      <c r="M135" s="416">
        <f>'d3'!M135-'d3-п'!M135</f>
        <v>0</v>
      </c>
      <c r="N135" s="416">
        <f>'d3'!N135-'d3-п'!N135</f>
        <v>0</v>
      </c>
      <c r="O135" s="416">
        <f>'d3'!O135-'d3-п'!O135</f>
        <v>0</v>
      </c>
      <c r="P135" s="416">
        <f>'d3'!P135-'d3-п'!P135</f>
        <v>0</v>
      </c>
      <c r="R135" s="277"/>
    </row>
    <row r="136" spans="1:18" ht="93" thickTop="1" thickBot="1" x14ac:dyDescent="0.25">
      <c r="A136" s="795" t="s">
        <v>197</v>
      </c>
      <c r="B136" s="795" t="s">
        <v>198</v>
      </c>
      <c r="C136" s="795" t="s">
        <v>199</v>
      </c>
      <c r="D136" s="795" t="s">
        <v>200</v>
      </c>
      <c r="E136" s="416">
        <f>'d3'!E136-'d3-п'!E136</f>
        <v>0</v>
      </c>
      <c r="F136" s="416">
        <f>'d3'!F136-'d3-п'!F136</f>
        <v>0</v>
      </c>
      <c r="G136" s="416">
        <f>'d3'!G136-'d3-п'!G136</f>
        <v>0</v>
      </c>
      <c r="H136" s="416">
        <f>'d3'!H136-'d3-п'!H136</f>
        <v>0</v>
      </c>
      <c r="I136" s="416">
        <f>'d3'!I136-'d3-п'!I136</f>
        <v>0</v>
      </c>
      <c r="J136" s="416">
        <f>'d3'!J136-'d3-п'!J136</f>
        <v>0</v>
      </c>
      <c r="K136" s="416">
        <f>'d3'!K136-'d3-п'!K136</f>
        <v>0</v>
      </c>
      <c r="L136" s="416">
        <f>'d3'!L136-'d3-п'!L136</f>
        <v>0</v>
      </c>
      <c r="M136" s="416">
        <f>'d3'!M136-'d3-п'!M136</f>
        <v>0</v>
      </c>
      <c r="N136" s="416">
        <f>'d3'!N136-'d3-п'!N136</f>
        <v>0</v>
      </c>
      <c r="O136" s="416">
        <f>'d3'!O136-'d3-п'!O136</f>
        <v>0</v>
      </c>
      <c r="P136" s="416">
        <f>'d3'!P136-'d3-п'!P136</f>
        <v>0</v>
      </c>
      <c r="R136" s="317" t="e">
        <f>K136=#REF!+#REF!+#REF!</f>
        <v>#REF!</v>
      </c>
    </row>
    <row r="137" spans="1:18" ht="93" thickTop="1" thickBot="1" x14ac:dyDescent="0.25">
      <c r="A137" s="795" t="s">
        <v>201</v>
      </c>
      <c r="B137" s="795" t="s">
        <v>202</v>
      </c>
      <c r="C137" s="795" t="s">
        <v>199</v>
      </c>
      <c r="D137" s="795" t="s">
        <v>511</v>
      </c>
      <c r="E137" s="416">
        <f>'d3'!E137-'d3-п'!E137</f>
        <v>0</v>
      </c>
      <c r="F137" s="416">
        <f>'d3'!F137-'d3-п'!F137</f>
        <v>0</v>
      </c>
      <c r="G137" s="416">
        <f>'d3'!G137-'d3-п'!G137</f>
        <v>0</v>
      </c>
      <c r="H137" s="416">
        <f>'d3'!H137-'d3-п'!H137</f>
        <v>0</v>
      </c>
      <c r="I137" s="416">
        <f>'d3'!I137-'d3-п'!I137</f>
        <v>0</v>
      </c>
      <c r="J137" s="416">
        <f>'d3'!J137-'d3-п'!J137</f>
        <v>0</v>
      </c>
      <c r="K137" s="416">
        <f>'d3'!K137-'d3-п'!K137</f>
        <v>0</v>
      </c>
      <c r="L137" s="416">
        <f>'d3'!L137-'d3-п'!L137</f>
        <v>0</v>
      </c>
      <c r="M137" s="416">
        <f>'d3'!M137-'d3-п'!M137</f>
        <v>0</v>
      </c>
      <c r="N137" s="416">
        <f>'d3'!N137-'d3-п'!N137</f>
        <v>0</v>
      </c>
      <c r="O137" s="416">
        <f>'d3'!O137-'d3-п'!O137</f>
        <v>0</v>
      </c>
      <c r="P137" s="416">
        <f>'d3'!P137-'d3-п'!P137</f>
        <v>0</v>
      </c>
      <c r="R137" s="317" t="e">
        <f>K137=#REF!+#REF!</f>
        <v>#REF!</v>
      </c>
    </row>
    <row r="138" spans="1:18" ht="184.5" thickTop="1" thickBot="1" x14ac:dyDescent="0.25">
      <c r="A138" s="795" t="s">
        <v>203</v>
      </c>
      <c r="B138" s="795" t="s">
        <v>194</v>
      </c>
      <c r="C138" s="795" t="s">
        <v>204</v>
      </c>
      <c r="D138" s="795" t="s">
        <v>205</v>
      </c>
      <c r="E138" s="416">
        <f>'d3'!E138-'d3-п'!E138</f>
        <v>0</v>
      </c>
      <c r="F138" s="416">
        <f>'d3'!F138-'d3-п'!F138</f>
        <v>0</v>
      </c>
      <c r="G138" s="416">
        <f>'d3'!G138-'d3-п'!G138</f>
        <v>0</v>
      </c>
      <c r="H138" s="416">
        <f>'d3'!H138-'d3-п'!H138</f>
        <v>0</v>
      </c>
      <c r="I138" s="416">
        <f>'d3'!I138-'d3-п'!I138</f>
        <v>0</v>
      </c>
      <c r="J138" s="416">
        <f>'d3'!J138-'d3-п'!J138</f>
        <v>0</v>
      </c>
      <c r="K138" s="416">
        <f>'d3'!K138-'d3-п'!K138</f>
        <v>0</v>
      </c>
      <c r="L138" s="416">
        <f>'d3'!L138-'d3-п'!L138</f>
        <v>0</v>
      </c>
      <c r="M138" s="416">
        <f>'d3'!M138-'d3-п'!M138</f>
        <v>0</v>
      </c>
      <c r="N138" s="416">
        <f>'d3'!N138-'d3-п'!N138</f>
        <v>0</v>
      </c>
      <c r="O138" s="416">
        <f>'d3'!O138-'d3-п'!O138</f>
        <v>0</v>
      </c>
      <c r="P138" s="416">
        <f>'d3'!P138-'d3-п'!P138</f>
        <v>0</v>
      </c>
      <c r="R138" s="317" t="e">
        <f>K138=#REF!</f>
        <v>#REF!</v>
      </c>
    </row>
    <row r="139" spans="1:18" ht="93" thickTop="1" thickBot="1" x14ac:dyDescent="0.25">
      <c r="A139" s="552" t="s">
        <v>958</v>
      </c>
      <c r="B139" s="552" t="s">
        <v>959</v>
      </c>
      <c r="C139" s="552"/>
      <c r="D139" s="552" t="s">
        <v>960</v>
      </c>
      <c r="E139" s="416">
        <f>'d3'!E139-'d3-п'!E139</f>
        <v>0</v>
      </c>
      <c r="F139" s="416">
        <f>'d3'!F139-'d3-п'!F139</f>
        <v>0</v>
      </c>
      <c r="G139" s="416">
        <f>'d3'!G139-'d3-п'!G139</f>
        <v>0</v>
      </c>
      <c r="H139" s="416">
        <f>'d3'!H139-'d3-п'!H139</f>
        <v>0</v>
      </c>
      <c r="I139" s="416">
        <f>'d3'!I139-'d3-п'!I139</f>
        <v>0</v>
      </c>
      <c r="J139" s="416">
        <f>'d3'!J139-'d3-п'!J139</f>
        <v>0</v>
      </c>
      <c r="K139" s="416">
        <f>'d3'!K139-'d3-п'!K139</f>
        <v>0</v>
      </c>
      <c r="L139" s="416">
        <f>'d3'!L139-'d3-п'!L139</f>
        <v>0</v>
      </c>
      <c r="M139" s="416">
        <f>'d3'!M139-'d3-п'!M139</f>
        <v>0</v>
      </c>
      <c r="N139" s="416">
        <f>'d3'!N139-'d3-п'!N139</f>
        <v>0</v>
      </c>
      <c r="O139" s="416">
        <f>'d3'!O139-'d3-п'!O139</f>
        <v>0</v>
      </c>
      <c r="P139" s="416">
        <f>'d3'!P139-'d3-п'!P139</f>
        <v>0</v>
      </c>
      <c r="R139" s="317"/>
    </row>
    <row r="140" spans="1:18" ht="138.75" thickTop="1" thickBot="1" x14ac:dyDescent="0.25">
      <c r="A140" s="795" t="s">
        <v>366</v>
      </c>
      <c r="B140" s="795" t="s">
        <v>367</v>
      </c>
      <c r="C140" s="795" t="s">
        <v>207</v>
      </c>
      <c r="D140" s="795" t="s">
        <v>512</v>
      </c>
      <c r="E140" s="416">
        <f>'d3'!E140-'d3-п'!E140</f>
        <v>0</v>
      </c>
      <c r="F140" s="416">
        <f>'d3'!F140-'d3-п'!F140</f>
        <v>0</v>
      </c>
      <c r="G140" s="416">
        <f>'d3'!G140-'d3-п'!G140</f>
        <v>0</v>
      </c>
      <c r="H140" s="416">
        <f>'d3'!H140-'d3-п'!H140</f>
        <v>0</v>
      </c>
      <c r="I140" s="416">
        <f>'d3'!I140-'d3-п'!I140</f>
        <v>0</v>
      </c>
      <c r="J140" s="416">
        <f>'d3'!J140-'d3-п'!J140</f>
        <v>0</v>
      </c>
      <c r="K140" s="416">
        <f>'d3'!K140-'d3-п'!K140</f>
        <v>0</v>
      </c>
      <c r="L140" s="416">
        <f>'d3'!L140-'d3-п'!L140</f>
        <v>0</v>
      </c>
      <c r="M140" s="416">
        <f>'d3'!M140-'d3-п'!M140</f>
        <v>0</v>
      </c>
      <c r="N140" s="416">
        <f>'d3'!N140-'d3-п'!N140</f>
        <v>0</v>
      </c>
      <c r="O140" s="416">
        <f>'d3'!O140-'d3-п'!O140</f>
        <v>0</v>
      </c>
      <c r="P140" s="416">
        <f>'d3'!P140-'d3-п'!P140</f>
        <v>0</v>
      </c>
      <c r="R140" s="277"/>
    </row>
    <row r="141" spans="1:18" ht="93" thickTop="1" thickBot="1" x14ac:dyDescent="0.25">
      <c r="A141" s="795" t="s">
        <v>368</v>
      </c>
      <c r="B141" s="795" t="s">
        <v>369</v>
      </c>
      <c r="C141" s="795" t="s">
        <v>207</v>
      </c>
      <c r="D141" s="795" t="s">
        <v>513</v>
      </c>
      <c r="E141" s="416">
        <f>'d3'!E141-'d3-п'!E141</f>
        <v>0</v>
      </c>
      <c r="F141" s="416">
        <f>'d3'!F141-'d3-п'!F141</f>
        <v>0</v>
      </c>
      <c r="G141" s="416">
        <f>'d3'!G141-'d3-п'!G141</f>
        <v>0</v>
      </c>
      <c r="H141" s="416">
        <f>'d3'!H141-'d3-п'!H141</f>
        <v>0</v>
      </c>
      <c r="I141" s="416">
        <f>'d3'!I141-'d3-п'!I141</f>
        <v>0</v>
      </c>
      <c r="J141" s="416">
        <f>'d3'!J141-'d3-п'!J141</f>
        <v>0</v>
      </c>
      <c r="K141" s="416">
        <f>'d3'!K141-'d3-п'!K141</f>
        <v>0</v>
      </c>
      <c r="L141" s="416">
        <f>'d3'!L141-'d3-п'!L141</f>
        <v>0</v>
      </c>
      <c r="M141" s="416">
        <f>'d3'!M141-'d3-п'!M141</f>
        <v>0</v>
      </c>
      <c r="N141" s="416">
        <f>'d3'!N141-'d3-п'!N141</f>
        <v>0</v>
      </c>
      <c r="O141" s="416">
        <f>'d3'!O141-'d3-п'!O141</f>
        <v>0</v>
      </c>
      <c r="P141" s="416">
        <f>'d3'!P141-'d3-п'!P141</f>
        <v>0</v>
      </c>
      <c r="R141" s="277"/>
    </row>
    <row r="142" spans="1:18" ht="48" thickTop="1" thickBot="1" x14ac:dyDescent="0.25">
      <c r="A142" s="251" t="s">
        <v>1172</v>
      </c>
      <c r="B142" s="757" t="s">
        <v>948</v>
      </c>
      <c r="C142" s="757"/>
      <c r="D142" s="757" t="s">
        <v>949</v>
      </c>
      <c r="E142" s="416">
        <f>'d3'!E142-'d3-п'!E142</f>
        <v>0</v>
      </c>
      <c r="F142" s="416">
        <f>'d3'!F142-'d3-п'!F142</f>
        <v>0</v>
      </c>
      <c r="G142" s="416">
        <f>'d3'!G142-'d3-п'!G142</f>
        <v>0</v>
      </c>
      <c r="H142" s="416">
        <f>'d3'!H142-'d3-п'!H142</f>
        <v>0</v>
      </c>
      <c r="I142" s="416">
        <f>'d3'!I142-'d3-п'!I142</f>
        <v>0</v>
      </c>
      <c r="J142" s="416">
        <f>'d3'!J142-'d3-п'!J142</f>
        <v>0</v>
      </c>
      <c r="K142" s="416">
        <f>'d3'!K142-'d3-п'!K142</f>
        <v>0</v>
      </c>
      <c r="L142" s="416">
        <f>'d3'!L142-'d3-п'!L142</f>
        <v>0</v>
      </c>
      <c r="M142" s="416">
        <f>'d3'!M142-'d3-п'!M142</f>
        <v>0</v>
      </c>
      <c r="N142" s="416">
        <f>'d3'!N142-'d3-п'!N142</f>
        <v>0</v>
      </c>
      <c r="O142" s="416">
        <f>'d3'!O142-'d3-п'!O142</f>
        <v>0</v>
      </c>
      <c r="P142" s="416">
        <f>'d3'!P142-'d3-п'!P142</f>
        <v>0</v>
      </c>
      <c r="R142" s="277"/>
    </row>
    <row r="143" spans="1:18" ht="136.5" thickTop="1" thickBot="1" x14ac:dyDescent="0.25">
      <c r="A143" s="557" t="s">
        <v>1173</v>
      </c>
      <c r="B143" s="557" t="s">
        <v>887</v>
      </c>
      <c r="C143" s="557"/>
      <c r="D143" s="557" t="s">
        <v>885</v>
      </c>
      <c r="E143" s="416">
        <f>'d3'!E143-'d3-п'!E143</f>
        <v>0</v>
      </c>
      <c r="F143" s="416">
        <f>'d3'!F143-'d3-п'!F143</f>
        <v>0</v>
      </c>
      <c r="G143" s="416">
        <f>'d3'!G143-'d3-п'!G143</f>
        <v>0</v>
      </c>
      <c r="H143" s="416">
        <f>'d3'!H143-'d3-п'!H143</f>
        <v>0</v>
      </c>
      <c r="I143" s="416">
        <f>'d3'!I143-'d3-п'!I143</f>
        <v>0</v>
      </c>
      <c r="J143" s="416">
        <f>'d3'!J143-'d3-п'!J143</f>
        <v>0</v>
      </c>
      <c r="K143" s="416">
        <f>'d3'!K143-'d3-п'!K143</f>
        <v>0</v>
      </c>
      <c r="L143" s="416">
        <f>'d3'!L143-'d3-п'!L143</f>
        <v>0</v>
      </c>
      <c r="M143" s="416">
        <f>'d3'!M143-'d3-п'!M143</f>
        <v>0</v>
      </c>
      <c r="N143" s="416">
        <f>'d3'!N143-'d3-п'!N143</f>
        <v>0</v>
      </c>
      <c r="O143" s="416">
        <f>'d3'!O143-'d3-п'!O143</f>
        <v>0</v>
      </c>
      <c r="P143" s="416">
        <f>'d3'!P143-'d3-п'!P143</f>
        <v>0</v>
      </c>
      <c r="R143" s="277"/>
    </row>
    <row r="144" spans="1:18" ht="93" thickTop="1" thickBot="1" x14ac:dyDescent="0.25">
      <c r="A144" s="795" t="s">
        <v>1174</v>
      </c>
      <c r="B144" s="795" t="s">
        <v>222</v>
      </c>
      <c r="C144" s="795" t="s">
        <v>191</v>
      </c>
      <c r="D144" s="795" t="s">
        <v>36</v>
      </c>
      <c r="E144" s="416">
        <f>'d3'!E144-'d3-п'!E144</f>
        <v>0</v>
      </c>
      <c r="F144" s="416">
        <f>'d3'!F144-'d3-п'!F144</f>
        <v>0</v>
      </c>
      <c r="G144" s="416">
        <f>'d3'!G144-'d3-п'!G144</f>
        <v>0</v>
      </c>
      <c r="H144" s="416">
        <f>'d3'!H144-'d3-п'!H144</f>
        <v>0</v>
      </c>
      <c r="I144" s="416">
        <f>'d3'!I144-'d3-п'!I144</f>
        <v>0</v>
      </c>
      <c r="J144" s="416">
        <f>'d3'!J144-'d3-п'!J144</f>
        <v>0</v>
      </c>
      <c r="K144" s="416">
        <f>'d3'!K144-'d3-п'!K144</f>
        <v>0</v>
      </c>
      <c r="L144" s="416">
        <f>'d3'!L144-'d3-п'!L144</f>
        <v>0</v>
      </c>
      <c r="M144" s="416">
        <f>'d3'!M144-'d3-п'!M144</f>
        <v>0</v>
      </c>
      <c r="N144" s="416">
        <f>'d3'!N144-'d3-п'!N144</f>
        <v>0</v>
      </c>
      <c r="O144" s="416">
        <f>'d3'!O144-'d3-п'!O144</f>
        <v>0</v>
      </c>
      <c r="P144" s="416">
        <f>'d3'!P144-'d3-п'!P144</f>
        <v>0</v>
      </c>
      <c r="R144" s="317" t="e">
        <f>K144=#REF!</f>
        <v>#REF!</v>
      </c>
    </row>
    <row r="145" spans="1:18" ht="48" thickTop="1" thickBot="1" x14ac:dyDescent="0.25">
      <c r="A145" s="251" t="s">
        <v>961</v>
      </c>
      <c r="B145" s="251" t="s">
        <v>898</v>
      </c>
      <c r="C145" s="251"/>
      <c r="D145" s="251" t="s">
        <v>899</v>
      </c>
      <c r="E145" s="416">
        <f>'d3'!E145-'d3-п'!E145</f>
        <v>0</v>
      </c>
      <c r="F145" s="416">
        <f>'d3'!F145-'d3-п'!F145</f>
        <v>0</v>
      </c>
      <c r="G145" s="416">
        <f>'d3'!G145-'d3-п'!G145</f>
        <v>0</v>
      </c>
      <c r="H145" s="416">
        <f>'d3'!H145-'d3-п'!H145</f>
        <v>0</v>
      </c>
      <c r="I145" s="416">
        <f>'d3'!I145-'d3-п'!I145</f>
        <v>0</v>
      </c>
      <c r="J145" s="416">
        <f>'d3'!J145-'d3-п'!J145</f>
        <v>0</v>
      </c>
      <c r="K145" s="416">
        <f>'d3'!K145-'d3-п'!K145</f>
        <v>0</v>
      </c>
      <c r="L145" s="416">
        <f>'d3'!L145-'d3-п'!L145</f>
        <v>0</v>
      </c>
      <c r="M145" s="416">
        <f>'d3'!M145-'d3-п'!M145</f>
        <v>0</v>
      </c>
      <c r="N145" s="416">
        <f>'d3'!N145-'d3-п'!N145</f>
        <v>0</v>
      </c>
      <c r="O145" s="416">
        <f>'d3'!O145-'d3-п'!O145</f>
        <v>0</v>
      </c>
      <c r="P145" s="416">
        <f>'d3'!P145-'d3-п'!P145</f>
        <v>0</v>
      </c>
      <c r="R145" s="277"/>
    </row>
    <row r="146" spans="1:18" ht="271.5" thickTop="1" thickBot="1" x14ac:dyDescent="0.25">
      <c r="A146" s="557" t="s">
        <v>962</v>
      </c>
      <c r="B146" s="557" t="s">
        <v>901</v>
      </c>
      <c r="C146" s="557"/>
      <c r="D146" s="557" t="s">
        <v>902</v>
      </c>
      <c r="E146" s="416">
        <f>'d3'!E146-'d3-п'!E146</f>
        <v>0</v>
      </c>
      <c r="F146" s="416">
        <f>'d3'!F146-'d3-п'!F146</f>
        <v>0</v>
      </c>
      <c r="G146" s="416">
        <f>'d3'!G146-'d3-п'!G146</f>
        <v>0</v>
      </c>
      <c r="H146" s="416">
        <f>'d3'!H146-'d3-п'!H146</f>
        <v>0</v>
      </c>
      <c r="I146" s="416">
        <f>'d3'!I146-'d3-п'!I146</f>
        <v>0</v>
      </c>
      <c r="J146" s="416">
        <f>'d3'!J146-'d3-п'!J146</f>
        <v>0</v>
      </c>
      <c r="K146" s="416">
        <f>'d3'!K146-'d3-п'!K146</f>
        <v>0</v>
      </c>
      <c r="L146" s="416">
        <f>'d3'!L146-'d3-п'!L146</f>
        <v>0</v>
      </c>
      <c r="M146" s="416">
        <f>'d3'!M146-'d3-п'!M146</f>
        <v>0</v>
      </c>
      <c r="N146" s="416">
        <f>'d3'!N146-'d3-п'!N146</f>
        <v>0</v>
      </c>
      <c r="O146" s="416">
        <f>'d3'!O146-'d3-п'!O146</f>
        <v>0</v>
      </c>
      <c r="P146" s="416">
        <f>'d3'!P146-'d3-п'!P146</f>
        <v>0</v>
      </c>
      <c r="R146" s="277"/>
    </row>
    <row r="147" spans="1:18" ht="93" thickTop="1" thickBot="1" x14ac:dyDescent="0.25">
      <c r="A147" s="795" t="s">
        <v>746</v>
      </c>
      <c r="B147" s="795" t="s">
        <v>399</v>
      </c>
      <c r="C147" s="795" t="s">
        <v>45</v>
      </c>
      <c r="D147" s="795" t="s">
        <v>400</v>
      </c>
      <c r="E147" s="416">
        <f>'d3'!E147-'d3-п'!E147</f>
        <v>0</v>
      </c>
      <c r="F147" s="416">
        <f>'d3'!F147-'d3-п'!F147</f>
        <v>0</v>
      </c>
      <c r="G147" s="416">
        <f>'d3'!G147-'d3-п'!G147</f>
        <v>0</v>
      </c>
      <c r="H147" s="416">
        <f>'d3'!H147-'d3-п'!H147</f>
        <v>0</v>
      </c>
      <c r="I147" s="416">
        <f>'d3'!I147-'d3-п'!I147</f>
        <v>0</v>
      </c>
      <c r="J147" s="416">
        <f>'d3'!J147-'d3-п'!J147</f>
        <v>0</v>
      </c>
      <c r="K147" s="416">
        <f>'d3'!K147-'d3-п'!K147</f>
        <v>0</v>
      </c>
      <c r="L147" s="416">
        <f>'d3'!L147-'d3-п'!L147</f>
        <v>0</v>
      </c>
      <c r="M147" s="416">
        <f>'d3'!M147-'d3-п'!M147</f>
        <v>0</v>
      </c>
      <c r="N147" s="416">
        <f>'d3'!N147-'d3-п'!N147</f>
        <v>0</v>
      </c>
      <c r="O147" s="416">
        <f>'d3'!O147-'d3-п'!O147</f>
        <v>0</v>
      </c>
      <c r="P147" s="416">
        <f>'d3'!P147-'d3-п'!P147</f>
        <v>0</v>
      </c>
      <c r="R147" s="277"/>
    </row>
    <row r="148" spans="1:18" ht="136.5" thickTop="1" thickBot="1" x14ac:dyDescent="0.25">
      <c r="A148" s="680" t="s">
        <v>22</v>
      </c>
      <c r="B148" s="680"/>
      <c r="C148" s="680"/>
      <c r="D148" s="681" t="s">
        <v>23</v>
      </c>
      <c r="E148" s="682">
        <f>E149</f>
        <v>0</v>
      </c>
      <c r="F148" s="683">
        <f t="shared" ref="F148:G148" si="33">F149</f>
        <v>0</v>
      </c>
      <c r="G148" s="683">
        <f t="shared" si="33"/>
        <v>0</v>
      </c>
      <c r="H148" s="683">
        <f>H149</f>
        <v>0</v>
      </c>
      <c r="I148" s="683">
        <f t="shared" ref="I148" si="34">I149</f>
        <v>0</v>
      </c>
      <c r="J148" s="682">
        <f>J149</f>
        <v>0</v>
      </c>
      <c r="K148" s="683">
        <f>K149</f>
        <v>0</v>
      </c>
      <c r="L148" s="683">
        <f>L149</f>
        <v>0</v>
      </c>
      <c r="M148" s="683">
        <f t="shared" ref="M148" si="35">M149</f>
        <v>0</v>
      </c>
      <c r="N148" s="682">
        <f>N149</f>
        <v>0</v>
      </c>
      <c r="O148" s="682">
        <f>O149</f>
        <v>0</v>
      </c>
      <c r="P148" s="683">
        <f t="shared" ref="P148" si="36">P149</f>
        <v>0</v>
      </c>
    </row>
    <row r="149" spans="1:18" ht="136.5" thickTop="1" thickBot="1" x14ac:dyDescent="0.25">
      <c r="A149" s="684" t="s">
        <v>21</v>
      </c>
      <c r="B149" s="684"/>
      <c r="C149" s="684"/>
      <c r="D149" s="685" t="s">
        <v>37</v>
      </c>
      <c r="E149" s="686">
        <f>E150+E156+E169+E172</f>
        <v>0</v>
      </c>
      <c r="F149" s="686">
        <f t="shared" ref="F149:I149" si="37">F150+F156+F169+F172</f>
        <v>0</v>
      </c>
      <c r="G149" s="686">
        <f t="shared" si="37"/>
        <v>0</v>
      </c>
      <c r="H149" s="686">
        <f t="shared" si="37"/>
        <v>0</v>
      </c>
      <c r="I149" s="686">
        <f t="shared" si="37"/>
        <v>0</v>
      </c>
      <c r="J149" s="686">
        <f>L149+O149</f>
        <v>0</v>
      </c>
      <c r="K149" s="686">
        <f t="shared" ref="K149:N149" si="38">K150+K156+K169+K172</f>
        <v>0</v>
      </c>
      <c r="L149" s="686">
        <f t="shared" si="38"/>
        <v>0</v>
      </c>
      <c r="M149" s="686">
        <f t="shared" si="38"/>
        <v>0</v>
      </c>
      <c r="N149" s="686">
        <f t="shared" si="38"/>
        <v>0</v>
      </c>
      <c r="O149" s="686">
        <f>O150+O156+O169+O172</f>
        <v>0</v>
      </c>
      <c r="P149" s="687">
        <f>E149+J149</f>
        <v>0</v>
      </c>
      <c r="Q149" s="181" t="b">
        <f>P149=P152+P154+P155+P158+P159+P161+P163+P164+P166+P167+P168+P171+P174</f>
        <v>1</v>
      </c>
      <c r="R149" s="317" t="e">
        <f>K149=#REF!</f>
        <v>#REF!</v>
      </c>
    </row>
    <row r="150" spans="1:18" ht="91.5" thickTop="1" thickBot="1" x14ac:dyDescent="0.25">
      <c r="A150" s="251" t="s">
        <v>963</v>
      </c>
      <c r="B150" s="251" t="s">
        <v>907</v>
      </c>
      <c r="C150" s="251"/>
      <c r="D150" s="251" t="s">
        <v>908</v>
      </c>
      <c r="E150" s="416">
        <f>'d3'!E150-'d3-п'!E150</f>
        <v>0</v>
      </c>
      <c r="F150" s="416">
        <f>'d3'!F150-'d3-п'!F150</f>
        <v>0</v>
      </c>
      <c r="G150" s="416">
        <f>'d3'!G150-'d3-п'!G150</f>
        <v>0</v>
      </c>
      <c r="H150" s="416">
        <f>'d3'!H150-'d3-п'!H150</f>
        <v>0</v>
      </c>
      <c r="I150" s="416">
        <f>'d3'!I150-'d3-п'!I150</f>
        <v>0</v>
      </c>
      <c r="J150" s="416">
        <f>'d3'!J150-'d3-п'!J150</f>
        <v>0</v>
      </c>
      <c r="K150" s="416">
        <f>'d3'!K150-'d3-п'!K150</f>
        <v>0</v>
      </c>
      <c r="L150" s="416">
        <f>'d3'!L150-'d3-п'!L150</f>
        <v>0</v>
      </c>
      <c r="M150" s="416">
        <f>'d3'!M150-'d3-п'!M150</f>
        <v>0</v>
      </c>
      <c r="N150" s="416">
        <f>'d3'!N150-'d3-п'!N150</f>
        <v>0</v>
      </c>
      <c r="O150" s="416">
        <f>'d3'!O150-'d3-п'!O150</f>
        <v>0</v>
      </c>
      <c r="P150" s="416">
        <f>'d3'!P150-'d3-п'!P150</f>
        <v>0</v>
      </c>
      <c r="Q150" s="181"/>
      <c r="R150" s="317"/>
    </row>
    <row r="151" spans="1:18" s="85" customFormat="1" ht="138.75" thickTop="1" thickBot="1" x14ac:dyDescent="0.25">
      <c r="A151" s="552" t="s">
        <v>964</v>
      </c>
      <c r="B151" s="552" t="s">
        <v>965</v>
      </c>
      <c r="C151" s="552"/>
      <c r="D151" s="552" t="s">
        <v>966</v>
      </c>
      <c r="E151" s="416">
        <f>'d3'!E151-'d3-п'!E151</f>
        <v>0</v>
      </c>
      <c r="F151" s="416">
        <f>'d3'!F151-'d3-п'!F151</f>
        <v>0</v>
      </c>
      <c r="G151" s="416">
        <f>'d3'!G151-'d3-п'!G151</f>
        <v>0</v>
      </c>
      <c r="H151" s="416">
        <f>'d3'!H151-'d3-п'!H151</f>
        <v>0</v>
      </c>
      <c r="I151" s="416">
        <f>'d3'!I151-'d3-п'!I151</f>
        <v>0</v>
      </c>
      <c r="J151" s="416">
        <f>'d3'!J151-'d3-п'!J151</f>
        <v>0</v>
      </c>
      <c r="K151" s="416">
        <f>'d3'!K151-'d3-п'!K151</f>
        <v>0</v>
      </c>
      <c r="L151" s="416">
        <f>'d3'!L151-'d3-п'!L151</f>
        <v>0</v>
      </c>
      <c r="M151" s="416">
        <f>'d3'!M151-'d3-п'!M151</f>
        <v>0</v>
      </c>
      <c r="N151" s="416">
        <f>'d3'!N151-'d3-п'!N151</f>
        <v>0</v>
      </c>
      <c r="O151" s="416">
        <f>'d3'!O151-'d3-п'!O151</f>
        <v>0</v>
      </c>
      <c r="P151" s="416">
        <f>'d3'!P151-'d3-п'!P151</f>
        <v>0</v>
      </c>
      <c r="Q151" s="568"/>
      <c r="R151" s="560"/>
    </row>
    <row r="152" spans="1:18" ht="138.75" thickTop="1" thickBot="1" x14ac:dyDescent="0.25">
      <c r="A152" s="795" t="s">
        <v>208</v>
      </c>
      <c r="B152" s="795" t="s">
        <v>209</v>
      </c>
      <c r="C152" s="795" t="s">
        <v>210</v>
      </c>
      <c r="D152" s="795" t="s">
        <v>833</v>
      </c>
      <c r="E152" s="416">
        <f>'d3'!E152-'d3-п'!E152</f>
        <v>0</v>
      </c>
      <c r="F152" s="416">
        <f>'d3'!F152-'d3-п'!F152</f>
        <v>0</v>
      </c>
      <c r="G152" s="416">
        <f>'d3'!G152-'d3-п'!G152</f>
        <v>0</v>
      </c>
      <c r="H152" s="416">
        <f>'d3'!H152-'d3-п'!H152</f>
        <v>0</v>
      </c>
      <c r="I152" s="416">
        <f>'d3'!I152-'d3-п'!I152</f>
        <v>0</v>
      </c>
      <c r="J152" s="416">
        <f>'d3'!J152-'d3-п'!J152</f>
        <v>0</v>
      </c>
      <c r="K152" s="416">
        <f>'d3'!K152-'d3-п'!K152</f>
        <v>0</v>
      </c>
      <c r="L152" s="416">
        <f>'d3'!L152-'d3-п'!L152</f>
        <v>0</v>
      </c>
      <c r="M152" s="416">
        <f>'d3'!M152-'d3-п'!M152</f>
        <v>0</v>
      </c>
      <c r="N152" s="416">
        <f>'d3'!N152-'d3-п'!N152</f>
        <v>0</v>
      </c>
      <c r="O152" s="416">
        <f>'d3'!O152-'d3-п'!O152</f>
        <v>0</v>
      </c>
      <c r="P152" s="416">
        <f>'d3'!P152-'d3-п'!P152</f>
        <v>0</v>
      </c>
      <c r="Q152" s="277"/>
      <c r="R152" s="277"/>
    </row>
    <row r="153" spans="1:18" s="85" customFormat="1" ht="93" thickTop="1" thickBot="1" x14ac:dyDescent="0.25">
      <c r="A153" s="552" t="s">
        <v>967</v>
      </c>
      <c r="B153" s="552" t="s">
        <v>968</v>
      </c>
      <c r="C153" s="552"/>
      <c r="D153" s="552" t="s">
        <v>969</v>
      </c>
      <c r="E153" s="416">
        <f>'d3'!E153-'d3-п'!E153</f>
        <v>0</v>
      </c>
      <c r="F153" s="416">
        <f>'d3'!F153-'d3-п'!F153</f>
        <v>0</v>
      </c>
      <c r="G153" s="416">
        <f>'d3'!G153-'d3-п'!G153</f>
        <v>0</v>
      </c>
      <c r="H153" s="416">
        <f>'d3'!H153-'d3-п'!H153</f>
        <v>0</v>
      </c>
      <c r="I153" s="416">
        <f>'d3'!I153-'d3-п'!I153</f>
        <v>0</v>
      </c>
      <c r="J153" s="416">
        <f>'d3'!J153-'d3-п'!J153</f>
        <v>0</v>
      </c>
      <c r="K153" s="416">
        <f>'d3'!K153-'d3-п'!K153</f>
        <v>0</v>
      </c>
      <c r="L153" s="416">
        <f>'d3'!L153-'d3-п'!L153</f>
        <v>0</v>
      </c>
      <c r="M153" s="416">
        <f>'d3'!M153-'d3-п'!M153</f>
        <v>0</v>
      </c>
      <c r="N153" s="416">
        <f>'d3'!N153-'d3-п'!N153</f>
        <v>0</v>
      </c>
      <c r="O153" s="416">
        <f>'d3'!O153-'d3-п'!O153</f>
        <v>0</v>
      </c>
      <c r="P153" s="416">
        <f>'d3'!P153-'d3-п'!P153</f>
        <v>0</v>
      </c>
      <c r="Q153" s="554"/>
      <c r="R153" s="554"/>
    </row>
    <row r="154" spans="1:18" s="612" customFormat="1" ht="93" thickTop="1" thickBot="1" x14ac:dyDescent="0.25">
      <c r="A154" s="795" t="s">
        <v>214</v>
      </c>
      <c r="B154" s="795" t="s">
        <v>215</v>
      </c>
      <c r="C154" s="795" t="s">
        <v>210</v>
      </c>
      <c r="D154" s="795" t="s">
        <v>10</v>
      </c>
      <c r="E154" s="416">
        <f>'d3'!E154-'d3-п'!E154</f>
        <v>0</v>
      </c>
      <c r="F154" s="416">
        <f>'d3'!F154-'d3-п'!F154</f>
        <v>0</v>
      </c>
      <c r="G154" s="416">
        <f>'d3'!G154-'d3-п'!G154</f>
        <v>0</v>
      </c>
      <c r="H154" s="416">
        <f>'d3'!H154-'d3-п'!H154</f>
        <v>0</v>
      </c>
      <c r="I154" s="416">
        <f>'d3'!I154-'d3-п'!I154</f>
        <v>0</v>
      </c>
      <c r="J154" s="416">
        <f>'d3'!J154-'d3-п'!J154</f>
        <v>0</v>
      </c>
      <c r="K154" s="416">
        <f>'d3'!K154-'d3-п'!K154</f>
        <v>0</v>
      </c>
      <c r="L154" s="416">
        <f>'d3'!L154-'d3-п'!L154</f>
        <v>0</v>
      </c>
      <c r="M154" s="416">
        <f>'d3'!M154-'d3-п'!M154</f>
        <v>0</v>
      </c>
      <c r="N154" s="416">
        <f>'d3'!N154-'d3-п'!N154</f>
        <v>0</v>
      </c>
      <c r="O154" s="416">
        <f>'d3'!O154-'d3-п'!O154</f>
        <v>0</v>
      </c>
      <c r="P154" s="416">
        <f>'d3'!P154-'d3-п'!P154</f>
        <v>0</v>
      </c>
      <c r="Q154" s="610"/>
      <c r="R154" s="613" t="e">
        <f>K154=#REF!</f>
        <v>#REF!</v>
      </c>
    </row>
    <row r="155" spans="1:18" ht="93" thickTop="1" thickBot="1" x14ac:dyDescent="0.25">
      <c r="A155" s="795" t="s">
        <v>385</v>
      </c>
      <c r="B155" s="795" t="s">
        <v>386</v>
      </c>
      <c r="C155" s="795" t="s">
        <v>210</v>
      </c>
      <c r="D155" s="795" t="s">
        <v>387</v>
      </c>
      <c r="E155" s="416">
        <f>'d3'!E155-'d3-п'!E155</f>
        <v>0</v>
      </c>
      <c r="F155" s="416">
        <f>'d3'!F155-'d3-п'!F155</f>
        <v>0</v>
      </c>
      <c r="G155" s="416">
        <f>'d3'!G155-'d3-п'!G155</f>
        <v>0</v>
      </c>
      <c r="H155" s="416">
        <f>'d3'!H155-'d3-п'!H155</f>
        <v>0</v>
      </c>
      <c r="I155" s="416">
        <f>'d3'!I155-'d3-п'!I155</f>
        <v>0</v>
      </c>
      <c r="J155" s="416">
        <f>'d3'!J155-'d3-п'!J155</f>
        <v>0</v>
      </c>
      <c r="K155" s="416">
        <f>'d3'!K155-'d3-п'!K155</f>
        <v>0</v>
      </c>
      <c r="L155" s="416">
        <f>'d3'!L155-'d3-п'!L155</f>
        <v>0</v>
      </c>
      <c r="M155" s="416">
        <f>'d3'!M155-'d3-п'!M155</f>
        <v>0</v>
      </c>
      <c r="N155" s="416">
        <f>'d3'!N155-'d3-п'!N155</f>
        <v>0</v>
      </c>
      <c r="O155" s="416">
        <f>'d3'!O155-'d3-п'!O155</f>
        <v>0</v>
      </c>
      <c r="P155" s="416">
        <f>'d3'!P155-'d3-п'!P155</f>
        <v>0</v>
      </c>
      <c r="R155" s="317"/>
    </row>
    <row r="156" spans="1:18" ht="48" thickTop="1" thickBot="1" x14ac:dyDescent="0.25">
      <c r="A156" s="251" t="s">
        <v>970</v>
      </c>
      <c r="B156" s="251" t="s">
        <v>971</v>
      </c>
      <c r="C156" s="795"/>
      <c r="D156" s="251" t="s">
        <v>972</v>
      </c>
      <c r="E156" s="416">
        <f>'d3'!E156-'d3-п'!E156</f>
        <v>0</v>
      </c>
      <c r="F156" s="416">
        <f>'d3'!F156-'d3-п'!F156</f>
        <v>0</v>
      </c>
      <c r="G156" s="416">
        <f>'d3'!G156-'d3-п'!G156</f>
        <v>0</v>
      </c>
      <c r="H156" s="416">
        <f>'d3'!H156-'d3-п'!H156</f>
        <v>0</v>
      </c>
      <c r="I156" s="416">
        <f>'d3'!I156-'d3-п'!I156</f>
        <v>0</v>
      </c>
      <c r="J156" s="416">
        <f>'d3'!J156-'d3-п'!J156</f>
        <v>0</v>
      </c>
      <c r="K156" s="416">
        <f>'d3'!K156-'d3-п'!K156</f>
        <v>0</v>
      </c>
      <c r="L156" s="416">
        <f>'d3'!L156-'d3-п'!L156</f>
        <v>0</v>
      </c>
      <c r="M156" s="416">
        <f>'d3'!M156-'d3-п'!M156</f>
        <v>0</v>
      </c>
      <c r="N156" s="416">
        <f>'d3'!N156-'d3-п'!N156</f>
        <v>0</v>
      </c>
      <c r="O156" s="416">
        <f>'d3'!O156-'d3-п'!O156</f>
        <v>0</v>
      </c>
      <c r="P156" s="416">
        <f>'d3'!P156-'d3-п'!P156</f>
        <v>0</v>
      </c>
      <c r="R156" s="317"/>
    </row>
    <row r="157" spans="1:18" s="85" customFormat="1" ht="93" thickTop="1" thickBot="1" x14ac:dyDescent="0.25">
      <c r="A157" s="552" t="s">
        <v>973</v>
      </c>
      <c r="B157" s="552" t="s">
        <v>974</v>
      </c>
      <c r="C157" s="552"/>
      <c r="D157" s="552" t="s">
        <v>975</v>
      </c>
      <c r="E157" s="416">
        <f>'d3'!E157-'d3-п'!E157</f>
        <v>0</v>
      </c>
      <c r="F157" s="416">
        <f>'d3'!F157-'d3-п'!F157</f>
        <v>0</v>
      </c>
      <c r="G157" s="416">
        <f>'d3'!G157-'d3-п'!G157</f>
        <v>0</v>
      </c>
      <c r="H157" s="416">
        <f>'d3'!H157-'d3-п'!H157</f>
        <v>0</v>
      </c>
      <c r="I157" s="416">
        <f>'d3'!I157-'d3-п'!I157</f>
        <v>0</v>
      </c>
      <c r="J157" s="416">
        <f>'d3'!J157-'d3-п'!J157</f>
        <v>0</v>
      </c>
      <c r="K157" s="416">
        <f>'d3'!K157-'d3-п'!K157</f>
        <v>0</v>
      </c>
      <c r="L157" s="416">
        <f>'d3'!L157-'d3-п'!L157</f>
        <v>0</v>
      </c>
      <c r="M157" s="416">
        <f>'d3'!M157-'d3-п'!M157</f>
        <v>0</v>
      </c>
      <c r="N157" s="416">
        <f>'d3'!N157-'d3-п'!N157</f>
        <v>0</v>
      </c>
      <c r="O157" s="416">
        <f>'d3'!O157-'d3-п'!O157</f>
        <v>0</v>
      </c>
      <c r="P157" s="416">
        <f>'d3'!P157-'d3-п'!P157</f>
        <v>0</v>
      </c>
      <c r="Q157" s="273"/>
      <c r="R157" s="560"/>
    </row>
    <row r="158" spans="1:18" s="612" customFormat="1" ht="138.75" thickTop="1" thickBot="1" x14ac:dyDescent="0.25">
      <c r="A158" s="795" t="s">
        <v>46</v>
      </c>
      <c r="B158" s="795" t="s">
        <v>211</v>
      </c>
      <c r="C158" s="795" t="s">
        <v>220</v>
      </c>
      <c r="D158" s="795" t="s">
        <v>47</v>
      </c>
      <c r="E158" s="416">
        <f>'d3'!E158-'d3-п'!E158</f>
        <v>0</v>
      </c>
      <c r="F158" s="416">
        <f>'d3'!F158-'d3-п'!F158</f>
        <v>0</v>
      </c>
      <c r="G158" s="416">
        <f>'d3'!G158-'d3-п'!G158</f>
        <v>0</v>
      </c>
      <c r="H158" s="416">
        <f>'d3'!H158-'d3-п'!H158</f>
        <v>0</v>
      </c>
      <c r="I158" s="416">
        <f>'d3'!I158-'d3-п'!I158</f>
        <v>0</v>
      </c>
      <c r="J158" s="416">
        <f>'d3'!J158-'d3-п'!J158</f>
        <v>0</v>
      </c>
      <c r="K158" s="416">
        <f>'d3'!K158-'d3-п'!K158</f>
        <v>0</v>
      </c>
      <c r="L158" s="416">
        <f>'d3'!L158-'d3-п'!L158</f>
        <v>0</v>
      </c>
      <c r="M158" s="416">
        <f>'d3'!M158-'d3-п'!M158</f>
        <v>0</v>
      </c>
      <c r="N158" s="416">
        <f>'d3'!N158-'d3-п'!N158</f>
        <v>0</v>
      </c>
      <c r="O158" s="416">
        <f>'d3'!O158-'d3-п'!O158</f>
        <v>0</v>
      </c>
      <c r="P158" s="416">
        <f>'d3'!P158-'d3-п'!P158</f>
        <v>0</v>
      </c>
      <c r="Q158" s="610"/>
      <c r="R158" s="613"/>
    </row>
    <row r="159" spans="1:18" s="612" customFormat="1" ht="138.75" thickTop="1" thickBot="1" x14ac:dyDescent="0.25">
      <c r="A159" s="795" t="s">
        <v>48</v>
      </c>
      <c r="B159" s="795" t="s">
        <v>212</v>
      </c>
      <c r="C159" s="795" t="s">
        <v>220</v>
      </c>
      <c r="D159" s="795" t="s">
        <v>4</v>
      </c>
      <c r="E159" s="416">
        <f>'d3'!E159-'d3-п'!E159</f>
        <v>0</v>
      </c>
      <c r="F159" s="416">
        <f>'d3'!F159-'d3-п'!F159</f>
        <v>0</v>
      </c>
      <c r="G159" s="416">
        <f>'d3'!G159-'d3-п'!G159</f>
        <v>0</v>
      </c>
      <c r="H159" s="416">
        <f>'d3'!H159-'d3-п'!H159</f>
        <v>0</v>
      </c>
      <c r="I159" s="416">
        <f>'d3'!I159-'d3-п'!I159</f>
        <v>0</v>
      </c>
      <c r="J159" s="416">
        <f>'d3'!J159-'d3-п'!J159</f>
        <v>0</v>
      </c>
      <c r="K159" s="416">
        <f>'d3'!K159-'d3-п'!K159</f>
        <v>0</v>
      </c>
      <c r="L159" s="416">
        <f>'d3'!L159-'d3-п'!L159</f>
        <v>0</v>
      </c>
      <c r="M159" s="416">
        <f>'d3'!M159-'d3-п'!M159</f>
        <v>0</v>
      </c>
      <c r="N159" s="416">
        <f>'d3'!N159-'d3-п'!N159</f>
        <v>0</v>
      </c>
      <c r="O159" s="416">
        <f>'d3'!O159-'d3-п'!O159</f>
        <v>0</v>
      </c>
      <c r="P159" s="416">
        <f>'d3'!P159-'d3-п'!P159</f>
        <v>0</v>
      </c>
      <c r="Q159" s="610"/>
      <c r="R159" s="613"/>
    </row>
    <row r="160" spans="1:18" s="85" customFormat="1" ht="184.5" thickTop="1" thickBot="1" x14ac:dyDescent="0.25">
      <c r="A160" s="552" t="s">
        <v>976</v>
      </c>
      <c r="B160" s="552" t="s">
        <v>977</v>
      </c>
      <c r="C160" s="552"/>
      <c r="D160" s="552" t="s">
        <v>978</v>
      </c>
      <c r="E160" s="416">
        <f>'d3'!E160-'d3-п'!E160</f>
        <v>0</v>
      </c>
      <c r="F160" s="416">
        <f>'d3'!F160-'d3-п'!F160</f>
        <v>0</v>
      </c>
      <c r="G160" s="416">
        <f>'d3'!G160-'d3-п'!G160</f>
        <v>0</v>
      </c>
      <c r="H160" s="416">
        <f>'d3'!H160-'d3-п'!H160</f>
        <v>0</v>
      </c>
      <c r="I160" s="416">
        <f>'d3'!I160-'d3-п'!I160</f>
        <v>0</v>
      </c>
      <c r="J160" s="416">
        <f>'d3'!J160-'d3-п'!J160</f>
        <v>0</v>
      </c>
      <c r="K160" s="416">
        <f>'d3'!K160-'d3-п'!K160</f>
        <v>0</v>
      </c>
      <c r="L160" s="416">
        <f>'d3'!L160-'d3-п'!L160</f>
        <v>0</v>
      </c>
      <c r="M160" s="416">
        <f>'d3'!M160-'d3-п'!M160</f>
        <v>0</v>
      </c>
      <c r="N160" s="416">
        <f>'d3'!N160-'d3-п'!N160</f>
        <v>0</v>
      </c>
      <c r="O160" s="416">
        <f>'d3'!O160-'d3-п'!O160</f>
        <v>0</v>
      </c>
      <c r="P160" s="416">
        <f>'d3'!P160-'d3-п'!P160</f>
        <v>0</v>
      </c>
      <c r="Q160" s="273"/>
      <c r="R160" s="559"/>
    </row>
    <row r="161" spans="1:18" s="612" customFormat="1" ht="184.5" thickTop="1" thickBot="1" x14ac:dyDescent="0.25">
      <c r="A161" s="795" t="s">
        <v>49</v>
      </c>
      <c r="B161" s="795" t="s">
        <v>213</v>
      </c>
      <c r="C161" s="795" t="s">
        <v>220</v>
      </c>
      <c r="D161" s="795" t="s">
        <v>383</v>
      </c>
      <c r="E161" s="416">
        <f>'d3'!E161-'d3-п'!E161</f>
        <v>0</v>
      </c>
      <c r="F161" s="416">
        <f>'d3'!F161-'d3-п'!F161</f>
        <v>0</v>
      </c>
      <c r="G161" s="416">
        <f>'d3'!G161-'d3-п'!G161</f>
        <v>0</v>
      </c>
      <c r="H161" s="416">
        <f>'d3'!H161-'d3-п'!H161</f>
        <v>0</v>
      </c>
      <c r="I161" s="416">
        <f>'d3'!I161-'d3-п'!I161</f>
        <v>0</v>
      </c>
      <c r="J161" s="416">
        <f>'d3'!J161-'d3-п'!J161</f>
        <v>0</v>
      </c>
      <c r="K161" s="416">
        <f>'d3'!K161-'d3-п'!K161</f>
        <v>0</v>
      </c>
      <c r="L161" s="416">
        <f>'d3'!L161-'d3-п'!L161</f>
        <v>0</v>
      </c>
      <c r="M161" s="416">
        <f>'d3'!M161-'d3-п'!M161</f>
        <v>0</v>
      </c>
      <c r="N161" s="416">
        <f>'d3'!N161-'d3-п'!N161</f>
        <v>0</v>
      </c>
      <c r="O161" s="416">
        <f>'d3'!O161-'d3-п'!O161</f>
        <v>0</v>
      </c>
      <c r="P161" s="416">
        <f>'d3'!P161-'d3-п'!P161</f>
        <v>0</v>
      </c>
      <c r="Q161" s="610"/>
      <c r="R161" s="613"/>
    </row>
    <row r="162" spans="1:18" ht="93" thickTop="1" thickBot="1" x14ac:dyDescent="0.25">
      <c r="A162" s="552" t="s">
        <v>979</v>
      </c>
      <c r="B162" s="552" t="s">
        <v>980</v>
      </c>
      <c r="C162" s="552"/>
      <c r="D162" s="552" t="s">
        <v>981</v>
      </c>
      <c r="E162" s="416">
        <f>'d3'!E162-'d3-п'!E162</f>
        <v>0</v>
      </c>
      <c r="F162" s="416">
        <f>'d3'!F162-'d3-п'!F162</f>
        <v>0</v>
      </c>
      <c r="G162" s="416">
        <f>'d3'!G162-'d3-п'!G162</f>
        <v>0</v>
      </c>
      <c r="H162" s="416">
        <f>'d3'!H162-'d3-п'!H162</f>
        <v>0</v>
      </c>
      <c r="I162" s="416">
        <f>'d3'!I162-'d3-п'!I162</f>
        <v>0</v>
      </c>
      <c r="J162" s="416">
        <f>'d3'!J162-'d3-п'!J162</f>
        <v>0</v>
      </c>
      <c r="K162" s="416">
        <f>'d3'!K162-'d3-п'!K162</f>
        <v>0</v>
      </c>
      <c r="L162" s="416">
        <f>'d3'!L162-'d3-п'!L162</f>
        <v>0</v>
      </c>
      <c r="M162" s="416">
        <f>'d3'!M162-'d3-п'!M162</f>
        <v>0</v>
      </c>
      <c r="N162" s="416">
        <f>'d3'!N162-'d3-п'!N162</f>
        <v>0</v>
      </c>
      <c r="O162" s="416">
        <f>'d3'!O162-'d3-п'!O162</f>
        <v>0</v>
      </c>
      <c r="P162" s="416">
        <f>'d3'!P162-'d3-п'!P162</f>
        <v>0</v>
      </c>
      <c r="R162" s="317"/>
    </row>
    <row r="163" spans="1:18" s="612" customFormat="1" ht="184.5" thickTop="1" thickBot="1" x14ac:dyDescent="0.25">
      <c r="A163" s="795" t="s">
        <v>28</v>
      </c>
      <c r="B163" s="795" t="s">
        <v>217</v>
      </c>
      <c r="C163" s="795" t="s">
        <v>220</v>
      </c>
      <c r="D163" s="795" t="s">
        <v>50</v>
      </c>
      <c r="E163" s="416">
        <f>'d3'!E163-'d3-п'!E163</f>
        <v>0</v>
      </c>
      <c r="F163" s="416">
        <f>'d3'!F163-'d3-п'!F163</f>
        <v>0</v>
      </c>
      <c r="G163" s="416">
        <f>'d3'!G163-'d3-п'!G163</f>
        <v>0</v>
      </c>
      <c r="H163" s="416">
        <f>'d3'!H163-'d3-п'!H163</f>
        <v>0</v>
      </c>
      <c r="I163" s="416">
        <f>'d3'!I163-'d3-п'!I163</f>
        <v>0</v>
      </c>
      <c r="J163" s="416">
        <f>'d3'!J163-'d3-п'!J163</f>
        <v>0</v>
      </c>
      <c r="K163" s="416">
        <f>'d3'!K163-'d3-п'!K163</f>
        <v>0</v>
      </c>
      <c r="L163" s="416">
        <f>'d3'!L163-'d3-п'!L163</f>
        <v>0</v>
      </c>
      <c r="M163" s="416">
        <f>'d3'!M163-'d3-п'!M163</f>
        <v>0</v>
      </c>
      <c r="N163" s="416">
        <f>'d3'!N163-'d3-п'!N163</f>
        <v>0</v>
      </c>
      <c r="O163" s="416">
        <f>'d3'!O163-'d3-п'!O163</f>
        <v>0</v>
      </c>
      <c r="P163" s="416">
        <f>'d3'!P163-'d3-п'!P163</f>
        <v>0</v>
      </c>
      <c r="Q163" s="610"/>
      <c r="R163" s="613" t="e">
        <f>K163=#REF!+#REF!+#REF!+#REF!+#REF!+#REF!</f>
        <v>#REF!</v>
      </c>
    </row>
    <row r="164" spans="1:18" s="612" customFormat="1" ht="184.5" thickTop="1" thickBot="1" x14ac:dyDescent="0.25">
      <c r="A164" s="795" t="s">
        <v>29</v>
      </c>
      <c r="B164" s="795" t="s">
        <v>218</v>
      </c>
      <c r="C164" s="795" t="s">
        <v>220</v>
      </c>
      <c r="D164" s="795" t="s">
        <v>51</v>
      </c>
      <c r="E164" s="416">
        <f>'d3'!E164-'d3-п'!E164</f>
        <v>0</v>
      </c>
      <c r="F164" s="416">
        <f>'d3'!F164-'d3-п'!F164</f>
        <v>0</v>
      </c>
      <c r="G164" s="416">
        <f>'d3'!G164-'d3-п'!G164</f>
        <v>0</v>
      </c>
      <c r="H164" s="416">
        <f>'d3'!H164-'d3-п'!H164</f>
        <v>0</v>
      </c>
      <c r="I164" s="416">
        <f>'d3'!I164-'d3-п'!I164</f>
        <v>0</v>
      </c>
      <c r="J164" s="416">
        <f>'d3'!J164-'d3-п'!J164</f>
        <v>0</v>
      </c>
      <c r="K164" s="416">
        <f>'d3'!K164-'d3-п'!K164</f>
        <v>0</v>
      </c>
      <c r="L164" s="416">
        <f>'d3'!L164-'d3-п'!L164</f>
        <v>0</v>
      </c>
      <c r="M164" s="416">
        <f>'d3'!M164-'d3-п'!M164</f>
        <v>0</v>
      </c>
      <c r="N164" s="416">
        <f>'d3'!N164-'d3-п'!N164</f>
        <v>0</v>
      </c>
      <c r="O164" s="416">
        <f>'d3'!O164-'d3-п'!O164</f>
        <v>0</v>
      </c>
      <c r="P164" s="416">
        <f>'d3'!P164-'d3-п'!P164</f>
        <v>0</v>
      </c>
      <c r="Q164" s="610"/>
      <c r="R164" s="613" t="e">
        <f>K164=#REF!</f>
        <v>#REF!</v>
      </c>
    </row>
    <row r="165" spans="1:18" ht="93" thickTop="1" thickBot="1" x14ac:dyDescent="0.25">
      <c r="A165" s="762" t="s">
        <v>982</v>
      </c>
      <c r="B165" s="552" t="s">
        <v>983</v>
      </c>
      <c r="C165" s="552"/>
      <c r="D165" s="552" t="s">
        <v>984</v>
      </c>
      <c r="E165" s="416">
        <f>'d3'!E165-'d3-п'!E165</f>
        <v>0</v>
      </c>
      <c r="F165" s="416">
        <f>'d3'!F165-'d3-п'!F165</f>
        <v>0</v>
      </c>
      <c r="G165" s="416">
        <f>'d3'!G165-'d3-п'!G165</f>
        <v>0</v>
      </c>
      <c r="H165" s="416">
        <f>'d3'!H165-'d3-п'!H165</f>
        <v>0</v>
      </c>
      <c r="I165" s="416">
        <f>'d3'!I165-'d3-п'!I165</f>
        <v>0</v>
      </c>
      <c r="J165" s="416">
        <f>'d3'!J165-'d3-п'!J165</f>
        <v>0</v>
      </c>
      <c r="K165" s="416">
        <f>'d3'!K165-'d3-п'!K165</f>
        <v>0</v>
      </c>
      <c r="L165" s="416">
        <f>'d3'!L165-'d3-п'!L165</f>
        <v>0</v>
      </c>
      <c r="M165" s="416">
        <f>'d3'!M165-'d3-п'!M165</f>
        <v>0</v>
      </c>
      <c r="N165" s="416">
        <f>'d3'!N165-'d3-п'!N165</f>
        <v>0</v>
      </c>
      <c r="O165" s="416">
        <f>'d3'!O165-'d3-п'!O165</f>
        <v>0</v>
      </c>
      <c r="P165" s="416">
        <f>'d3'!P165-'d3-п'!P165</f>
        <v>0</v>
      </c>
      <c r="R165" s="317"/>
    </row>
    <row r="166" spans="1:18" s="612" customFormat="1" ht="276" thickTop="1" thickBot="1" x14ac:dyDescent="0.25">
      <c r="A166" s="498" t="s">
        <v>30</v>
      </c>
      <c r="B166" s="498" t="s">
        <v>219</v>
      </c>
      <c r="C166" s="498" t="s">
        <v>220</v>
      </c>
      <c r="D166" s="795" t="s">
        <v>31</v>
      </c>
      <c r="E166" s="416">
        <f>'d3'!E166-'d3-п'!E166</f>
        <v>0</v>
      </c>
      <c r="F166" s="416">
        <f>'d3'!F166-'d3-п'!F166</f>
        <v>0</v>
      </c>
      <c r="G166" s="416">
        <f>'d3'!G166-'d3-п'!G166</f>
        <v>0</v>
      </c>
      <c r="H166" s="416">
        <f>'d3'!H166-'d3-п'!H166</f>
        <v>0</v>
      </c>
      <c r="I166" s="416">
        <f>'d3'!I166-'d3-п'!I166</f>
        <v>0</v>
      </c>
      <c r="J166" s="416">
        <f>'d3'!J166-'d3-п'!J166</f>
        <v>0</v>
      </c>
      <c r="K166" s="416">
        <f>'d3'!K166-'d3-п'!K166</f>
        <v>0</v>
      </c>
      <c r="L166" s="416">
        <f>'d3'!L166-'d3-п'!L166</f>
        <v>0</v>
      </c>
      <c r="M166" s="416">
        <f>'d3'!M166-'d3-п'!M166</f>
        <v>0</v>
      </c>
      <c r="N166" s="416">
        <f>'d3'!N166-'d3-п'!N166</f>
        <v>0</v>
      </c>
      <c r="O166" s="416">
        <f>'d3'!O166-'d3-п'!O166</f>
        <v>0</v>
      </c>
      <c r="P166" s="416">
        <f>'d3'!P166-'d3-п'!P166</f>
        <v>0</v>
      </c>
      <c r="Q166" s="610"/>
      <c r="R166" s="613"/>
    </row>
    <row r="167" spans="1:18" s="612" customFormat="1" ht="184.5" thickTop="1" thickBot="1" x14ac:dyDescent="0.25">
      <c r="A167" s="498" t="s">
        <v>571</v>
      </c>
      <c r="B167" s="498" t="s">
        <v>569</v>
      </c>
      <c r="C167" s="498" t="s">
        <v>220</v>
      </c>
      <c r="D167" s="795" t="s">
        <v>570</v>
      </c>
      <c r="E167" s="416">
        <f>'d3'!E167-'d3-п'!E167</f>
        <v>0</v>
      </c>
      <c r="F167" s="416">
        <f>'d3'!F167-'d3-п'!F167</f>
        <v>0</v>
      </c>
      <c r="G167" s="416">
        <f>'d3'!G167-'d3-п'!G167</f>
        <v>0</v>
      </c>
      <c r="H167" s="416">
        <f>'d3'!H167-'d3-п'!H167</f>
        <v>0</v>
      </c>
      <c r="I167" s="416">
        <f>'d3'!I167-'d3-п'!I167</f>
        <v>0</v>
      </c>
      <c r="J167" s="416">
        <f>'d3'!J167-'d3-п'!J167</f>
        <v>0</v>
      </c>
      <c r="K167" s="416">
        <f>'d3'!K167-'d3-п'!K167</f>
        <v>0</v>
      </c>
      <c r="L167" s="416">
        <f>'d3'!L167-'d3-п'!L167</f>
        <v>0</v>
      </c>
      <c r="M167" s="416">
        <f>'d3'!M167-'d3-п'!M167</f>
        <v>0</v>
      </c>
      <c r="N167" s="416">
        <f>'d3'!N167-'d3-п'!N167</f>
        <v>0</v>
      </c>
      <c r="O167" s="416">
        <f>'d3'!O167-'d3-п'!O167</f>
        <v>0</v>
      </c>
      <c r="P167" s="416">
        <f>'d3'!P167-'d3-п'!P167</f>
        <v>0</v>
      </c>
      <c r="Q167" s="610"/>
      <c r="R167" s="613"/>
    </row>
    <row r="168" spans="1:18" s="612" customFormat="1" ht="93" thickTop="1" thickBot="1" x14ac:dyDescent="0.25">
      <c r="A168" s="498" t="s">
        <v>32</v>
      </c>
      <c r="B168" s="498" t="s">
        <v>221</v>
      </c>
      <c r="C168" s="498" t="s">
        <v>220</v>
      </c>
      <c r="D168" s="795" t="s">
        <v>33</v>
      </c>
      <c r="E168" s="416">
        <f>'d3'!E168-'d3-п'!E168</f>
        <v>0</v>
      </c>
      <c r="F168" s="416">
        <f>'d3'!F168-'d3-п'!F168</f>
        <v>0</v>
      </c>
      <c r="G168" s="416">
        <f>'d3'!G168-'d3-п'!G168</f>
        <v>0</v>
      </c>
      <c r="H168" s="416">
        <f>'d3'!H168-'d3-п'!H168</f>
        <v>0</v>
      </c>
      <c r="I168" s="416">
        <f>'d3'!I168-'d3-п'!I168</f>
        <v>0</v>
      </c>
      <c r="J168" s="416">
        <f>'d3'!J168-'d3-п'!J168</f>
        <v>0</v>
      </c>
      <c r="K168" s="416">
        <f>'d3'!K168-'d3-п'!K168</f>
        <v>0</v>
      </c>
      <c r="L168" s="416">
        <f>'d3'!L168-'d3-п'!L168</f>
        <v>0</v>
      </c>
      <c r="M168" s="416">
        <f>'d3'!M168-'d3-п'!M168</f>
        <v>0</v>
      </c>
      <c r="N168" s="416">
        <f>'d3'!N168-'d3-п'!N168</f>
        <v>0</v>
      </c>
      <c r="O168" s="416">
        <f>'d3'!O168-'d3-п'!O168</f>
        <v>0</v>
      </c>
      <c r="P168" s="416">
        <f>'d3'!P168-'d3-п'!P168</f>
        <v>0</v>
      </c>
      <c r="Q168" s="610"/>
      <c r="R168" s="613" t="e">
        <f>K168=#REF!</f>
        <v>#REF!</v>
      </c>
    </row>
    <row r="169" spans="1:18" ht="91.5" thickTop="1" thickBot="1" x14ac:dyDescent="0.25">
      <c r="A169" s="251" t="s">
        <v>985</v>
      </c>
      <c r="B169" s="251" t="s">
        <v>942</v>
      </c>
      <c r="C169" s="251"/>
      <c r="D169" s="556" t="s">
        <v>943</v>
      </c>
      <c r="E169" s="416">
        <f>'d3'!E169-'d3-п'!E169</f>
        <v>0</v>
      </c>
      <c r="F169" s="416">
        <f>'d3'!F169-'d3-п'!F169</f>
        <v>0</v>
      </c>
      <c r="G169" s="416">
        <f>'d3'!G169-'d3-п'!G169</f>
        <v>0</v>
      </c>
      <c r="H169" s="416">
        <f>'d3'!H169-'d3-п'!H169</f>
        <v>0</v>
      </c>
      <c r="I169" s="416">
        <f>'d3'!I169-'d3-п'!I169</f>
        <v>0</v>
      </c>
      <c r="J169" s="416">
        <f>'d3'!J169-'d3-п'!J169</f>
        <v>0</v>
      </c>
      <c r="K169" s="416">
        <f>'d3'!K169-'d3-п'!K169</f>
        <v>0</v>
      </c>
      <c r="L169" s="416">
        <f>'d3'!L169-'d3-п'!L169</f>
        <v>0</v>
      </c>
      <c r="M169" s="416">
        <f>'d3'!M169-'d3-п'!M169</f>
        <v>0</v>
      </c>
      <c r="N169" s="416">
        <f>'d3'!N169-'d3-п'!N169</f>
        <v>0</v>
      </c>
      <c r="O169" s="416">
        <f>'d3'!O169-'d3-п'!O169</f>
        <v>0</v>
      </c>
      <c r="P169" s="416">
        <f>'d3'!P169-'d3-п'!P169</f>
        <v>0</v>
      </c>
      <c r="R169" s="317"/>
    </row>
    <row r="170" spans="1:18" ht="93" thickTop="1" thickBot="1" x14ac:dyDescent="0.25">
      <c r="A170" s="762" t="s">
        <v>986</v>
      </c>
      <c r="B170" s="762" t="s">
        <v>945</v>
      </c>
      <c r="C170" s="762"/>
      <c r="D170" s="552" t="s">
        <v>946</v>
      </c>
      <c r="E170" s="416">
        <f>'d3'!E170-'d3-п'!E170</f>
        <v>0</v>
      </c>
      <c r="F170" s="416">
        <f>'d3'!F170-'d3-п'!F170</f>
        <v>0</v>
      </c>
      <c r="G170" s="416">
        <f>'d3'!G170-'d3-п'!G170</f>
        <v>0</v>
      </c>
      <c r="H170" s="416">
        <f>'d3'!H170-'d3-п'!H170</f>
        <v>0</v>
      </c>
      <c r="I170" s="416">
        <f>'d3'!I170-'d3-п'!I170</f>
        <v>0</v>
      </c>
      <c r="J170" s="416">
        <f>'d3'!J170-'d3-п'!J170</f>
        <v>0</v>
      </c>
      <c r="K170" s="416">
        <f>'d3'!K170-'d3-п'!K170</f>
        <v>0</v>
      </c>
      <c r="L170" s="416">
        <f>'d3'!L170-'d3-п'!L170</f>
        <v>0</v>
      </c>
      <c r="M170" s="416">
        <f>'d3'!M170-'d3-п'!M170</f>
        <v>0</v>
      </c>
      <c r="N170" s="416">
        <f>'d3'!N170-'d3-п'!N170</f>
        <v>0</v>
      </c>
      <c r="O170" s="416">
        <f>'d3'!O170-'d3-п'!O170</f>
        <v>0</v>
      </c>
      <c r="P170" s="416">
        <f>'d3'!P170-'d3-п'!P170</f>
        <v>0</v>
      </c>
      <c r="R170" s="317"/>
    </row>
    <row r="171" spans="1:18" s="612" customFormat="1" ht="276" thickTop="1" thickBot="1" x14ac:dyDescent="0.25">
      <c r="A171" s="498" t="s">
        <v>375</v>
      </c>
      <c r="B171" s="498" t="s">
        <v>374</v>
      </c>
      <c r="C171" s="498" t="s">
        <v>373</v>
      </c>
      <c r="D171" s="795" t="s">
        <v>834</v>
      </c>
      <c r="E171" s="416">
        <f>'d3'!E171-'d3-п'!E171</f>
        <v>0</v>
      </c>
      <c r="F171" s="416">
        <f>'d3'!F171-'d3-п'!F171</f>
        <v>0</v>
      </c>
      <c r="G171" s="416">
        <f>'d3'!G171-'d3-п'!G171</f>
        <v>0</v>
      </c>
      <c r="H171" s="416">
        <f>'d3'!H171-'d3-п'!H171</f>
        <v>0</v>
      </c>
      <c r="I171" s="416">
        <f>'d3'!I171-'d3-п'!I171</f>
        <v>0</v>
      </c>
      <c r="J171" s="416">
        <f>'d3'!J171-'d3-п'!J171</f>
        <v>0</v>
      </c>
      <c r="K171" s="416">
        <f>'d3'!K171-'d3-п'!K171</f>
        <v>0</v>
      </c>
      <c r="L171" s="416">
        <f>'d3'!L171-'d3-п'!L171</f>
        <v>0</v>
      </c>
      <c r="M171" s="416">
        <f>'d3'!M171-'d3-п'!M171</f>
        <v>0</v>
      </c>
      <c r="N171" s="416">
        <f>'d3'!N171-'d3-п'!N171</f>
        <v>0</v>
      </c>
      <c r="O171" s="416">
        <f>'d3'!O171-'d3-п'!O171</f>
        <v>0</v>
      </c>
      <c r="P171" s="416">
        <f>'d3'!P171-'d3-п'!P171</f>
        <v>0</v>
      </c>
      <c r="Q171" s="610"/>
      <c r="R171" s="611"/>
    </row>
    <row r="172" spans="1:18" ht="48" thickTop="1" thickBot="1" x14ac:dyDescent="0.25">
      <c r="A172" s="251" t="s">
        <v>987</v>
      </c>
      <c r="B172" s="757" t="s">
        <v>948</v>
      </c>
      <c r="C172" s="757"/>
      <c r="D172" s="757" t="s">
        <v>949</v>
      </c>
      <c r="E172" s="416">
        <f>'d3'!E172-'d3-п'!E172</f>
        <v>0</v>
      </c>
      <c r="F172" s="416">
        <f>'d3'!F172-'d3-п'!F172</f>
        <v>0</v>
      </c>
      <c r="G172" s="416">
        <f>'d3'!G172-'d3-п'!G172</f>
        <v>0</v>
      </c>
      <c r="H172" s="416">
        <f>'d3'!H172-'d3-п'!H172</f>
        <v>0</v>
      </c>
      <c r="I172" s="416">
        <f>'d3'!I172-'d3-п'!I172</f>
        <v>0</v>
      </c>
      <c r="J172" s="416">
        <f>'d3'!J172-'d3-п'!J172</f>
        <v>0</v>
      </c>
      <c r="K172" s="416">
        <f>'d3'!K172-'d3-п'!K172</f>
        <v>0</v>
      </c>
      <c r="L172" s="416">
        <f>'d3'!L172-'d3-п'!L172</f>
        <v>0</v>
      </c>
      <c r="M172" s="416">
        <f>'d3'!M172-'d3-п'!M172</f>
        <v>0</v>
      </c>
      <c r="N172" s="416">
        <f>'d3'!N172-'d3-п'!N172</f>
        <v>0</v>
      </c>
      <c r="O172" s="416">
        <f>'d3'!O172-'d3-п'!O172</f>
        <v>0</v>
      </c>
      <c r="P172" s="416">
        <f>'d3'!P172-'d3-п'!P172</f>
        <v>0</v>
      </c>
      <c r="R172" s="277"/>
    </row>
    <row r="173" spans="1:18" ht="136.5" thickTop="1" thickBot="1" x14ac:dyDescent="0.25">
      <c r="A173" s="557" t="s">
        <v>988</v>
      </c>
      <c r="B173" s="557" t="s">
        <v>887</v>
      </c>
      <c r="C173" s="557"/>
      <c r="D173" s="557" t="s">
        <v>885</v>
      </c>
      <c r="E173" s="416">
        <f>'d3'!E173-'d3-п'!E173</f>
        <v>0</v>
      </c>
      <c r="F173" s="416">
        <f>'d3'!F173-'d3-п'!F173</f>
        <v>0</v>
      </c>
      <c r="G173" s="416">
        <f>'d3'!G173-'d3-п'!G173</f>
        <v>0</v>
      </c>
      <c r="H173" s="416">
        <f>'d3'!H173-'d3-п'!H173</f>
        <v>0</v>
      </c>
      <c r="I173" s="416">
        <f>'d3'!I173-'d3-п'!I173</f>
        <v>0</v>
      </c>
      <c r="J173" s="416">
        <f>'d3'!J173-'d3-п'!J173</f>
        <v>0</v>
      </c>
      <c r="K173" s="416">
        <f>'d3'!K173-'d3-п'!K173</f>
        <v>0</v>
      </c>
      <c r="L173" s="416">
        <f>'d3'!L173-'d3-п'!L173</f>
        <v>0</v>
      </c>
      <c r="M173" s="416">
        <f>'d3'!M173-'d3-п'!M173</f>
        <v>0</v>
      </c>
      <c r="N173" s="416">
        <f>'d3'!N173-'d3-п'!N173</f>
        <v>0</v>
      </c>
      <c r="O173" s="416">
        <f>'d3'!O173-'d3-п'!O173</f>
        <v>0</v>
      </c>
      <c r="P173" s="416">
        <f>'d3'!P173-'d3-п'!P173</f>
        <v>0</v>
      </c>
      <c r="R173" s="277"/>
    </row>
    <row r="174" spans="1:18" s="612" customFormat="1" ht="93" thickTop="1" thickBot="1" x14ac:dyDescent="0.25">
      <c r="A174" s="795" t="s">
        <v>777</v>
      </c>
      <c r="B174" s="795" t="s">
        <v>222</v>
      </c>
      <c r="C174" s="795" t="s">
        <v>191</v>
      </c>
      <c r="D174" s="795" t="s">
        <v>36</v>
      </c>
      <c r="E174" s="416">
        <f>'d3'!E174-'d3-п'!E174</f>
        <v>0</v>
      </c>
      <c r="F174" s="416">
        <f>'d3'!F174-'d3-п'!F174</f>
        <v>0</v>
      </c>
      <c r="G174" s="416">
        <f>'d3'!G174-'d3-п'!G174</f>
        <v>0</v>
      </c>
      <c r="H174" s="416">
        <f>'d3'!H174-'d3-п'!H174</f>
        <v>0</v>
      </c>
      <c r="I174" s="416">
        <f>'d3'!I174-'d3-п'!I174</f>
        <v>0</v>
      </c>
      <c r="J174" s="416">
        <f>'d3'!J174-'d3-п'!J174</f>
        <v>0</v>
      </c>
      <c r="K174" s="416">
        <f>'d3'!K174-'d3-п'!K174</f>
        <v>0</v>
      </c>
      <c r="L174" s="416">
        <f>'d3'!L174-'d3-п'!L174</f>
        <v>0</v>
      </c>
      <c r="M174" s="416">
        <f>'d3'!M174-'d3-п'!M174</f>
        <v>0</v>
      </c>
      <c r="N174" s="416">
        <f>'d3'!N174-'d3-п'!N174</f>
        <v>0</v>
      </c>
      <c r="O174" s="416">
        <f>'d3'!O174-'d3-п'!O174</f>
        <v>0</v>
      </c>
      <c r="P174" s="416">
        <f>'d3'!P174-'d3-п'!P174</f>
        <v>0</v>
      </c>
      <c r="Q174" s="610"/>
      <c r="R174" s="613" t="e">
        <f>K174=#REF!</f>
        <v>#REF!</v>
      </c>
    </row>
    <row r="175" spans="1:18" ht="181.5" thickTop="1" thickBot="1" x14ac:dyDescent="0.25">
      <c r="A175" s="680" t="s">
        <v>179</v>
      </c>
      <c r="B175" s="680"/>
      <c r="C175" s="680"/>
      <c r="D175" s="681" t="s">
        <v>698</v>
      </c>
      <c r="E175" s="682">
        <f>E176</f>
        <v>0</v>
      </c>
      <c r="F175" s="683">
        <f t="shared" ref="F175:G175" si="39">F176</f>
        <v>0</v>
      </c>
      <c r="G175" s="683">
        <f t="shared" si="39"/>
        <v>0</v>
      </c>
      <c r="H175" s="683">
        <f>H176</f>
        <v>0</v>
      </c>
      <c r="I175" s="683">
        <f t="shared" ref="I175" si="40">I176</f>
        <v>0</v>
      </c>
      <c r="J175" s="682">
        <f>J176</f>
        <v>0</v>
      </c>
      <c r="K175" s="683">
        <f>K176</f>
        <v>0</v>
      </c>
      <c r="L175" s="683">
        <f>L176</f>
        <v>0</v>
      </c>
      <c r="M175" s="683">
        <f t="shared" ref="M175" si="41">M176</f>
        <v>0</v>
      </c>
      <c r="N175" s="682">
        <f>N176</f>
        <v>0</v>
      </c>
      <c r="O175" s="682">
        <f>O176</f>
        <v>0</v>
      </c>
      <c r="P175" s="683">
        <f>P176</f>
        <v>0</v>
      </c>
      <c r="R175" s="277"/>
    </row>
    <row r="176" spans="1:18" ht="181.5" thickTop="1" thickBot="1" x14ac:dyDescent="0.25">
      <c r="A176" s="684" t="s">
        <v>180</v>
      </c>
      <c r="B176" s="684"/>
      <c r="C176" s="684"/>
      <c r="D176" s="685" t="s">
        <v>699</v>
      </c>
      <c r="E176" s="686">
        <f>E177+E180+E187</f>
        <v>0</v>
      </c>
      <c r="F176" s="686">
        <f t="shared" ref="F176:I176" si="42">F177+F180+F187</f>
        <v>0</v>
      </c>
      <c r="G176" s="686">
        <f t="shared" si="42"/>
        <v>0</v>
      </c>
      <c r="H176" s="686">
        <f t="shared" si="42"/>
        <v>0</v>
      </c>
      <c r="I176" s="686">
        <f t="shared" si="42"/>
        <v>0</v>
      </c>
      <c r="J176" s="686">
        <f t="shared" ref="J176" si="43">L176+O176</f>
        <v>0</v>
      </c>
      <c r="K176" s="686">
        <f t="shared" ref="K176:O176" si="44">K177+K180+K187</f>
        <v>0</v>
      </c>
      <c r="L176" s="686">
        <f t="shared" si="44"/>
        <v>0</v>
      </c>
      <c r="M176" s="686">
        <f t="shared" si="44"/>
        <v>0</v>
      </c>
      <c r="N176" s="686">
        <f t="shared" si="44"/>
        <v>0</v>
      </c>
      <c r="O176" s="686">
        <f t="shared" si="44"/>
        <v>0</v>
      </c>
      <c r="P176" s="687">
        <f>E176+J176</f>
        <v>0</v>
      </c>
      <c r="Q176" s="336" t="b">
        <f>P176=P178+P182+P183+P184+P186+P189+P192+P179+P190+P185</f>
        <v>1</v>
      </c>
      <c r="R176" s="336" t="e">
        <f>K176=#REF!</f>
        <v>#REF!</v>
      </c>
    </row>
    <row r="177" spans="1:18" ht="48" thickTop="1" thickBot="1" x14ac:dyDescent="0.25">
      <c r="A177" s="251" t="s">
        <v>989</v>
      </c>
      <c r="B177" s="251" t="s">
        <v>880</v>
      </c>
      <c r="C177" s="251"/>
      <c r="D177" s="251" t="s">
        <v>881</v>
      </c>
      <c r="E177" s="416">
        <f>'d3'!E177-'d3-п'!E177</f>
        <v>0</v>
      </c>
      <c r="F177" s="416">
        <f>'d3'!F177-'d3-п'!F177</f>
        <v>0</v>
      </c>
      <c r="G177" s="416">
        <f>'d3'!G177-'d3-п'!G177</f>
        <v>0</v>
      </c>
      <c r="H177" s="416">
        <f>'d3'!H177-'d3-п'!H177</f>
        <v>0</v>
      </c>
      <c r="I177" s="416">
        <f>'d3'!I177-'d3-п'!I177</f>
        <v>0</v>
      </c>
      <c r="J177" s="416">
        <f>'d3'!J177-'d3-п'!J177</f>
        <v>0</v>
      </c>
      <c r="K177" s="416">
        <f>'d3'!K177-'d3-п'!K177</f>
        <v>0</v>
      </c>
      <c r="L177" s="416">
        <f>'d3'!L177-'d3-п'!L177</f>
        <v>0</v>
      </c>
      <c r="M177" s="416">
        <f>'d3'!M177-'d3-п'!M177</f>
        <v>0</v>
      </c>
      <c r="N177" s="416">
        <f>'d3'!N177-'d3-п'!N177</f>
        <v>0</v>
      </c>
      <c r="O177" s="416">
        <f>'d3'!O177-'d3-п'!O177</f>
        <v>0</v>
      </c>
      <c r="P177" s="416">
        <f>'d3'!P177-'d3-п'!P177</f>
        <v>0</v>
      </c>
      <c r="Q177" s="336"/>
      <c r="R177" s="336"/>
    </row>
    <row r="178" spans="1:18" ht="230.25" thickTop="1" thickBot="1" x14ac:dyDescent="0.25">
      <c r="A178" s="795" t="s">
        <v>459</v>
      </c>
      <c r="B178" s="795" t="s">
        <v>261</v>
      </c>
      <c r="C178" s="795" t="s">
        <v>259</v>
      </c>
      <c r="D178" s="795" t="s">
        <v>260</v>
      </c>
      <c r="E178" s="416">
        <f>'d3'!E178-'d3-п'!E178</f>
        <v>0</v>
      </c>
      <c r="F178" s="416">
        <f>'d3'!F178-'d3-п'!F178</f>
        <v>0</v>
      </c>
      <c r="G178" s="416">
        <f>'d3'!G178-'d3-п'!G178</f>
        <v>0</v>
      </c>
      <c r="H178" s="416">
        <f>'d3'!H178-'d3-п'!H178</f>
        <v>0</v>
      </c>
      <c r="I178" s="416">
        <f>'d3'!I178-'d3-п'!I178</f>
        <v>0</v>
      </c>
      <c r="J178" s="416">
        <f>'d3'!J178-'d3-п'!J178</f>
        <v>0</v>
      </c>
      <c r="K178" s="416">
        <f>'d3'!K178-'d3-п'!K178</f>
        <v>0</v>
      </c>
      <c r="L178" s="416">
        <f>'d3'!L178-'d3-п'!L178</f>
        <v>0</v>
      </c>
      <c r="M178" s="416">
        <f>'d3'!M178-'d3-п'!M178</f>
        <v>0</v>
      </c>
      <c r="N178" s="416">
        <f>'d3'!N178-'d3-п'!N178</f>
        <v>0</v>
      </c>
      <c r="O178" s="416">
        <f>'d3'!O178-'d3-п'!O178</f>
        <v>0</v>
      </c>
      <c r="P178" s="416">
        <f>'d3'!P178-'d3-п'!P178</f>
        <v>0</v>
      </c>
      <c r="R178" s="336" t="e">
        <f>K178=#REF!</f>
        <v>#REF!</v>
      </c>
    </row>
    <row r="179" spans="1:18" ht="184.5" thickTop="1" thickBot="1" x14ac:dyDescent="0.25">
      <c r="A179" s="804" t="s">
        <v>822</v>
      </c>
      <c r="B179" s="804" t="s">
        <v>398</v>
      </c>
      <c r="C179" s="804" t="s">
        <v>815</v>
      </c>
      <c r="D179" s="804" t="s">
        <v>816</v>
      </c>
      <c r="E179" s="416">
        <f>'d3'!E179-'d3-п'!E179</f>
        <v>0</v>
      </c>
      <c r="F179" s="416">
        <f>'d3'!F179-'d3-п'!F179</f>
        <v>0</v>
      </c>
      <c r="G179" s="416">
        <f>'d3'!G179-'d3-п'!G179</f>
        <v>0</v>
      </c>
      <c r="H179" s="416">
        <f>'d3'!H179-'d3-п'!H179</f>
        <v>0</v>
      </c>
      <c r="I179" s="416">
        <f>'d3'!I179-'d3-п'!I179</f>
        <v>0</v>
      </c>
      <c r="J179" s="416">
        <f>'d3'!J179-'d3-п'!J179</f>
        <v>0</v>
      </c>
      <c r="K179" s="416">
        <f>'d3'!K179-'d3-п'!K179</f>
        <v>0</v>
      </c>
      <c r="L179" s="416">
        <f>'d3'!L179-'d3-п'!L179</f>
        <v>0</v>
      </c>
      <c r="M179" s="416">
        <f>'d3'!M179-'d3-п'!M179</f>
        <v>0</v>
      </c>
      <c r="N179" s="416">
        <f>'d3'!N179-'d3-п'!N179</f>
        <v>0</v>
      </c>
      <c r="O179" s="416">
        <f>'d3'!O179-'d3-п'!O179</f>
        <v>0</v>
      </c>
      <c r="P179" s="416">
        <f>'d3'!P179-'d3-п'!P179</f>
        <v>0</v>
      </c>
      <c r="R179" s="336"/>
    </row>
    <row r="180" spans="1:18" ht="91.5" thickTop="1" thickBot="1" x14ac:dyDescent="0.25">
      <c r="A180" s="251" t="s">
        <v>990</v>
      </c>
      <c r="B180" s="757" t="s">
        <v>942</v>
      </c>
      <c r="C180" s="757"/>
      <c r="D180" s="556" t="s">
        <v>943</v>
      </c>
      <c r="E180" s="416">
        <f>'d3'!E180-'d3-п'!E180</f>
        <v>0</v>
      </c>
      <c r="F180" s="416">
        <f>'d3'!F180-'d3-п'!F180</f>
        <v>0</v>
      </c>
      <c r="G180" s="416">
        <f>'d3'!G180-'d3-п'!G180</f>
        <v>0</v>
      </c>
      <c r="H180" s="416">
        <f>'d3'!H180-'d3-п'!H180</f>
        <v>0</v>
      </c>
      <c r="I180" s="416">
        <f>'d3'!I180-'d3-п'!I180</f>
        <v>0</v>
      </c>
      <c r="J180" s="416">
        <f>'d3'!J180-'d3-п'!J180</f>
        <v>0</v>
      </c>
      <c r="K180" s="416">
        <f>'d3'!K180-'d3-п'!K180</f>
        <v>0</v>
      </c>
      <c r="L180" s="416">
        <f>'d3'!L180-'d3-п'!L180</f>
        <v>0</v>
      </c>
      <c r="M180" s="416">
        <f>'d3'!M180-'d3-п'!M180</f>
        <v>0</v>
      </c>
      <c r="N180" s="416">
        <f>'d3'!N180-'d3-п'!N180</f>
        <v>0</v>
      </c>
      <c r="O180" s="416">
        <f>'d3'!O180-'d3-п'!O180</f>
        <v>0</v>
      </c>
      <c r="P180" s="416">
        <f>'d3'!P180-'d3-п'!P180</f>
        <v>0</v>
      </c>
      <c r="R180" s="336"/>
    </row>
    <row r="181" spans="1:18" s="85" customFormat="1" ht="184.5" thickTop="1" thickBot="1" x14ac:dyDescent="0.25">
      <c r="A181" s="552" t="s">
        <v>991</v>
      </c>
      <c r="B181" s="759" t="s">
        <v>992</v>
      </c>
      <c r="C181" s="759"/>
      <c r="D181" s="759" t="s">
        <v>993</v>
      </c>
      <c r="E181" s="416">
        <f>'d3'!E181-'d3-п'!E181</f>
        <v>0</v>
      </c>
      <c r="F181" s="416">
        <f>'d3'!F181-'d3-п'!F181</f>
        <v>0</v>
      </c>
      <c r="G181" s="416">
        <f>'d3'!G181-'d3-п'!G181</f>
        <v>0</v>
      </c>
      <c r="H181" s="416">
        <f>'d3'!H181-'d3-п'!H181</f>
        <v>0</v>
      </c>
      <c r="I181" s="416">
        <f>'d3'!I181-'d3-п'!I181</f>
        <v>0</v>
      </c>
      <c r="J181" s="416">
        <f>'d3'!J181-'d3-п'!J181</f>
        <v>0</v>
      </c>
      <c r="K181" s="416">
        <f>'d3'!K181-'d3-п'!K181</f>
        <v>0</v>
      </c>
      <c r="L181" s="416">
        <f>'d3'!L181-'d3-п'!L181</f>
        <v>0</v>
      </c>
      <c r="M181" s="416">
        <f>'d3'!M181-'d3-п'!M181</f>
        <v>0</v>
      </c>
      <c r="N181" s="416">
        <f>'d3'!N181-'d3-п'!N181</f>
        <v>0</v>
      </c>
      <c r="O181" s="416">
        <f>'d3'!O181-'d3-п'!O181</f>
        <v>0</v>
      </c>
      <c r="P181" s="416">
        <f>'d3'!P181-'d3-п'!P181</f>
        <v>0</v>
      </c>
      <c r="Q181" s="273"/>
      <c r="R181" s="336"/>
    </row>
    <row r="182" spans="1:18" ht="138.75" thickTop="1" thickBot="1" x14ac:dyDescent="0.25">
      <c r="A182" s="795" t="s">
        <v>305</v>
      </c>
      <c r="B182" s="795" t="s">
        <v>306</v>
      </c>
      <c r="C182" s="795" t="s">
        <v>373</v>
      </c>
      <c r="D182" s="795" t="s">
        <v>307</v>
      </c>
      <c r="E182" s="416">
        <f>'d3'!E182-'d3-п'!E182</f>
        <v>0</v>
      </c>
      <c r="F182" s="416">
        <f>'d3'!F182-'d3-п'!F182</f>
        <v>0</v>
      </c>
      <c r="G182" s="416">
        <f>'d3'!G182-'d3-п'!G182</f>
        <v>0</v>
      </c>
      <c r="H182" s="416">
        <f>'d3'!H182-'d3-п'!H182</f>
        <v>0</v>
      </c>
      <c r="I182" s="416">
        <f>'d3'!I182-'d3-п'!I182</f>
        <v>0</v>
      </c>
      <c r="J182" s="416">
        <f>'d3'!J182-'d3-п'!J182</f>
        <v>0</v>
      </c>
      <c r="K182" s="416">
        <f>'d3'!K182-'d3-п'!K182</f>
        <v>0</v>
      </c>
      <c r="L182" s="416">
        <f>'d3'!L182-'d3-п'!L182</f>
        <v>0</v>
      </c>
      <c r="M182" s="416">
        <f>'d3'!M182-'d3-п'!M182</f>
        <v>0</v>
      </c>
      <c r="N182" s="416">
        <f>'d3'!N182-'d3-п'!N182</f>
        <v>0</v>
      </c>
      <c r="O182" s="416">
        <f>'d3'!O182-'d3-п'!O182</f>
        <v>0</v>
      </c>
      <c r="P182" s="416">
        <f>'d3'!P182-'d3-п'!P182</f>
        <v>0</v>
      </c>
      <c r="R182" s="336" t="e">
        <f>K182=#REF!</f>
        <v>#REF!</v>
      </c>
    </row>
    <row r="183" spans="1:18" ht="138.75" thickTop="1" thickBot="1" x14ac:dyDescent="0.25">
      <c r="A183" s="795" t="s">
        <v>327</v>
      </c>
      <c r="B183" s="795" t="s">
        <v>328</v>
      </c>
      <c r="C183" s="795" t="s">
        <v>308</v>
      </c>
      <c r="D183" s="795" t="s">
        <v>329</v>
      </c>
      <c r="E183" s="416">
        <f>'d3'!E183-'d3-п'!E183</f>
        <v>0</v>
      </c>
      <c r="F183" s="416">
        <f>'d3'!F183-'d3-п'!F183</f>
        <v>0</v>
      </c>
      <c r="G183" s="416">
        <f>'d3'!G183-'d3-п'!G183</f>
        <v>0</v>
      </c>
      <c r="H183" s="416">
        <f>'d3'!H183-'d3-п'!H183</f>
        <v>0</v>
      </c>
      <c r="I183" s="416">
        <f>'d3'!I183-'d3-п'!I183</f>
        <v>0</v>
      </c>
      <c r="J183" s="416">
        <f>'d3'!J183-'d3-п'!J183</f>
        <v>0</v>
      </c>
      <c r="K183" s="416">
        <f>'d3'!K183-'d3-п'!K183</f>
        <v>0</v>
      </c>
      <c r="L183" s="416">
        <f>'d3'!L183-'d3-п'!L183</f>
        <v>0</v>
      </c>
      <c r="M183" s="416">
        <f>'d3'!M183-'d3-п'!M183</f>
        <v>0</v>
      </c>
      <c r="N183" s="416">
        <f>'d3'!N183-'d3-п'!N183</f>
        <v>0</v>
      </c>
      <c r="O183" s="416">
        <f>'d3'!O183-'d3-п'!O183</f>
        <v>0</v>
      </c>
      <c r="P183" s="416">
        <f>'d3'!P183-'d3-п'!P183</f>
        <v>0</v>
      </c>
      <c r="R183" s="336" t="e">
        <f>K183=#REF!</f>
        <v>#REF!</v>
      </c>
    </row>
    <row r="184" spans="1:18" ht="184.5" thickTop="1" thickBot="1" x14ac:dyDescent="0.25">
      <c r="A184" s="795" t="s">
        <v>309</v>
      </c>
      <c r="B184" s="795" t="s">
        <v>310</v>
      </c>
      <c r="C184" s="795" t="s">
        <v>308</v>
      </c>
      <c r="D184" s="795" t="s">
        <v>514</v>
      </c>
      <c r="E184" s="416">
        <f>'d3'!E184-'d3-п'!E184</f>
        <v>0</v>
      </c>
      <c r="F184" s="416">
        <f>'d3'!F184-'d3-п'!F184</f>
        <v>0</v>
      </c>
      <c r="G184" s="416">
        <f>'d3'!G184-'d3-п'!G184</f>
        <v>0</v>
      </c>
      <c r="H184" s="416">
        <f>'d3'!H184-'d3-п'!H184</f>
        <v>0</v>
      </c>
      <c r="I184" s="416">
        <f>'d3'!I184-'d3-п'!I184</f>
        <v>0</v>
      </c>
      <c r="J184" s="416">
        <f>'d3'!J184-'d3-п'!J184</f>
        <v>0</v>
      </c>
      <c r="K184" s="416">
        <f>'d3'!K184-'d3-п'!K184</f>
        <v>0</v>
      </c>
      <c r="L184" s="416">
        <f>'d3'!L184-'d3-п'!L184</f>
        <v>0</v>
      </c>
      <c r="M184" s="416">
        <f>'d3'!M184-'d3-п'!M184</f>
        <v>0</v>
      </c>
      <c r="N184" s="416">
        <f>'d3'!N184-'d3-п'!N184</f>
        <v>0</v>
      </c>
      <c r="O184" s="416">
        <f>'d3'!O184-'d3-п'!O184</f>
        <v>0</v>
      </c>
      <c r="P184" s="416">
        <f>'d3'!P184-'d3-п'!P184</f>
        <v>0</v>
      </c>
      <c r="R184" s="336" t="e">
        <f>K184=#REF!+#REF!+#REF!+#REF!</f>
        <v>#REF!</v>
      </c>
    </row>
    <row r="185" spans="1:18" ht="230.25" thickTop="1" thickBot="1" x14ac:dyDescent="0.25">
      <c r="A185" s="795" t="s">
        <v>1211</v>
      </c>
      <c r="B185" s="795" t="s">
        <v>323</v>
      </c>
      <c r="C185" s="795" t="s">
        <v>308</v>
      </c>
      <c r="D185" s="795" t="s">
        <v>324</v>
      </c>
      <c r="E185" s="416">
        <f>'d3'!E185-'d3-п'!E185</f>
        <v>0</v>
      </c>
      <c r="F185" s="416">
        <f>'d3'!F185-'d3-п'!F185</f>
        <v>0</v>
      </c>
      <c r="G185" s="416">
        <f>'d3'!G185-'d3-п'!G185</f>
        <v>0</v>
      </c>
      <c r="H185" s="416">
        <f>'d3'!H185-'d3-п'!H185</f>
        <v>0</v>
      </c>
      <c r="I185" s="416">
        <f>'d3'!I185-'d3-п'!I185</f>
        <v>0</v>
      </c>
      <c r="J185" s="416">
        <f>'d3'!J185-'d3-п'!J185</f>
        <v>0</v>
      </c>
      <c r="K185" s="416">
        <f>'d3'!K185-'d3-п'!K185</f>
        <v>0</v>
      </c>
      <c r="L185" s="416">
        <f>'d3'!L185-'d3-п'!L185</f>
        <v>0</v>
      </c>
      <c r="M185" s="416">
        <f>'d3'!M185-'d3-п'!M185</f>
        <v>0</v>
      </c>
      <c r="N185" s="416">
        <f>'d3'!N185-'d3-п'!N185</f>
        <v>0</v>
      </c>
      <c r="O185" s="416">
        <f>'d3'!O185-'d3-п'!O185</f>
        <v>0</v>
      </c>
      <c r="P185" s="416">
        <f>'d3'!P185-'d3-п'!P185</f>
        <v>0</v>
      </c>
      <c r="R185" s="336"/>
    </row>
    <row r="186" spans="1:18" ht="93" thickTop="1" thickBot="1" x14ac:dyDescent="0.25">
      <c r="A186" s="795" t="s">
        <v>313</v>
      </c>
      <c r="B186" s="795" t="s">
        <v>314</v>
      </c>
      <c r="C186" s="795" t="s">
        <v>308</v>
      </c>
      <c r="D186" s="795" t="s">
        <v>315</v>
      </c>
      <c r="E186" s="416">
        <f>'d3'!E186-'d3-п'!E186</f>
        <v>0</v>
      </c>
      <c r="F186" s="416">
        <f>'d3'!F186-'d3-п'!F186</f>
        <v>0</v>
      </c>
      <c r="G186" s="416">
        <f>'d3'!G186-'d3-п'!G186</f>
        <v>0</v>
      </c>
      <c r="H186" s="416">
        <f>'d3'!H186-'d3-п'!H186</f>
        <v>0</v>
      </c>
      <c r="I186" s="416">
        <f>'d3'!I186-'d3-п'!I186</f>
        <v>0</v>
      </c>
      <c r="J186" s="416">
        <f>'d3'!J186-'d3-п'!J186</f>
        <v>0</v>
      </c>
      <c r="K186" s="416">
        <f>'d3'!K186-'d3-п'!K186</f>
        <v>0</v>
      </c>
      <c r="L186" s="416">
        <f>'d3'!L186-'d3-п'!L186</f>
        <v>0</v>
      </c>
      <c r="M186" s="416">
        <f>'d3'!M186-'d3-п'!M186</f>
        <v>0</v>
      </c>
      <c r="N186" s="416">
        <f>'d3'!N186-'d3-п'!N186</f>
        <v>0</v>
      </c>
      <c r="O186" s="416">
        <f>'d3'!O186-'d3-п'!O186</f>
        <v>0</v>
      </c>
      <c r="P186" s="416">
        <f>'d3'!P186-'d3-п'!P186</f>
        <v>0</v>
      </c>
      <c r="R186" s="277"/>
    </row>
    <row r="187" spans="1:18" ht="48" thickTop="1" thickBot="1" x14ac:dyDescent="0.25">
      <c r="A187" s="251" t="s">
        <v>994</v>
      </c>
      <c r="B187" s="251" t="s">
        <v>948</v>
      </c>
      <c r="C187" s="251"/>
      <c r="D187" s="251" t="s">
        <v>995</v>
      </c>
      <c r="E187" s="416">
        <f>'d3'!E187-'d3-п'!E187</f>
        <v>0</v>
      </c>
      <c r="F187" s="416">
        <f>'d3'!F187-'d3-п'!F187</f>
        <v>0</v>
      </c>
      <c r="G187" s="416">
        <f>'d3'!G187-'d3-п'!G187</f>
        <v>0</v>
      </c>
      <c r="H187" s="416">
        <f>'d3'!H187-'d3-п'!H187</f>
        <v>0</v>
      </c>
      <c r="I187" s="416">
        <f>'d3'!I187-'d3-п'!I187</f>
        <v>0</v>
      </c>
      <c r="J187" s="416">
        <f>'d3'!J187-'d3-п'!J187</f>
        <v>0</v>
      </c>
      <c r="K187" s="416">
        <f>'d3'!K187-'d3-п'!K187</f>
        <v>0</v>
      </c>
      <c r="L187" s="416">
        <f>'d3'!L187-'d3-п'!L187</f>
        <v>0</v>
      </c>
      <c r="M187" s="416">
        <f>'d3'!M187-'d3-п'!M187</f>
        <v>0</v>
      </c>
      <c r="N187" s="416">
        <f>'d3'!N187-'d3-п'!N187</f>
        <v>0</v>
      </c>
      <c r="O187" s="416">
        <f>'d3'!O187-'d3-п'!O187</f>
        <v>0</v>
      </c>
      <c r="P187" s="416">
        <f>'d3'!P187-'d3-п'!P187</f>
        <v>0</v>
      </c>
      <c r="R187" s="277"/>
    </row>
    <row r="188" spans="1:18" ht="136.5" thickTop="1" thickBot="1" x14ac:dyDescent="0.25">
      <c r="A188" s="557" t="s">
        <v>996</v>
      </c>
      <c r="B188" s="557" t="s">
        <v>887</v>
      </c>
      <c r="C188" s="557"/>
      <c r="D188" s="557" t="s">
        <v>885</v>
      </c>
      <c r="E188" s="416">
        <f>'d3'!E188-'d3-п'!E188</f>
        <v>0</v>
      </c>
      <c r="F188" s="416">
        <f>'d3'!F188-'d3-п'!F188</f>
        <v>0</v>
      </c>
      <c r="G188" s="416">
        <f>'d3'!G188-'d3-п'!G188</f>
        <v>0</v>
      </c>
      <c r="H188" s="416">
        <f>'d3'!H188-'d3-п'!H188</f>
        <v>0</v>
      </c>
      <c r="I188" s="416">
        <f>'d3'!I188-'d3-п'!I188</f>
        <v>0</v>
      </c>
      <c r="J188" s="416">
        <f>'d3'!J188-'d3-п'!J188</f>
        <v>0</v>
      </c>
      <c r="K188" s="416">
        <f>'d3'!K188-'d3-п'!K188</f>
        <v>0</v>
      </c>
      <c r="L188" s="416">
        <f>'d3'!L188-'d3-п'!L188</f>
        <v>0</v>
      </c>
      <c r="M188" s="416">
        <f>'d3'!M188-'d3-п'!M188</f>
        <v>0</v>
      </c>
      <c r="N188" s="416">
        <f>'d3'!N188-'d3-п'!N188</f>
        <v>0</v>
      </c>
      <c r="O188" s="416">
        <f>'d3'!O188-'d3-п'!O188</f>
        <v>0</v>
      </c>
      <c r="P188" s="416">
        <f>'d3'!P188-'d3-п'!P188</f>
        <v>0</v>
      </c>
      <c r="R188" s="277"/>
    </row>
    <row r="189" spans="1:18" ht="48" thickTop="1" thickBot="1" x14ac:dyDescent="0.25">
      <c r="A189" s="795" t="s">
        <v>322</v>
      </c>
      <c r="B189" s="795" t="s">
        <v>237</v>
      </c>
      <c r="C189" s="795" t="s">
        <v>238</v>
      </c>
      <c r="D189" s="795" t="s">
        <v>43</v>
      </c>
      <c r="E189" s="416">
        <f>'d3'!E189-'d3-п'!E189</f>
        <v>0</v>
      </c>
      <c r="F189" s="416">
        <f>'d3'!F189-'d3-п'!F189</f>
        <v>0</v>
      </c>
      <c r="G189" s="416">
        <f>'d3'!G189-'d3-п'!G189</f>
        <v>0</v>
      </c>
      <c r="H189" s="416">
        <f>'d3'!H189-'d3-п'!H189</f>
        <v>0</v>
      </c>
      <c r="I189" s="416">
        <f>'d3'!I189-'d3-п'!I189</f>
        <v>0</v>
      </c>
      <c r="J189" s="416">
        <f>'d3'!J189-'d3-п'!J189</f>
        <v>0</v>
      </c>
      <c r="K189" s="416">
        <f>'d3'!K189-'d3-п'!K189</f>
        <v>0</v>
      </c>
      <c r="L189" s="416">
        <f>'d3'!L189-'d3-п'!L189</f>
        <v>0</v>
      </c>
      <c r="M189" s="416">
        <f>'d3'!M189-'d3-п'!M189</f>
        <v>0</v>
      </c>
      <c r="N189" s="416">
        <f>'d3'!N189-'d3-п'!N189</f>
        <v>0</v>
      </c>
      <c r="O189" s="416">
        <f>'d3'!O189-'d3-п'!O189</f>
        <v>0</v>
      </c>
      <c r="P189" s="416">
        <f>'d3'!P189-'d3-п'!P189</f>
        <v>0</v>
      </c>
      <c r="R189" s="336" t="e">
        <f>K189=#REF!</f>
        <v>#REF!</v>
      </c>
    </row>
    <row r="190" spans="1:18" ht="93" thickTop="1" thickBot="1" x14ac:dyDescent="0.25">
      <c r="A190" s="795" t="s">
        <v>1178</v>
      </c>
      <c r="B190" s="795" t="s">
        <v>222</v>
      </c>
      <c r="C190" s="795" t="s">
        <v>191</v>
      </c>
      <c r="D190" s="795" t="s">
        <v>36</v>
      </c>
      <c r="E190" s="416">
        <f>'d3'!E190-'d3-п'!E190</f>
        <v>0</v>
      </c>
      <c r="F190" s="416">
        <f>'d3'!F190-'d3-п'!F190</f>
        <v>0</v>
      </c>
      <c r="G190" s="416">
        <f>'d3'!G190-'d3-п'!G190</f>
        <v>0</v>
      </c>
      <c r="H190" s="416">
        <f>'d3'!H190-'d3-п'!H190</f>
        <v>0</v>
      </c>
      <c r="I190" s="416">
        <f>'d3'!I190-'d3-п'!I190</f>
        <v>0</v>
      </c>
      <c r="J190" s="416">
        <f>'d3'!J190-'d3-п'!J190</f>
        <v>0</v>
      </c>
      <c r="K190" s="416">
        <f>'d3'!K190-'d3-п'!K190</f>
        <v>0</v>
      </c>
      <c r="L190" s="416">
        <f>'d3'!L190-'d3-п'!L190</f>
        <v>0</v>
      </c>
      <c r="M190" s="416">
        <f>'d3'!M190-'d3-п'!M190</f>
        <v>0</v>
      </c>
      <c r="N190" s="416">
        <f>'d3'!N190-'d3-п'!N190</f>
        <v>0</v>
      </c>
      <c r="O190" s="416">
        <f>'d3'!O190-'d3-п'!O190</f>
        <v>0</v>
      </c>
      <c r="P190" s="416">
        <f>'d3'!P190-'d3-п'!P190</f>
        <v>0</v>
      </c>
      <c r="R190" s="336" t="e">
        <f>K190=#REF!+#REF!</f>
        <v>#REF!</v>
      </c>
    </row>
    <row r="191" spans="1:18" ht="48" thickTop="1" thickBot="1" x14ac:dyDescent="0.25">
      <c r="A191" s="552" t="s">
        <v>997</v>
      </c>
      <c r="B191" s="552" t="s">
        <v>890</v>
      </c>
      <c r="C191" s="552"/>
      <c r="D191" s="552" t="s">
        <v>998</v>
      </c>
      <c r="E191" s="416">
        <f>'d3'!E191-'d3-п'!E191</f>
        <v>0</v>
      </c>
      <c r="F191" s="416">
        <f>'d3'!F191-'d3-п'!F191</f>
        <v>0</v>
      </c>
      <c r="G191" s="416">
        <f>'d3'!G191-'d3-п'!G191</f>
        <v>0</v>
      </c>
      <c r="H191" s="416">
        <f>'d3'!H191-'d3-п'!H191</f>
        <v>0</v>
      </c>
      <c r="I191" s="416">
        <f>'d3'!I191-'d3-п'!I191</f>
        <v>0</v>
      </c>
      <c r="J191" s="416">
        <f>'d3'!J191-'d3-п'!J191</f>
        <v>0</v>
      </c>
      <c r="K191" s="416">
        <f>'d3'!K191-'d3-п'!K191</f>
        <v>0</v>
      </c>
      <c r="L191" s="416">
        <f>'d3'!L191-'d3-п'!L191</f>
        <v>0</v>
      </c>
      <c r="M191" s="416">
        <f>'d3'!M191-'d3-п'!M191</f>
        <v>0</v>
      </c>
      <c r="N191" s="416">
        <f>'d3'!N191-'d3-п'!N191</f>
        <v>0</v>
      </c>
      <c r="O191" s="416">
        <f>'d3'!O191-'d3-п'!O191</f>
        <v>0</v>
      </c>
      <c r="P191" s="416">
        <f>'d3'!P191-'d3-п'!P191</f>
        <v>0</v>
      </c>
      <c r="R191" s="277"/>
    </row>
    <row r="192" spans="1:18" ht="409.6" thickTop="1" thickBot="1" x14ac:dyDescent="0.7">
      <c r="A192" s="875" t="s">
        <v>462</v>
      </c>
      <c r="B192" s="875" t="s">
        <v>371</v>
      </c>
      <c r="C192" s="875" t="s">
        <v>191</v>
      </c>
      <c r="D192" s="420" t="s">
        <v>483</v>
      </c>
      <c r="E192" s="989">
        <f>'d3'!E192-'d3-п'!E192</f>
        <v>0</v>
      </c>
      <c r="F192" s="989">
        <f>'d3'!F192-'d3-п'!F192</f>
        <v>0</v>
      </c>
      <c r="G192" s="989">
        <f>'d3'!G192-'d3-п'!G192</f>
        <v>0</v>
      </c>
      <c r="H192" s="989">
        <f>'d3'!H192-'d3-п'!H192</f>
        <v>0</v>
      </c>
      <c r="I192" s="989">
        <f>'d3'!I192-'d3-п'!I192</f>
        <v>0</v>
      </c>
      <c r="J192" s="989">
        <f>'d3'!J192-'d3-п'!J192</f>
        <v>0</v>
      </c>
      <c r="K192" s="989">
        <f>'d3'!K192-'d3-п'!K192</f>
        <v>0</v>
      </c>
      <c r="L192" s="989">
        <f>'d3'!L192-'d3-п'!L192</f>
        <v>0</v>
      </c>
      <c r="M192" s="989">
        <f>'d3'!M192-'d3-п'!M192</f>
        <v>0</v>
      </c>
      <c r="N192" s="989">
        <f>'d3'!N192-'d3-п'!N192</f>
        <v>0</v>
      </c>
      <c r="O192" s="989">
        <f>'d3'!O192-'d3-п'!O192</f>
        <v>0</v>
      </c>
      <c r="P192" s="989">
        <f>'d3'!P192-'d3-п'!P192</f>
        <v>0</v>
      </c>
      <c r="R192" s="277"/>
    </row>
    <row r="193" spans="1:18" ht="184.5" thickTop="1" thickBot="1" x14ac:dyDescent="0.25">
      <c r="A193" s="875"/>
      <c r="B193" s="875"/>
      <c r="C193" s="875"/>
      <c r="D193" s="424" t="s">
        <v>484</v>
      </c>
      <c r="E193" s="929"/>
      <c r="F193" s="929"/>
      <c r="G193" s="929"/>
      <c r="H193" s="929"/>
      <c r="I193" s="929"/>
      <c r="J193" s="929"/>
      <c r="K193" s="929"/>
      <c r="L193" s="929"/>
      <c r="M193" s="929"/>
      <c r="N193" s="929"/>
      <c r="O193" s="929"/>
      <c r="P193" s="929"/>
      <c r="R193" s="277"/>
    </row>
    <row r="194" spans="1:18" ht="181.5" thickTop="1" thickBot="1" x14ac:dyDescent="0.25">
      <c r="A194" s="680" t="s">
        <v>662</v>
      </c>
      <c r="B194" s="680"/>
      <c r="C194" s="680"/>
      <c r="D194" s="681" t="s">
        <v>696</v>
      </c>
      <c r="E194" s="682">
        <f>E195</f>
        <v>0</v>
      </c>
      <c r="F194" s="683">
        <f t="shared" ref="F194:G194" si="45">F195</f>
        <v>0</v>
      </c>
      <c r="G194" s="683">
        <f t="shared" si="45"/>
        <v>0</v>
      </c>
      <c r="H194" s="683">
        <f>H195</f>
        <v>0</v>
      </c>
      <c r="I194" s="683">
        <f t="shared" ref="I194" si="46">I195</f>
        <v>0</v>
      </c>
      <c r="J194" s="682">
        <f>J195</f>
        <v>-6800000.0000000149</v>
      </c>
      <c r="K194" s="683">
        <f>K195</f>
        <v>-6799999.9999999851</v>
      </c>
      <c r="L194" s="683">
        <f>L195</f>
        <v>0</v>
      </c>
      <c r="M194" s="683">
        <f t="shared" ref="M194" si="47">M195</f>
        <v>0</v>
      </c>
      <c r="N194" s="682">
        <f>N195</f>
        <v>0</v>
      </c>
      <c r="O194" s="682">
        <f>O195</f>
        <v>-6800000.0000000149</v>
      </c>
      <c r="P194" s="683">
        <f>P195</f>
        <v>-6800000.0000000149</v>
      </c>
      <c r="R194" s="277"/>
    </row>
    <row r="195" spans="1:18" ht="181.5" thickTop="1" thickBot="1" x14ac:dyDescent="0.25">
      <c r="A195" s="684" t="s">
        <v>663</v>
      </c>
      <c r="B195" s="684"/>
      <c r="C195" s="684"/>
      <c r="D195" s="685" t="s">
        <v>697</v>
      </c>
      <c r="E195" s="686">
        <f>E196+E200+E206+E217</f>
        <v>0</v>
      </c>
      <c r="F195" s="686">
        <f t="shared" ref="F195:I195" si="48">F196+F200+F206+F217</f>
        <v>0</v>
      </c>
      <c r="G195" s="686">
        <f t="shared" si="48"/>
        <v>0</v>
      </c>
      <c r="H195" s="686">
        <f t="shared" si="48"/>
        <v>0</v>
      </c>
      <c r="I195" s="686">
        <f t="shared" si="48"/>
        <v>0</v>
      </c>
      <c r="J195" s="686">
        <f t="shared" ref="J195" si="49">L195+O195</f>
        <v>-6800000.0000000149</v>
      </c>
      <c r="K195" s="686">
        <f t="shared" ref="K195:O195" si="50">K196+K200+K206+K217</f>
        <v>-6799999.9999999851</v>
      </c>
      <c r="L195" s="686">
        <f t="shared" si="50"/>
        <v>0</v>
      </c>
      <c r="M195" s="686">
        <f t="shared" si="50"/>
        <v>0</v>
      </c>
      <c r="N195" s="686">
        <f t="shared" si="50"/>
        <v>0</v>
      </c>
      <c r="O195" s="686">
        <f t="shared" si="50"/>
        <v>-6800000.0000000149</v>
      </c>
      <c r="P195" s="687">
        <f>E195+J195</f>
        <v>-6800000.0000000149</v>
      </c>
      <c r="Q195" s="181" t="b">
        <f>P195=P197+P198+P199+P202+P203+P204+P205+P208+P210+P212+P213+P215+P219+P220+P221</f>
        <v>0</v>
      </c>
      <c r="R195" s="181" t="e">
        <f>K195=#REF!</f>
        <v>#REF!</v>
      </c>
    </row>
    <row r="196" spans="1:18" ht="48" thickTop="1" thickBot="1" x14ac:dyDescent="0.25">
      <c r="A196" s="251" t="s">
        <v>999</v>
      </c>
      <c r="B196" s="251" t="s">
        <v>880</v>
      </c>
      <c r="C196" s="251"/>
      <c r="D196" s="251" t="s">
        <v>881</v>
      </c>
      <c r="E196" s="416">
        <f>'d3'!E196-'d3-п'!E196</f>
        <v>0</v>
      </c>
      <c r="F196" s="416">
        <f>'d3'!F196-'d3-п'!F196</f>
        <v>0</v>
      </c>
      <c r="G196" s="416">
        <f>'d3'!G196-'d3-п'!G196</f>
        <v>0</v>
      </c>
      <c r="H196" s="416">
        <f>'d3'!H196-'d3-п'!H196</f>
        <v>0</v>
      </c>
      <c r="I196" s="416">
        <f>'d3'!I196-'d3-п'!I196</f>
        <v>0</v>
      </c>
      <c r="J196" s="416">
        <f>'d3'!J196-'d3-п'!J196</f>
        <v>0</v>
      </c>
      <c r="K196" s="416">
        <f>'d3'!K196-'d3-п'!K196</f>
        <v>0</v>
      </c>
      <c r="L196" s="416">
        <f>'d3'!L196-'d3-п'!L196</f>
        <v>0</v>
      </c>
      <c r="M196" s="416">
        <f>'d3'!M196-'d3-п'!M196</f>
        <v>0</v>
      </c>
      <c r="N196" s="416">
        <f>'d3'!N196-'d3-п'!N196</f>
        <v>0</v>
      </c>
      <c r="O196" s="416">
        <f>'d3'!O196-'d3-п'!O196</f>
        <v>0</v>
      </c>
      <c r="P196" s="416">
        <f>'d3'!P196-'d3-п'!P196</f>
        <v>0</v>
      </c>
      <c r="Q196" s="181"/>
      <c r="R196" s="181"/>
    </row>
    <row r="197" spans="1:18" ht="230.25" thickTop="1" thickBot="1" x14ac:dyDescent="0.25">
      <c r="A197" s="795" t="s">
        <v>664</v>
      </c>
      <c r="B197" s="795" t="s">
        <v>261</v>
      </c>
      <c r="C197" s="795" t="s">
        <v>259</v>
      </c>
      <c r="D197" s="795" t="s">
        <v>260</v>
      </c>
      <c r="E197" s="416">
        <f>'d3'!E197-'d3-п'!E197</f>
        <v>0</v>
      </c>
      <c r="F197" s="416">
        <f>'d3'!F197-'d3-п'!F197</f>
        <v>0</v>
      </c>
      <c r="G197" s="416">
        <f>'d3'!G197-'d3-п'!G197</f>
        <v>0</v>
      </c>
      <c r="H197" s="416">
        <f>'d3'!H197-'d3-п'!H197</f>
        <v>0</v>
      </c>
      <c r="I197" s="416">
        <f>'d3'!I197-'d3-п'!I197</f>
        <v>0</v>
      </c>
      <c r="J197" s="416">
        <f>'d3'!J197-'d3-п'!J197</f>
        <v>0</v>
      </c>
      <c r="K197" s="416">
        <f>'d3'!K197-'d3-п'!K197</f>
        <v>0</v>
      </c>
      <c r="L197" s="416">
        <f>'d3'!L197-'d3-п'!L197</f>
        <v>0</v>
      </c>
      <c r="M197" s="416">
        <f>'d3'!M197-'d3-п'!M197</f>
        <v>0</v>
      </c>
      <c r="N197" s="416">
        <f>'d3'!N197-'d3-п'!N197</f>
        <v>0</v>
      </c>
      <c r="O197" s="416">
        <f>'d3'!O197-'d3-п'!O197</f>
        <v>0</v>
      </c>
      <c r="P197" s="416">
        <f>'d3'!P197-'d3-п'!P197</f>
        <v>0</v>
      </c>
      <c r="R197" s="181" t="e">
        <f>K197=#REF!</f>
        <v>#REF!</v>
      </c>
    </row>
    <row r="198" spans="1:18" ht="184.5" thickTop="1" thickBot="1" x14ac:dyDescent="0.25">
      <c r="A198" s="804" t="s">
        <v>824</v>
      </c>
      <c r="B198" s="804" t="s">
        <v>398</v>
      </c>
      <c r="C198" s="804" t="s">
        <v>815</v>
      </c>
      <c r="D198" s="804" t="s">
        <v>816</v>
      </c>
      <c r="E198" s="416">
        <f>'d3'!E198-'d3-п'!E198</f>
        <v>0</v>
      </c>
      <c r="F198" s="416">
        <f>'d3'!F198-'d3-п'!F198</f>
        <v>0</v>
      </c>
      <c r="G198" s="416">
        <f>'d3'!G198-'d3-п'!G198</f>
        <v>0</v>
      </c>
      <c r="H198" s="416">
        <f>'d3'!H198-'d3-п'!H198</f>
        <v>0</v>
      </c>
      <c r="I198" s="416">
        <f>'d3'!I198-'d3-п'!I198</f>
        <v>0</v>
      </c>
      <c r="J198" s="416">
        <f>'d3'!J198-'d3-п'!J198</f>
        <v>0</v>
      </c>
      <c r="K198" s="416">
        <f>'d3'!K198-'d3-п'!K198</f>
        <v>0</v>
      </c>
      <c r="L198" s="416">
        <f>'d3'!L198-'d3-п'!L198</f>
        <v>0</v>
      </c>
      <c r="M198" s="416">
        <f>'d3'!M198-'d3-п'!M198</f>
        <v>0</v>
      </c>
      <c r="N198" s="416">
        <f>'d3'!N198-'d3-п'!N198</f>
        <v>0</v>
      </c>
      <c r="O198" s="416">
        <f>'d3'!O198-'d3-п'!O198</f>
        <v>0</v>
      </c>
      <c r="P198" s="416">
        <f>'d3'!P198-'d3-п'!P198</f>
        <v>0</v>
      </c>
      <c r="R198" s="181"/>
    </row>
    <row r="199" spans="1:18" ht="93" thickTop="1" thickBot="1" x14ac:dyDescent="0.25">
      <c r="A199" s="795" t="s">
        <v>665</v>
      </c>
      <c r="B199" s="795" t="s">
        <v>45</v>
      </c>
      <c r="C199" s="795" t="s">
        <v>44</v>
      </c>
      <c r="D199" s="795" t="s">
        <v>273</v>
      </c>
      <c r="E199" s="416">
        <f>'d3'!E199-'d3-п'!E199</f>
        <v>0</v>
      </c>
      <c r="F199" s="416">
        <f>'d3'!F199-'d3-п'!F199</f>
        <v>0</v>
      </c>
      <c r="G199" s="416">
        <f>'d3'!G199-'d3-п'!G199</f>
        <v>0</v>
      </c>
      <c r="H199" s="416">
        <f>'d3'!H199-'d3-п'!H199</f>
        <v>0</v>
      </c>
      <c r="I199" s="416">
        <f>'d3'!I199-'d3-п'!I199</f>
        <v>0</v>
      </c>
      <c r="J199" s="416">
        <f>'d3'!J199-'d3-п'!J199</f>
        <v>0</v>
      </c>
      <c r="K199" s="416">
        <f>'d3'!K199-'d3-п'!K199</f>
        <v>0</v>
      </c>
      <c r="L199" s="416">
        <f>'d3'!L199-'d3-п'!L199</f>
        <v>0</v>
      </c>
      <c r="M199" s="416">
        <f>'d3'!M199-'d3-п'!M199</f>
        <v>0</v>
      </c>
      <c r="N199" s="416">
        <f>'d3'!N199-'d3-п'!N199</f>
        <v>0</v>
      </c>
      <c r="O199" s="416">
        <f>'d3'!O199-'d3-п'!O199</f>
        <v>0</v>
      </c>
      <c r="P199" s="416">
        <f>'d3'!P199-'d3-п'!P199</f>
        <v>0</v>
      </c>
      <c r="R199" s="277"/>
    </row>
    <row r="200" spans="1:18" ht="91.5" thickTop="1" thickBot="1" x14ac:dyDescent="0.25">
      <c r="A200" s="251" t="s">
        <v>1000</v>
      </c>
      <c r="B200" s="757" t="s">
        <v>942</v>
      </c>
      <c r="C200" s="757"/>
      <c r="D200" s="556" t="s">
        <v>943</v>
      </c>
      <c r="E200" s="416">
        <f>'d3'!E200-'d3-п'!E200</f>
        <v>0</v>
      </c>
      <c r="F200" s="416">
        <f>'d3'!F200-'d3-п'!F200</f>
        <v>0</v>
      </c>
      <c r="G200" s="416">
        <f>'d3'!G200-'d3-п'!G200</f>
        <v>0</v>
      </c>
      <c r="H200" s="416">
        <f>'d3'!H200-'d3-п'!H200</f>
        <v>0</v>
      </c>
      <c r="I200" s="416">
        <f>'d3'!I200-'d3-п'!I200</f>
        <v>0</v>
      </c>
      <c r="J200" s="416">
        <f>'d3'!J200-'d3-п'!J200</f>
        <v>0</v>
      </c>
      <c r="K200" s="416">
        <f>'d3'!K200-'d3-п'!K200</f>
        <v>0</v>
      </c>
      <c r="L200" s="416">
        <f>'d3'!L200-'d3-п'!L200</f>
        <v>0</v>
      </c>
      <c r="M200" s="416">
        <f>'d3'!M200-'d3-п'!M200</f>
        <v>0</v>
      </c>
      <c r="N200" s="416">
        <f>'d3'!N200-'d3-п'!N200</f>
        <v>0</v>
      </c>
      <c r="O200" s="416">
        <f>'d3'!O200-'d3-п'!O200</f>
        <v>0</v>
      </c>
      <c r="P200" s="416">
        <f>'d3'!P200-'d3-п'!P200</f>
        <v>0</v>
      </c>
      <c r="R200" s="277"/>
    </row>
    <row r="201" spans="1:18" ht="184.5" thickTop="1" thickBot="1" x14ac:dyDescent="0.25">
      <c r="A201" s="552" t="s">
        <v>1001</v>
      </c>
      <c r="B201" s="759" t="s">
        <v>992</v>
      </c>
      <c r="C201" s="759"/>
      <c r="D201" s="759" t="s">
        <v>993</v>
      </c>
      <c r="E201" s="416">
        <f>'d3'!E201-'d3-п'!E201</f>
        <v>0</v>
      </c>
      <c r="F201" s="416">
        <f>'d3'!F201-'d3-п'!F201</f>
        <v>0</v>
      </c>
      <c r="G201" s="416">
        <f>'d3'!G201-'d3-п'!G201</f>
        <v>0</v>
      </c>
      <c r="H201" s="416">
        <f>'d3'!H201-'d3-п'!H201</f>
        <v>0</v>
      </c>
      <c r="I201" s="416">
        <f>'d3'!I201-'d3-п'!I201</f>
        <v>0</v>
      </c>
      <c r="J201" s="416">
        <f>'d3'!J201-'d3-п'!J201</f>
        <v>0</v>
      </c>
      <c r="K201" s="416">
        <f>'d3'!K201-'d3-п'!K201</f>
        <v>0</v>
      </c>
      <c r="L201" s="416">
        <f>'d3'!L201-'d3-п'!L201</f>
        <v>0</v>
      </c>
      <c r="M201" s="416">
        <f>'d3'!M201-'d3-п'!M201</f>
        <v>0</v>
      </c>
      <c r="N201" s="416">
        <f>'d3'!N201-'d3-п'!N201</f>
        <v>0</v>
      </c>
      <c r="O201" s="416">
        <f>'d3'!O201-'d3-п'!O201</f>
        <v>0</v>
      </c>
      <c r="P201" s="416">
        <f>'d3'!P201-'d3-п'!P201</f>
        <v>0</v>
      </c>
      <c r="R201" s="277"/>
    </row>
    <row r="202" spans="1:18" ht="138.75" thickTop="1" thickBot="1" x14ac:dyDescent="0.25">
      <c r="A202" s="795" t="s">
        <v>666</v>
      </c>
      <c r="B202" s="795" t="s">
        <v>413</v>
      </c>
      <c r="C202" s="795" t="s">
        <v>308</v>
      </c>
      <c r="D202" s="795" t="s">
        <v>414</v>
      </c>
      <c r="E202" s="416">
        <f>'d3'!E202-'d3-п'!E202</f>
        <v>0</v>
      </c>
      <c r="F202" s="416">
        <f>'d3'!F202-'d3-п'!F202</f>
        <v>0</v>
      </c>
      <c r="G202" s="416">
        <f>'d3'!G202-'d3-п'!G202</f>
        <v>0</v>
      </c>
      <c r="H202" s="416">
        <f>'d3'!H202-'d3-п'!H202</f>
        <v>0</v>
      </c>
      <c r="I202" s="416">
        <f>'d3'!I202-'d3-п'!I202</f>
        <v>0</v>
      </c>
      <c r="J202" s="416">
        <f>'d3'!J202-'d3-п'!J202</f>
        <v>0</v>
      </c>
      <c r="K202" s="416">
        <f>'d3'!K202-'d3-п'!K202</f>
        <v>0</v>
      </c>
      <c r="L202" s="416">
        <f>'d3'!L202-'d3-п'!L202</f>
        <v>0</v>
      </c>
      <c r="M202" s="416">
        <f>'d3'!M202-'d3-п'!M202</f>
        <v>0</v>
      </c>
      <c r="N202" s="416">
        <f>'d3'!N202-'d3-п'!N202</f>
        <v>0</v>
      </c>
      <c r="O202" s="416">
        <f>'d3'!O202-'d3-п'!O202</f>
        <v>0</v>
      </c>
      <c r="P202" s="416">
        <f>'d3'!P202-'d3-п'!P202</f>
        <v>0</v>
      </c>
      <c r="R202" s="277"/>
    </row>
    <row r="203" spans="1:18" ht="138.75" thickTop="1" thickBot="1" x14ac:dyDescent="0.25">
      <c r="A203" s="795" t="s">
        <v>667</v>
      </c>
      <c r="B203" s="795" t="s">
        <v>311</v>
      </c>
      <c r="C203" s="795" t="s">
        <v>308</v>
      </c>
      <c r="D203" s="795" t="s">
        <v>312</v>
      </c>
      <c r="E203" s="416">
        <f>'d3'!E203-'d3-п'!E203</f>
        <v>0</v>
      </c>
      <c r="F203" s="416">
        <f>'d3'!F203-'d3-п'!F203</f>
        <v>0</v>
      </c>
      <c r="G203" s="416">
        <f>'d3'!G203-'d3-п'!G203</f>
        <v>0</v>
      </c>
      <c r="H203" s="416">
        <f>'d3'!H203-'d3-п'!H203</f>
        <v>0</v>
      </c>
      <c r="I203" s="416">
        <f>'d3'!I203-'d3-п'!I203</f>
        <v>0</v>
      </c>
      <c r="J203" s="416">
        <f>'d3'!J203-'d3-п'!J203</f>
        <v>0</v>
      </c>
      <c r="K203" s="416">
        <f>'d3'!K203-'d3-п'!K203</f>
        <v>0</v>
      </c>
      <c r="L203" s="416">
        <f>'d3'!L203-'d3-п'!L203</f>
        <v>0</v>
      </c>
      <c r="M203" s="416">
        <f>'d3'!M203-'d3-п'!M203</f>
        <v>0</v>
      </c>
      <c r="N203" s="416">
        <f>'d3'!N203-'d3-п'!N203</f>
        <v>0</v>
      </c>
      <c r="O203" s="416">
        <f>'d3'!O203-'d3-п'!O203</f>
        <v>0</v>
      </c>
      <c r="P203" s="416">
        <f>'d3'!P203-'d3-п'!P203</f>
        <v>0</v>
      </c>
      <c r="R203" s="277"/>
    </row>
    <row r="204" spans="1:18" ht="230.25" thickTop="1" thickBot="1" x14ac:dyDescent="0.25">
      <c r="A204" s="795" t="s">
        <v>668</v>
      </c>
      <c r="B204" s="795" t="s">
        <v>323</v>
      </c>
      <c r="C204" s="795" t="s">
        <v>308</v>
      </c>
      <c r="D204" s="795" t="s">
        <v>324</v>
      </c>
      <c r="E204" s="416">
        <f>'d3'!E204-'d3-п'!E204</f>
        <v>0</v>
      </c>
      <c r="F204" s="416">
        <f>'d3'!F204-'d3-п'!F204</f>
        <v>0</v>
      </c>
      <c r="G204" s="416">
        <f>'d3'!G204-'d3-п'!G204</f>
        <v>0</v>
      </c>
      <c r="H204" s="416">
        <f>'d3'!H204-'d3-п'!H204</f>
        <v>0</v>
      </c>
      <c r="I204" s="416">
        <f>'d3'!I204-'d3-п'!I204</f>
        <v>0</v>
      </c>
      <c r="J204" s="416">
        <f>'d3'!J204-'d3-п'!J204</f>
        <v>0</v>
      </c>
      <c r="K204" s="416">
        <f>'d3'!K204-'d3-п'!K204</f>
        <v>0</v>
      </c>
      <c r="L204" s="416">
        <f>'d3'!L204-'d3-п'!L204</f>
        <v>0</v>
      </c>
      <c r="M204" s="416">
        <f>'d3'!M204-'d3-п'!M204</f>
        <v>0</v>
      </c>
      <c r="N204" s="416">
        <f>'d3'!N204-'d3-п'!N204</f>
        <v>0</v>
      </c>
      <c r="O204" s="416">
        <f>'d3'!O204-'d3-п'!O204</f>
        <v>0</v>
      </c>
      <c r="P204" s="416">
        <f>'d3'!P204-'d3-п'!P204</f>
        <v>0</v>
      </c>
      <c r="R204" s="277"/>
    </row>
    <row r="205" spans="1:18" ht="93" thickTop="1" thickBot="1" x14ac:dyDescent="0.25">
      <c r="A205" s="795" t="s">
        <v>669</v>
      </c>
      <c r="B205" s="795" t="s">
        <v>314</v>
      </c>
      <c r="C205" s="795" t="s">
        <v>308</v>
      </c>
      <c r="D205" s="795" t="s">
        <v>315</v>
      </c>
      <c r="E205" s="416">
        <f>'d3'!E205-'d3-п'!E205</f>
        <v>0</v>
      </c>
      <c r="F205" s="416">
        <f>'d3'!F205-'d3-п'!F205</f>
        <v>0</v>
      </c>
      <c r="G205" s="416">
        <f>'d3'!G205-'d3-п'!G205</f>
        <v>0</v>
      </c>
      <c r="H205" s="416">
        <f>'d3'!H205-'d3-п'!H205</f>
        <v>0</v>
      </c>
      <c r="I205" s="416">
        <f>'d3'!I205-'d3-п'!I205</f>
        <v>0</v>
      </c>
      <c r="J205" s="416">
        <f>'d3'!J205-'d3-п'!J205</f>
        <v>0</v>
      </c>
      <c r="K205" s="416">
        <f>'d3'!K205-'d3-п'!K205</f>
        <v>0</v>
      </c>
      <c r="L205" s="416">
        <f>'d3'!L205-'d3-п'!L205</f>
        <v>0</v>
      </c>
      <c r="M205" s="416">
        <f>'d3'!M205-'d3-п'!M205</f>
        <v>0</v>
      </c>
      <c r="N205" s="416">
        <f>'d3'!N205-'d3-п'!N205</f>
        <v>0</v>
      </c>
      <c r="O205" s="416">
        <f>'d3'!O205-'d3-п'!O205</f>
        <v>0</v>
      </c>
      <c r="P205" s="416">
        <f>'d3'!P205-'d3-п'!P205</f>
        <v>0</v>
      </c>
      <c r="R205" s="181" t="e">
        <f>K205=#REF!+#REF!+#REF!+#REF!+#REF!+#REF!+#REF!+#REF!+#REF!+#REF!+#REF!+#REF!+#REF!+#REF!+#REF!+#REF!</f>
        <v>#REF!</v>
      </c>
    </row>
    <row r="206" spans="1:18" ht="48" thickTop="1" thickBot="1" x14ac:dyDescent="0.25">
      <c r="A206" s="251" t="s">
        <v>1002</v>
      </c>
      <c r="B206" s="757" t="s">
        <v>948</v>
      </c>
      <c r="C206" s="757"/>
      <c r="D206" s="757" t="s">
        <v>949</v>
      </c>
      <c r="E206" s="416">
        <f>'d3'!E206-'d3-п'!E206</f>
        <v>0</v>
      </c>
      <c r="F206" s="416">
        <f>'d3'!F206-'d3-п'!F206</f>
        <v>0</v>
      </c>
      <c r="G206" s="416">
        <f>'d3'!G206-'d3-п'!G206</f>
        <v>0</v>
      </c>
      <c r="H206" s="416">
        <f>'d3'!H206-'d3-п'!H206</f>
        <v>0</v>
      </c>
      <c r="I206" s="416">
        <f>'d3'!I206-'d3-п'!I206</f>
        <v>0</v>
      </c>
      <c r="J206" s="416">
        <f>'d3'!J206-'d3-п'!J206</f>
        <v>-6800000.0000000149</v>
      </c>
      <c r="K206" s="416">
        <f>'d3'!K206-'d3-п'!K206</f>
        <v>-6799999.9999999851</v>
      </c>
      <c r="L206" s="416">
        <f>'d3'!L206-'d3-п'!L206</f>
        <v>0</v>
      </c>
      <c r="M206" s="416">
        <f>'d3'!M206-'d3-п'!M206</f>
        <v>0</v>
      </c>
      <c r="N206" s="416">
        <f>'d3'!N206-'d3-п'!N206</f>
        <v>0</v>
      </c>
      <c r="O206" s="416">
        <f>'d3'!O206-'d3-п'!O206</f>
        <v>-6800000.0000000149</v>
      </c>
      <c r="P206" s="416">
        <f>'d3'!P206-'d3-п'!P206</f>
        <v>-6800000</v>
      </c>
      <c r="R206" s="277"/>
    </row>
    <row r="207" spans="1:18" ht="91.5" thickTop="1" thickBot="1" x14ac:dyDescent="0.25">
      <c r="A207" s="557" t="s">
        <v>1003</v>
      </c>
      <c r="B207" s="557" t="s">
        <v>1004</v>
      </c>
      <c r="C207" s="557"/>
      <c r="D207" s="557" t="s">
        <v>1005</v>
      </c>
      <c r="E207" s="416">
        <f>'d3'!E207-'d3-п'!E207</f>
        <v>0</v>
      </c>
      <c r="F207" s="416">
        <f>'d3'!F207-'d3-п'!F207</f>
        <v>0</v>
      </c>
      <c r="G207" s="416">
        <f>'d3'!G207-'d3-п'!G207</f>
        <v>0</v>
      </c>
      <c r="H207" s="416">
        <f>'d3'!H207-'d3-п'!H207</f>
        <v>0</v>
      </c>
      <c r="I207" s="416">
        <f>'d3'!I207-'d3-п'!I207</f>
        <v>0</v>
      </c>
      <c r="J207" s="416">
        <f>'d3'!J207-'d3-п'!J207</f>
        <v>0</v>
      </c>
      <c r="K207" s="416">
        <f>'d3'!K207-'d3-п'!K207</f>
        <v>0</v>
      </c>
      <c r="L207" s="416">
        <f>'d3'!L207-'d3-п'!L207</f>
        <v>0</v>
      </c>
      <c r="M207" s="416">
        <f>'d3'!M207-'d3-п'!M207</f>
        <v>0</v>
      </c>
      <c r="N207" s="416">
        <f>'d3'!N207-'d3-п'!N207</f>
        <v>0</v>
      </c>
      <c r="O207" s="416">
        <f>'d3'!O207-'d3-п'!O207</f>
        <v>0</v>
      </c>
      <c r="P207" s="416">
        <f>'d3'!P207-'d3-п'!P207</f>
        <v>0</v>
      </c>
      <c r="R207" s="277"/>
    </row>
    <row r="208" spans="1:18" ht="99.75" thickTop="1" thickBot="1" x14ac:dyDescent="0.25">
      <c r="A208" s="795" t="s">
        <v>670</v>
      </c>
      <c r="B208" s="795" t="s">
        <v>331</v>
      </c>
      <c r="C208" s="795" t="s">
        <v>330</v>
      </c>
      <c r="D208" s="795" t="s">
        <v>817</v>
      </c>
      <c r="E208" s="416">
        <f>'d3'!E208-'d3-п'!E208</f>
        <v>0</v>
      </c>
      <c r="F208" s="416">
        <f>'d3'!F208-'d3-п'!F208</f>
        <v>0</v>
      </c>
      <c r="G208" s="416">
        <f>'d3'!G208-'d3-п'!G208</f>
        <v>0</v>
      </c>
      <c r="H208" s="416">
        <f>'d3'!H208-'d3-п'!H208</f>
        <v>0</v>
      </c>
      <c r="I208" s="416">
        <f>'d3'!I208-'d3-п'!I208</f>
        <v>0</v>
      </c>
      <c r="J208" s="416">
        <f>'d3'!J208-'d3-п'!J208</f>
        <v>0</v>
      </c>
      <c r="K208" s="416">
        <f>'d3'!K208-'d3-п'!K208</f>
        <v>0</v>
      </c>
      <c r="L208" s="416">
        <f>'d3'!L208-'d3-п'!L208</f>
        <v>0</v>
      </c>
      <c r="M208" s="416">
        <f>'d3'!M208-'d3-п'!M208</f>
        <v>0</v>
      </c>
      <c r="N208" s="416">
        <f>'d3'!N208-'d3-п'!N208</f>
        <v>0</v>
      </c>
      <c r="O208" s="416">
        <f>'d3'!O208-'d3-п'!O208</f>
        <v>0</v>
      </c>
      <c r="P208" s="416">
        <f>'d3'!P208-'d3-п'!P208</f>
        <v>0</v>
      </c>
      <c r="R208" s="181" t="e">
        <f>K208=#REF!+#REF!+#REF!+#REF!+#REF!+#REF!+#REF!</f>
        <v>#REF!</v>
      </c>
    </row>
    <row r="209" spans="1:18" ht="136.5" thickTop="1" thickBot="1" x14ac:dyDescent="0.25">
      <c r="A209" s="557" t="s">
        <v>1006</v>
      </c>
      <c r="B209" s="557" t="s">
        <v>1007</v>
      </c>
      <c r="C209" s="557"/>
      <c r="D209" s="557" t="s">
        <v>1008</v>
      </c>
      <c r="E209" s="416">
        <f>'d3'!E209-'d3-п'!E209</f>
        <v>0</v>
      </c>
      <c r="F209" s="416">
        <f>'d3'!F209-'d3-п'!F209</f>
        <v>0</v>
      </c>
      <c r="G209" s="416">
        <f>'d3'!G209-'d3-п'!G209</f>
        <v>0</v>
      </c>
      <c r="H209" s="416">
        <f>'d3'!H209-'d3-п'!H209</f>
        <v>0</v>
      </c>
      <c r="I209" s="416">
        <f>'d3'!I209-'d3-п'!I209</f>
        <v>0</v>
      </c>
      <c r="J209" s="416">
        <f>'d3'!J209-'d3-п'!J209</f>
        <v>-6800000</v>
      </c>
      <c r="K209" s="416">
        <f>'d3'!K209-'d3-п'!K209</f>
        <v>-6800000</v>
      </c>
      <c r="L209" s="416">
        <f>'d3'!L209-'d3-п'!L209</f>
        <v>0</v>
      </c>
      <c r="M209" s="416">
        <f>'d3'!M209-'d3-п'!M209</f>
        <v>0</v>
      </c>
      <c r="N209" s="416">
        <f>'d3'!N209-'d3-п'!N209</f>
        <v>0</v>
      </c>
      <c r="O209" s="416">
        <f>'d3'!O209-'d3-п'!O209</f>
        <v>-6800000</v>
      </c>
      <c r="P209" s="416">
        <f>'d3'!P209-'d3-п'!P209</f>
        <v>-6800000</v>
      </c>
      <c r="R209" s="277"/>
    </row>
    <row r="210" spans="1:18" ht="230.25" thickTop="1" thickBot="1" x14ac:dyDescent="0.25">
      <c r="A210" s="795" t="s">
        <v>671</v>
      </c>
      <c r="B210" s="795" t="s">
        <v>319</v>
      </c>
      <c r="C210" s="795" t="s">
        <v>321</v>
      </c>
      <c r="D210" s="795" t="s">
        <v>320</v>
      </c>
      <c r="E210" s="416">
        <f>'d3'!E210-'d3-п'!E210</f>
        <v>0</v>
      </c>
      <c r="F210" s="416">
        <f>'d3'!F210-'d3-п'!F210</f>
        <v>0</v>
      </c>
      <c r="G210" s="416">
        <f>'d3'!G210-'d3-п'!G210</f>
        <v>0</v>
      </c>
      <c r="H210" s="416">
        <f>'d3'!H210-'d3-п'!H210</f>
        <v>0</v>
      </c>
      <c r="I210" s="416">
        <f>'d3'!I210-'d3-п'!I210</f>
        <v>0</v>
      </c>
      <c r="J210" s="416">
        <f>'d3'!J210-'d3-п'!J210</f>
        <v>-6800000</v>
      </c>
      <c r="K210" s="416">
        <f>'d3'!K210-'d3-п'!K210</f>
        <v>-6800000</v>
      </c>
      <c r="L210" s="416">
        <f>'d3'!L210-'d3-п'!L210</f>
        <v>0</v>
      </c>
      <c r="M210" s="416">
        <f>'d3'!M210-'d3-п'!M210</f>
        <v>0</v>
      </c>
      <c r="N210" s="416">
        <f>'d3'!N210-'d3-п'!N210</f>
        <v>0</v>
      </c>
      <c r="O210" s="416">
        <f>'d3'!O210-'d3-п'!O210</f>
        <v>-6800000</v>
      </c>
      <c r="P210" s="416">
        <f>'d3'!P210-'d3-п'!P210</f>
        <v>-6800000</v>
      </c>
      <c r="R210" s="181" t="e">
        <f>K210=#REF!</f>
        <v>#REF!</v>
      </c>
    </row>
    <row r="211" spans="1:18" ht="136.5" thickTop="1" thickBot="1" x14ac:dyDescent="0.25">
      <c r="A211" s="557" t="s">
        <v>1009</v>
      </c>
      <c r="B211" s="557" t="s">
        <v>887</v>
      </c>
      <c r="C211" s="557"/>
      <c r="D211" s="557" t="s">
        <v>885</v>
      </c>
      <c r="E211" s="416">
        <f>'d3'!E211-'d3-п'!E211</f>
        <v>0</v>
      </c>
      <c r="F211" s="416">
        <f>'d3'!F211-'d3-п'!F211</f>
        <v>0</v>
      </c>
      <c r="G211" s="416">
        <f>'d3'!G211-'d3-п'!G211</f>
        <v>0</v>
      </c>
      <c r="H211" s="416">
        <f>'d3'!H211-'d3-п'!H211</f>
        <v>0</v>
      </c>
      <c r="I211" s="416">
        <f>'d3'!I211-'d3-п'!I211</f>
        <v>0</v>
      </c>
      <c r="J211" s="416">
        <f>'d3'!J211-'d3-п'!J211</f>
        <v>0</v>
      </c>
      <c r="K211" s="416">
        <f>'d3'!K211-'d3-п'!K211</f>
        <v>0</v>
      </c>
      <c r="L211" s="416">
        <f>'d3'!L211-'d3-п'!L211</f>
        <v>0</v>
      </c>
      <c r="M211" s="416">
        <f>'d3'!M211-'d3-п'!M211</f>
        <v>0</v>
      </c>
      <c r="N211" s="416">
        <f>'d3'!N211-'d3-п'!N211</f>
        <v>0</v>
      </c>
      <c r="O211" s="416">
        <f>'d3'!O211-'d3-п'!O211</f>
        <v>0</v>
      </c>
      <c r="P211" s="416">
        <f>'d3'!P211-'d3-п'!P211</f>
        <v>0</v>
      </c>
      <c r="R211" s="181"/>
    </row>
    <row r="212" spans="1:18" ht="48" thickTop="1" thickBot="1" x14ac:dyDescent="0.25">
      <c r="A212" s="795" t="s">
        <v>672</v>
      </c>
      <c r="B212" s="795" t="s">
        <v>237</v>
      </c>
      <c r="C212" s="795" t="s">
        <v>238</v>
      </c>
      <c r="D212" s="795" t="s">
        <v>43</v>
      </c>
      <c r="E212" s="416">
        <f>'d3'!E212-'d3-п'!E212</f>
        <v>0</v>
      </c>
      <c r="F212" s="416">
        <f>'d3'!F212-'d3-п'!F212</f>
        <v>0</v>
      </c>
      <c r="G212" s="416">
        <f>'d3'!G212-'d3-п'!G212</f>
        <v>0</v>
      </c>
      <c r="H212" s="416">
        <f>'d3'!H212-'d3-п'!H212</f>
        <v>0</v>
      </c>
      <c r="I212" s="416">
        <f>'d3'!I212-'d3-п'!I212</f>
        <v>0</v>
      </c>
      <c r="J212" s="416">
        <f>'d3'!J212-'d3-п'!J212</f>
        <v>0</v>
      </c>
      <c r="K212" s="416">
        <f>'d3'!K212-'d3-п'!K212</f>
        <v>0</v>
      </c>
      <c r="L212" s="416">
        <f>'d3'!L212-'d3-п'!L212</f>
        <v>0</v>
      </c>
      <c r="M212" s="416">
        <f>'d3'!M212-'d3-п'!M212</f>
        <v>0</v>
      </c>
      <c r="N212" s="416">
        <f>'d3'!N212-'d3-п'!N212</f>
        <v>0</v>
      </c>
      <c r="O212" s="416">
        <f>'d3'!O212-'d3-п'!O212</f>
        <v>0</v>
      </c>
      <c r="P212" s="416">
        <f>'d3'!P212-'d3-п'!P212</f>
        <v>0</v>
      </c>
      <c r="R212" s="181" t="e">
        <f>K212=#REF!</f>
        <v>#REF!</v>
      </c>
    </row>
    <row r="213" spans="1:18" ht="93" thickTop="1" thickBot="1" x14ac:dyDescent="0.25">
      <c r="A213" s="795" t="s">
        <v>673</v>
      </c>
      <c r="B213" s="795" t="s">
        <v>222</v>
      </c>
      <c r="C213" s="795" t="s">
        <v>191</v>
      </c>
      <c r="D213" s="795" t="s">
        <v>36</v>
      </c>
      <c r="E213" s="416">
        <f>'d3'!E213-'d3-п'!E213</f>
        <v>0</v>
      </c>
      <c r="F213" s="416">
        <f>'d3'!F213-'d3-п'!F213</f>
        <v>0</v>
      </c>
      <c r="G213" s="416">
        <f>'d3'!G213-'d3-п'!G213</f>
        <v>0</v>
      </c>
      <c r="H213" s="416">
        <f>'d3'!H213-'d3-п'!H213</f>
        <v>0</v>
      </c>
      <c r="I213" s="416">
        <f>'d3'!I213-'d3-п'!I213</f>
        <v>0</v>
      </c>
      <c r="J213" s="416">
        <f>'d3'!J213-'d3-п'!J213</f>
        <v>0</v>
      </c>
      <c r="K213" s="416">
        <f>'d3'!K213-'d3-п'!K213</f>
        <v>0</v>
      </c>
      <c r="L213" s="416">
        <f>'d3'!L213-'d3-п'!L213</f>
        <v>0</v>
      </c>
      <c r="M213" s="416">
        <f>'d3'!M213-'d3-п'!M213</f>
        <v>0</v>
      </c>
      <c r="N213" s="416">
        <f>'d3'!N213-'d3-п'!N213</f>
        <v>0</v>
      </c>
      <c r="O213" s="416">
        <f>'d3'!O213-'d3-п'!O213</f>
        <v>0</v>
      </c>
      <c r="P213" s="416">
        <f>'d3'!P213-'d3-п'!P213</f>
        <v>0</v>
      </c>
      <c r="R213" s="181" t="e">
        <f>K213=#REF!+#REF!+#REF!+#REF!+#REF!+#REF!+#REF!+#REF!+#REF!+#REF!+#REF!+#REF!+#REF!+#REF!+#REF!+#REF!+#REF!+#REF!+#REF!+#REF!+#REF!+#REF!+#REF!+#REF!+#REF!+#REF!+#REF!+#REF!+#REF!+#REF!+#REF!+#REF!+#REF!+#REF!</f>
        <v>#REF!</v>
      </c>
    </row>
    <row r="214" spans="1:18" ht="48" thickTop="1" thickBot="1" x14ac:dyDescent="0.25">
      <c r="A214" s="552" t="s">
        <v>1010</v>
      </c>
      <c r="B214" s="552" t="s">
        <v>890</v>
      </c>
      <c r="C214" s="552"/>
      <c r="D214" s="552" t="s">
        <v>998</v>
      </c>
      <c r="E214" s="416">
        <f>'d3'!E214-'d3-п'!E214</f>
        <v>0</v>
      </c>
      <c r="F214" s="416">
        <f>'d3'!F214-'d3-п'!F214</f>
        <v>0</v>
      </c>
      <c r="G214" s="416">
        <f>'d3'!G214-'d3-п'!G214</f>
        <v>0</v>
      </c>
      <c r="H214" s="416">
        <f>'d3'!H214-'d3-п'!H214</f>
        <v>0</v>
      </c>
      <c r="I214" s="416">
        <f>'d3'!I214-'d3-п'!I214</f>
        <v>0</v>
      </c>
      <c r="J214" s="416">
        <f>'d3'!J214-'d3-п'!J214</f>
        <v>0</v>
      </c>
      <c r="K214" s="416">
        <f>'d3'!K214-'d3-п'!K214</f>
        <v>0</v>
      </c>
      <c r="L214" s="416">
        <f>'d3'!L214-'d3-п'!L214</f>
        <v>0</v>
      </c>
      <c r="M214" s="416">
        <f>'d3'!M214-'d3-п'!M214</f>
        <v>0</v>
      </c>
      <c r="N214" s="416">
        <f>'d3'!N214-'d3-п'!N214</f>
        <v>0</v>
      </c>
      <c r="O214" s="416">
        <f>'d3'!O214-'d3-п'!O214</f>
        <v>0</v>
      </c>
      <c r="P214" s="416">
        <f>'d3'!P214-'d3-п'!P214</f>
        <v>0</v>
      </c>
      <c r="R214" s="277"/>
    </row>
    <row r="215" spans="1:18" ht="409.6" thickTop="1" thickBot="1" x14ac:dyDescent="0.7">
      <c r="A215" s="875" t="s">
        <v>674</v>
      </c>
      <c r="B215" s="875" t="s">
        <v>371</v>
      </c>
      <c r="C215" s="875" t="s">
        <v>191</v>
      </c>
      <c r="D215" s="420" t="s">
        <v>483</v>
      </c>
      <c r="E215" s="989">
        <f>'d3'!E215-'d3-п'!E215</f>
        <v>0</v>
      </c>
      <c r="F215" s="989">
        <f>'d3'!F215-'d3-п'!F215</f>
        <v>0</v>
      </c>
      <c r="G215" s="989">
        <f>'d3'!G215-'d3-п'!G215</f>
        <v>0</v>
      </c>
      <c r="H215" s="989">
        <f>'d3'!H215-'d3-п'!H215</f>
        <v>0</v>
      </c>
      <c r="I215" s="989">
        <f>'d3'!I215-'d3-п'!I215</f>
        <v>0</v>
      </c>
      <c r="J215" s="989">
        <f>'d3'!J215-'d3-п'!J215</f>
        <v>0</v>
      </c>
      <c r="K215" s="989">
        <f>'d3'!K215-'d3-п'!K215</f>
        <v>0</v>
      </c>
      <c r="L215" s="989">
        <f>'d3'!L215-'d3-п'!L215</f>
        <v>0</v>
      </c>
      <c r="M215" s="989">
        <f>'d3'!M215-'d3-п'!M215</f>
        <v>0</v>
      </c>
      <c r="N215" s="989">
        <f>'d3'!N215-'d3-п'!N215</f>
        <v>0</v>
      </c>
      <c r="O215" s="989">
        <f>'d3'!O215-'d3-п'!O215</f>
        <v>0</v>
      </c>
      <c r="P215" s="989">
        <f>'d3'!P215-'d3-п'!P215</f>
        <v>0</v>
      </c>
      <c r="R215" s="277"/>
    </row>
    <row r="216" spans="1:18" ht="184.5" thickTop="1" thickBot="1" x14ac:dyDescent="0.25">
      <c r="A216" s="875"/>
      <c r="B216" s="875"/>
      <c r="C216" s="875"/>
      <c r="D216" s="424" t="s">
        <v>484</v>
      </c>
      <c r="E216" s="929"/>
      <c r="F216" s="929"/>
      <c r="G216" s="929"/>
      <c r="H216" s="929"/>
      <c r="I216" s="929"/>
      <c r="J216" s="929"/>
      <c r="K216" s="929"/>
      <c r="L216" s="929"/>
      <c r="M216" s="929"/>
      <c r="N216" s="929"/>
      <c r="O216" s="929"/>
      <c r="P216" s="929"/>
      <c r="R216" s="277"/>
    </row>
    <row r="217" spans="1:18" ht="48" thickTop="1" thickBot="1" x14ac:dyDescent="0.25">
      <c r="A217" s="251" t="s">
        <v>1011</v>
      </c>
      <c r="B217" s="251" t="s">
        <v>892</v>
      </c>
      <c r="C217" s="251"/>
      <c r="D217" s="575" t="s">
        <v>893</v>
      </c>
      <c r="E217" s="416">
        <f>'d3'!E217-'d3-п'!E217</f>
        <v>0</v>
      </c>
      <c r="F217" s="416">
        <f>'d3'!F217-'d3-п'!F217</f>
        <v>0</v>
      </c>
      <c r="G217" s="416">
        <f>'d3'!G217-'d3-п'!G217</f>
        <v>0</v>
      </c>
      <c r="H217" s="416">
        <f>'d3'!H217-'d3-п'!H217</f>
        <v>0</v>
      </c>
      <c r="I217" s="416">
        <f>'d3'!I217-'d3-п'!I217</f>
        <v>0</v>
      </c>
      <c r="J217" s="416">
        <f>'d3'!J217-'d3-п'!J217</f>
        <v>0</v>
      </c>
      <c r="K217" s="416">
        <f>'d3'!K217-'d3-п'!K217</f>
        <v>0</v>
      </c>
      <c r="L217" s="416">
        <f>'d3'!L217-'d3-п'!L217</f>
        <v>0</v>
      </c>
      <c r="M217" s="416">
        <f>'d3'!M217-'d3-п'!M217</f>
        <v>0</v>
      </c>
      <c r="N217" s="416">
        <f>'d3'!N217-'d3-п'!N217</f>
        <v>0</v>
      </c>
      <c r="O217" s="416">
        <f>'d3'!O217-'d3-п'!O217</f>
        <v>0</v>
      </c>
      <c r="P217" s="416">
        <f>'d3'!P217-'d3-п'!P217</f>
        <v>0</v>
      </c>
      <c r="R217" s="277"/>
    </row>
    <row r="218" spans="1:18" ht="181.5" thickTop="1" thickBot="1" x14ac:dyDescent="0.25">
      <c r="A218" s="557" t="s">
        <v>1013</v>
      </c>
      <c r="B218" s="557" t="s">
        <v>1014</v>
      </c>
      <c r="C218" s="557"/>
      <c r="D218" s="576" t="s">
        <v>1012</v>
      </c>
      <c r="E218" s="416">
        <f>'d3'!E218-'d3-п'!E218</f>
        <v>0</v>
      </c>
      <c r="F218" s="416">
        <f>'d3'!F218-'d3-п'!F218</f>
        <v>0</v>
      </c>
      <c r="G218" s="416">
        <f>'d3'!G218-'d3-п'!G218</f>
        <v>0</v>
      </c>
      <c r="H218" s="416">
        <f>'d3'!H218-'d3-п'!H218</f>
        <v>0</v>
      </c>
      <c r="I218" s="416">
        <f>'d3'!I218-'d3-п'!I218</f>
        <v>0</v>
      </c>
      <c r="J218" s="416">
        <f>'d3'!J218-'d3-п'!J218</f>
        <v>0</v>
      </c>
      <c r="K218" s="416">
        <f>'d3'!K218-'d3-п'!K218</f>
        <v>0</v>
      </c>
      <c r="L218" s="416">
        <f>'d3'!L218-'d3-п'!L218</f>
        <v>0</v>
      </c>
      <c r="M218" s="416">
        <f>'d3'!M218-'d3-п'!M218</f>
        <v>0</v>
      </c>
      <c r="N218" s="416">
        <f>'d3'!N218-'d3-п'!N218</f>
        <v>0</v>
      </c>
      <c r="O218" s="416">
        <f>'d3'!O218-'d3-п'!O218</f>
        <v>0</v>
      </c>
      <c r="P218" s="416">
        <f>'d3'!P218-'d3-п'!P218</f>
        <v>0</v>
      </c>
      <c r="R218" s="277"/>
    </row>
    <row r="219" spans="1:18" ht="184.5" thickTop="1" thickBot="1" x14ac:dyDescent="0.25">
      <c r="A219" s="795" t="s">
        <v>675</v>
      </c>
      <c r="B219" s="795" t="s">
        <v>577</v>
      </c>
      <c r="C219" s="795" t="s">
        <v>276</v>
      </c>
      <c r="D219" s="795" t="s">
        <v>578</v>
      </c>
      <c r="E219" s="416">
        <f>'d3'!E219-'d3-п'!E219</f>
        <v>0</v>
      </c>
      <c r="F219" s="416">
        <f>'d3'!F219-'d3-п'!F219</f>
        <v>0</v>
      </c>
      <c r="G219" s="416">
        <f>'d3'!G219-'d3-п'!G219</f>
        <v>0</v>
      </c>
      <c r="H219" s="416">
        <f>'d3'!H219-'d3-п'!H219</f>
        <v>0</v>
      </c>
      <c r="I219" s="416">
        <f>'d3'!I219-'d3-п'!I219</f>
        <v>0</v>
      </c>
      <c r="J219" s="416">
        <f>'d3'!J219-'d3-п'!J219</f>
        <v>0</v>
      </c>
      <c r="K219" s="416">
        <f>'d3'!K219-'d3-п'!K219</f>
        <v>0</v>
      </c>
      <c r="L219" s="416">
        <f>'d3'!L219-'d3-п'!L219</f>
        <v>0</v>
      </c>
      <c r="M219" s="416">
        <f>'d3'!M219-'d3-п'!M219</f>
        <v>0</v>
      </c>
      <c r="N219" s="416">
        <f>'d3'!N219-'d3-п'!N219</f>
        <v>0</v>
      </c>
      <c r="O219" s="416">
        <f>'d3'!O219-'d3-п'!O219</f>
        <v>0</v>
      </c>
      <c r="P219" s="416">
        <f>'d3'!P219-'d3-п'!P219</f>
        <v>0</v>
      </c>
      <c r="R219" s="277"/>
    </row>
    <row r="220" spans="1:18" ht="93" thickTop="1" thickBot="1" x14ac:dyDescent="0.25">
      <c r="A220" s="795" t="s">
        <v>676</v>
      </c>
      <c r="B220" s="795" t="s">
        <v>275</v>
      </c>
      <c r="C220" s="795" t="s">
        <v>276</v>
      </c>
      <c r="D220" s="795" t="s">
        <v>274</v>
      </c>
      <c r="E220" s="416">
        <f>'d3'!E220-'d3-п'!E220</f>
        <v>0</v>
      </c>
      <c r="F220" s="416">
        <f>'d3'!F220-'d3-п'!F220</f>
        <v>0</v>
      </c>
      <c r="G220" s="416">
        <f>'d3'!G220-'d3-п'!G220</f>
        <v>0</v>
      </c>
      <c r="H220" s="416">
        <f>'d3'!H220-'d3-п'!H220</f>
        <v>0</v>
      </c>
      <c r="I220" s="416">
        <f>'d3'!I220-'d3-п'!I220</f>
        <v>0</v>
      </c>
      <c r="J220" s="416">
        <f>'d3'!J220-'d3-п'!J220</f>
        <v>0</v>
      </c>
      <c r="K220" s="416">
        <f>'d3'!K220-'d3-п'!K220</f>
        <v>0</v>
      </c>
      <c r="L220" s="416">
        <f>'d3'!L220-'d3-п'!L220</f>
        <v>0</v>
      </c>
      <c r="M220" s="416">
        <f>'d3'!M220-'d3-п'!M220</f>
        <v>0</v>
      </c>
      <c r="N220" s="416">
        <f>'d3'!N220-'d3-п'!N220</f>
        <v>0</v>
      </c>
      <c r="O220" s="416">
        <f>'d3'!O220-'d3-п'!O220</f>
        <v>0</v>
      </c>
      <c r="P220" s="416">
        <f>'d3'!P220-'d3-п'!P220</f>
        <v>0</v>
      </c>
      <c r="R220" s="277"/>
    </row>
    <row r="221" spans="1:18" ht="93" hidden="1" thickTop="1" thickBot="1" x14ac:dyDescent="0.25">
      <c r="A221" s="623" t="s">
        <v>677</v>
      </c>
      <c r="B221" s="623" t="s">
        <v>678</v>
      </c>
      <c r="C221" s="623" t="s">
        <v>276</v>
      </c>
      <c r="D221" s="623" t="s">
        <v>679</v>
      </c>
      <c r="E221" s="630">
        <f t="shared" ref="E221" si="51">F221</f>
        <v>0</v>
      </c>
      <c r="F221" s="631">
        <f>(1219000)-1219000</f>
        <v>0</v>
      </c>
      <c r="G221" s="631">
        <f>(354000+540000)-894000</f>
        <v>0</v>
      </c>
      <c r="H221" s="631">
        <f>(6000+3000)-9000</f>
        <v>0</v>
      </c>
      <c r="I221" s="631"/>
      <c r="J221" s="632">
        <f>L221+O221</f>
        <v>0</v>
      </c>
      <c r="K221" s="633"/>
      <c r="L221" s="631"/>
      <c r="M221" s="631"/>
      <c r="N221" s="631"/>
      <c r="O221" s="634">
        <f>K221</f>
        <v>0</v>
      </c>
      <c r="P221" s="632">
        <f>E221+J221</f>
        <v>0</v>
      </c>
      <c r="R221" s="277"/>
    </row>
    <row r="222" spans="1:18" ht="316.5" thickTop="1" thickBot="1" x14ac:dyDescent="0.25">
      <c r="A222" s="680" t="s">
        <v>25</v>
      </c>
      <c r="B222" s="680"/>
      <c r="C222" s="680"/>
      <c r="D222" s="681" t="s">
        <v>410</v>
      </c>
      <c r="E222" s="682">
        <f>E223</f>
        <v>0</v>
      </c>
      <c r="F222" s="683">
        <f t="shared" ref="F222:G222" si="52">F223</f>
        <v>0</v>
      </c>
      <c r="G222" s="683">
        <f t="shared" si="52"/>
        <v>0</v>
      </c>
      <c r="H222" s="683">
        <f>H223</f>
        <v>0</v>
      </c>
      <c r="I222" s="683">
        <f t="shared" ref="I222" si="53">I223</f>
        <v>0</v>
      </c>
      <c r="J222" s="682">
        <f>J223</f>
        <v>-291970</v>
      </c>
      <c r="K222" s="683">
        <f>K223</f>
        <v>-291970</v>
      </c>
      <c r="L222" s="683">
        <f>L223</f>
        <v>0</v>
      </c>
      <c r="M222" s="683">
        <f t="shared" ref="M222" si="54">M223</f>
        <v>0</v>
      </c>
      <c r="N222" s="682">
        <f>N223</f>
        <v>0</v>
      </c>
      <c r="O222" s="682">
        <f>O223</f>
        <v>-291970</v>
      </c>
      <c r="P222" s="683">
        <f t="shared" ref="P222" si="55">P223</f>
        <v>-291970</v>
      </c>
    </row>
    <row r="223" spans="1:18" ht="181.5" thickTop="1" thickBot="1" x14ac:dyDescent="0.25">
      <c r="A223" s="684" t="s">
        <v>26</v>
      </c>
      <c r="B223" s="684"/>
      <c r="C223" s="684"/>
      <c r="D223" s="685" t="s">
        <v>1111</v>
      </c>
      <c r="E223" s="686">
        <f>E224+E228+E231</f>
        <v>0</v>
      </c>
      <c r="F223" s="686">
        <f t="shared" ref="F223:I223" si="56">F224+F228+F231</f>
        <v>0</v>
      </c>
      <c r="G223" s="686">
        <f t="shared" si="56"/>
        <v>0</v>
      </c>
      <c r="H223" s="686">
        <f t="shared" si="56"/>
        <v>0</v>
      </c>
      <c r="I223" s="686">
        <f t="shared" si="56"/>
        <v>0</v>
      </c>
      <c r="J223" s="686">
        <f>L223+O223</f>
        <v>-291970</v>
      </c>
      <c r="K223" s="686">
        <f t="shared" ref="K223:O223" si="57">K224+K228+K231</f>
        <v>-291970</v>
      </c>
      <c r="L223" s="686">
        <f t="shared" si="57"/>
        <v>0</v>
      </c>
      <c r="M223" s="686">
        <f t="shared" si="57"/>
        <v>0</v>
      </c>
      <c r="N223" s="686">
        <f t="shared" si="57"/>
        <v>0</v>
      </c>
      <c r="O223" s="686">
        <f t="shared" si="57"/>
        <v>-291970</v>
      </c>
      <c r="P223" s="687">
        <f t="shared" ref="P223" si="58">E223+J223</f>
        <v>-291970</v>
      </c>
      <c r="Q223" s="181" t="b">
        <f>P223=P235+P237+P238+P225+P239+P230+P236+P226+P233+P227</f>
        <v>1</v>
      </c>
      <c r="R223" s="317" t="e">
        <f>K223=#REF!</f>
        <v>#REF!</v>
      </c>
    </row>
    <row r="224" spans="1:18" ht="48" thickTop="1" thickBot="1" x14ac:dyDescent="0.25">
      <c r="A224" s="251" t="s">
        <v>1015</v>
      </c>
      <c r="B224" s="251" t="s">
        <v>880</v>
      </c>
      <c r="C224" s="251"/>
      <c r="D224" s="251" t="s">
        <v>881</v>
      </c>
      <c r="E224" s="416">
        <f>'d3'!E224-'d3-п'!E224</f>
        <v>0</v>
      </c>
      <c r="F224" s="416">
        <f>'d3'!F224-'d3-п'!F224</f>
        <v>0</v>
      </c>
      <c r="G224" s="416">
        <f>'d3'!G224-'d3-п'!G224</f>
        <v>0</v>
      </c>
      <c r="H224" s="416">
        <f>'d3'!H224-'d3-п'!H224</f>
        <v>0</v>
      </c>
      <c r="I224" s="416">
        <f>'d3'!I224-'d3-п'!I224</f>
        <v>0</v>
      </c>
      <c r="J224" s="416">
        <f>'d3'!J224-'d3-п'!J224</f>
        <v>0</v>
      </c>
      <c r="K224" s="416">
        <f>'d3'!K224-'d3-п'!K224</f>
        <v>0</v>
      </c>
      <c r="L224" s="416">
        <f>'d3'!L224-'d3-п'!L224</f>
        <v>0</v>
      </c>
      <c r="M224" s="416">
        <f>'d3'!M224-'d3-п'!M224</f>
        <v>0</v>
      </c>
      <c r="N224" s="416">
        <f>'d3'!N224-'d3-п'!N224</f>
        <v>0</v>
      </c>
      <c r="O224" s="416">
        <f>'d3'!O224-'d3-п'!O224</f>
        <v>0</v>
      </c>
      <c r="P224" s="416">
        <f>'d3'!P224-'d3-п'!P224</f>
        <v>0</v>
      </c>
      <c r="Q224" s="181"/>
      <c r="R224" s="317"/>
    </row>
    <row r="225" spans="1:18" ht="230.25" thickTop="1" thickBot="1" x14ac:dyDescent="0.25">
      <c r="A225" s="795" t="s">
        <v>455</v>
      </c>
      <c r="B225" s="795" t="s">
        <v>261</v>
      </c>
      <c r="C225" s="795" t="s">
        <v>259</v>
      </c>
      <c r="D225" s="795" t="s">
        <v>260</v>
      </c>
      <c r="E225" s="416">
        <f>'d3'!E225-'d3-п'!E225</f>
        <v>0</v>
      </c>
      <c r="F225" s="416">
        <f>'d3'!F225-'d3-п'!F225</f>
        <v>0</v>
      </c>
      <c r="G225" s="416">
        <f>'d3'!G225-'d3-п'!G225</f>
        <v>0</v>
      </c>
      <c r="H225" s="416">
        <f>'d3'!H225-'d3-п'!H225</f>
        <v>0</v>
      </c>
      <c r="I225" s="416">
        <f>'d3'!I225-'d3-п'!I225</f>
        <v>0</v>
      </c>
      <c r="J225" s="416">
        <f>'d3'!J225-'d3-п'!J225</f>
        <v>0</v>
      </c>
      <c r="K225" s="416">
        <f>'d3'!K225-'d3-п'!K225</f>
        <v>0</v>
      </c>
      <c r="L225" s="416">
        <f>'d3'!L225-'d3-п'!L225</f>
        <v>0</v>
      </c>
      <c r="M225" s="416">
        <f>'d3'!M225-'d3-п'!M225</f>
        <v>0</v>
      </c>
      <c r="N225" s="416">
        <f>'d3'!N225-'d3-п'!N225</f>
        <v>0</v>
      </c>
      <c r="O225" s="416">
        <f>'d3'!O225-'d3-п'!O225</f>
        <v>0</v>
      </c>
      <c r="P225" s="416">
        <f>'d3'!P225-'d3-п'!P225</f>
        <v>0</v>
      </c>
      <c r="Q225" s="276"/>
      <c r="R225" s="277"/>
    </row>
    <row r="226" spans="1:18" ht="184.5" thickTop="1" thickBot="1" x14ac:dyDescent="0.25">
      <c r="A226" s="804" t="s">
        <v>825</v>
      </c>
      <c r="B226" s="804" t="s">
        <v>398</v>
      </c>
      <c r="C226" s="804" t="s">
        <v>815</v>
      </c>
      <c r="D226" s="804" t="s">
        <v>816</v>
      </c>
      <c r="E226" s="416">
        <f>'d3'!E226-'d3-п'!E226</f>
        <v>0</v>
      </c>
      <c r="F226" s="416">
        <f>'d3'!F226-'d3-п'!F226</f>
        <v>0</v>
      </c>
      <c r="G226" s="416">
        <f>'d3'!G226-'d3-п'!G226</f>
        <v>0</v>
      </c>
      <c r="H226" s="416">
        <f>'d3'!H226-'d3-п'!H226</f>
        <v>0</v>
      </c>
      <c r="I226" s="416">
        <f>'d3'!I226-'d3-п'!I226</f>
        <v>0</v>
      </c>
      <c r="J226" s="416">
        <f>'d3'!J226-'d3-п'!J226</f>
        <v>0</v>
      </c>
      <c r="K226" s="416">
        <f>'d3'!K226-'d3-п'!K226</f>
        <v>0</v>
      </c>
      <c r="L226" s="416">
        <f>'d3'!L226-'d3-п'!L226</f>
        <v>0</v>
      </c>
      <c r="M226" s="416">
        <f>'d3'!M226-'d3-п'!M226</f>
        <v>0</v>
      </c>
      <c r="N226" s="416">
        <f>'d3'!N226-'d3-п'!N226</f>
        <v>0</v>
      </c>
      <c r="O226" s="416">
        <f>'d3'!O226-'d3-п'!O226</f>
        <v>0</v>
      </c>
      <c r="P226" s="416">
        <f>'d3'!P226-'d3-п'!P226</f>
        <v>0</v>
      </c>
      <c r="Q226" s="276"/>
      <c r="R226" s="277"/>
    </row>
    <row r="227" spans="1:18" ht="93" thickTop="1" thickBot="1" x14ac:dyDescent="0.25">
      <c r="A227" s="804" t="s">
        <v>1206</v>
      </c>
      <c r="B227" s="804" t="s">
        <v>45</v>
      </c>
      <c r="C227" s="804" t="s">
        <v>44</v>
      </c>
      <c r="D227" s="804" t="s">
        <v>273</v>
      </c>
      <c r="E227" s="416">
        <f>'d3'!E227-'d3-п'!E227</f>
        <v>0</v>
      </c>
      <c r="F227" s="416">
        <f>'d3'!F227-'d3-п'!F227</f>
        <v>0</v>
      </c>
      <c r="G227" s="416">
        <f>'d3'!G227-'d3-п'!G227</f>
        <v>0</v>
      </c>
      <c r="H227" s="416">
        <f>'d3'!H227-'d3-п'!H227</f>
        <v>0</v>
      </c>
      <c r="I227" s="416">
        <f>'d3'!I227-'d3-п'!I227</f>
        <v>0</v>
      </c>
      <c r="J227" s="416">
        <f>'d3'!J227-'d3-п'!J227</f>
        <v>0</v>
      </c>
      <c r="K227" s="416">
        <f>'d3'!K227-'d3-п'!K227</f>
        <v>0</v>
      </c>
      <c r="L227" s="416">
        <f>'d3'!L227-'d3-п'!L227</f>
        <v>0</v>
      </c>
      <c r="M227" s="416">
        <f>'d3'!M227-'d3-п'!M227</f>
        <v>0</v>
      </c>
      <c r="N227" s="416">
        <f>'d3'!N227-'d3-п'!N227</f>
        <v>0</v>
      </c>
      <c r="O227" s="416">
        <f>'d3'!O227-'d3-п'!O227</f>
        <v>0</v>
      </c>
      <c r="P227" s="416">
        <f>'d3'!P227-'d3-п'!P227</f>
        <v>0</v>
      </c>
      <c r="Q227" s="276"/>
      <c r="R227" s="277"/>
    </row>
    <row r="228" spans="1:18" ht="48" thickTop="1" thickBot="1" x14ac:dyDescent="0.25">
      <c r="A228" s="251" t="s">
        <v>1016</v>
      </c>
      <c r="B228" s="251" t="s">
        <v>971</v>
      </c>
      <c r="C228" s="795"/>
      <c r="D228" s="251" t="s">
        <v>972</v>
      </c>
      <c r="E228" s="416">
        <f>'d3'!E228-'d3-п'!E228</f>
        <v>0</v>
      </c>
      <c r="F228" s="416">
        <f>'d3'!F228-'d3-п'!F228</f>
        <v>0</v>
      </c>
      <c r="G228" s="416">
        <f>'d3'!G228-'d3-п'!G228</f>
        <v>0</v>
      </c>
      <c r="H228" s="416">
        <f>'d3'!H228-'d3-п'!H228</f>
        <v>0</v>
      </c>
      <c r="I228" s="416">
        <f>'d3'!I228-'d3-п'!I228</f>
        <v>0</v>
      </c>
      <c r="J228" s="416">
        <f>'d3'!J228-'d3-п'!J228</f>
        <v>0</v>
      </c>
      <c r="K228" s="416">
        <f>'d3'!K228-'d3-п'!K228</f>
        <v>0</v>
      </c>
      <c r="L228" s="416">
        <f>'d3'!L228-'d3-п'!L228</f>
        <v>0</v>
      </c>
      <c r="M228" s="416">
        <f>'d3'!M228-'d3-п'!M228</f>
        <v>0</v>
      </c>
      <c r="N228" s="416">
        <f>'d3'!N228-'d3-п'!N228</f>
        <v>0</v>
      </c>
      <c r="O228" s="416">
        <f>'d3'!O228-'d3-п'!O228</f>
        <v>0</v>
      </c>
      <c r="P228" s="416">
        <f>'d3'!P228-'d3-п'!P228</f>
        <v>0</v>
      </c>
      <c r="Q228" s="276"/>
      <c r="R228" s="277"/>
    </row>
    <row r="229" spans="1:18" ht="93" thickTop="1" thickBot="1" x14ac:dyDescent="0.25">
      <c r="A229" s="552" t="s">
        <v>1017</v>
      </c>
      <c r="B229" s="552" t="s">
        <v>1018</v>
      </c>
      <c r="C229" s="552"/>
      <c r="D229" s="552" t="s">
        <v>1019</v>
      </c>
      <c r="E229" s="416">
        <f>'d3'!E229-'d3-п'!E229</f>
        <v>0</v>
      </c>
      <c r="F229" s="416">
        <f>'d3'!F229-'d3-п'!F229</f>
        <v>0</v>
      </c>
      <c r="G229" s="416">
        <f>'d3'!G229-'d3-п'!G229</f>
        <v>0</v>
      </c>
      <c r="H229" s="416">
        <f>'d3'!H229-'d3-п'!H229</f>
        <v>0</v>
      </c>
      <c r="I229" s="416">
        <f>'d3'!I229-'d3-п'!I229</f>
        <v>0</v>
      </c>
      <c r="J229" s="416">
        <f>'d3'!J229-'d3-п'!J229</f>
        <v>0</v>
      </c>
      <c r="K229" s="416">
        <f>'d3'!K229-'d3-п'!K229</f>
        <v>0</v>
      </c>
      <c r="L229" s="416">
        <f>'d3'!L229-'d3-п'!L229</f>
        <v>0</v>
      </c>
      <c r="M229" s="416">
        <f>'d3'!M229-'d3-п'!M229</f>
        <v>0</v>
      </c>
      <c r="N229" s="416">
        <f>'d3'!N229-'d3-п'!N229</f>
        <v>0</v>
      </c>
      <c r="O229" s="416">
        <f>'d3'!O229-'d3-п'!O229</f>
        <v>0</v>
      </c>
      <c r="P229" s="416">
        <f>'d3'!P229-'d3-п'!P229</f>
        <v>0</v>
      </c>
      <c r="Q229" s="276"/>
      <c r="R229" s="277"/>
    </row>
    <row r="230" spans="1:18" ht="321.75" thickTop="1" thickBot="1" x14ac:dyDescent="0.25">
      <c r="A230" s="795" t="s">
        <v>473</v>
      </c>
      <c r="B230" s="795" t="s">
        <v>475</v>
      </c>
      <c r="C230" s="795" t="s">
        <v>220</v>
      </c>
      <c r="D230" s="795" t="s">
        <v>474</v>
      </c>
      <c r="E230" s="416">
        <f>'d3'!E230-'d3-п'!E230</f>
        <v>0</v>
      </c>
      <c r="F230" s="416">
        <f>'d3'!F230-'d3-п'!F230</f>
        <v>0</v>
      </c>
      <c r="G230" s="416">
        <f>'d3'!G230-'d3-п'!G230</f>
        <v>0</v>
      </c>
      <c r="H230" s="416">
        <f>'d3'!H230-'d3-п'!H230</f>
        <v>0</v>
      </c>
      <c r="I230" s="416">
        <f>'d3'!I230-'d3-п'!I230</f>
        <v>0</v>
      </c>
      <c r="J230" s="416">
        <f>'d3'!J230-'d3-п'!J230</f>
        <v>0</v>
      </c>
      <c r="K230" s="416">
        <f>'d3'!K230-'d3-п'!K230</f>
        <v>0</v>
      </c>
      <c r="L230" s="416">
        <f>'d3'!L230-'d3-п'!L230</f>
        <v>0</v>
      </c>
      <c r="M230" s="416">
        <f>'d3'!M230-'d3-п'!M230</f>
        <v>0</v>
      </c>
      <c r="N230" s="416">
        <f>'d3'!N230-'d3-п'!N230</f>
        <v>0</v>
      </c>
      <c r="O230" s="416">
        <f>'d3'!O230-'d3-п'!O230</f>
        <v>0</v>
      </c>
      <c r="P230" s="416">
        <f>'d3'!P230-'d3-п'!P230</f>
        <v>0</v>
      </c>
      <c r="Q230" s="276"/>
      <c r="R230" s="317" t="e">
        <f>K230=#REF!</f>
        <v>#REF!</v>
      </c>
    </row>
    <row r="231" spans="1:18" ht="48" thickTop="1" thickBot="1" x14ac:dyDescent="0.25">
      <c r="A231" s="251" t="s">
        <v>1020</v>
      </c>
      <c r="B231" s="251" t="s">
        <v>948</v>
      </c>
      <c r="C231" s="795"/>
      <c r="D231" s="251" t="s">
        <v>995</v>
      </c>
      <c r="E231" s="416">
        <f>'d3'!E231-'d3-п'!E231</f>
        <v>0</v>
      </c>
      <c r="F231" s="416">
        <f>'d3'!F231-'d3-п'!F231</f>
        <v>0</v>
      </c>
      <c r="G231" s="416">
        <f>'d3'!G231-'d3-п'!G231</f>
        <v>0</v>
      </c>
      <c r="H231" s="416">
        <f>'d3'!H231-'d3-п'!H231</f>
        <v>0</v>
      </c>
      <c r="I231" s="416">
        <f>'d3'!I231-'d3-п'!I231</f>
        <v>0</v>
      </c>
      <c r="J231" s="416">
        <f>'d3'!J231-'d3-п'!J231</f>
        <v>-291970</v>
      </c>
      <c r="K231" s="416">
        <f>'d3'!K231-'d3-п'!K231</f>
        <v>-291970</v>
      </c>
      <c r="L231" s="416">
        <f>'d3'!L231-'d3-п'!L231</f>
        <v>0</v>
      </c>
      <c r="M231" s="416">
        <f>'d3'!M231-'d3-п'!M231</f>
        <v>0</v>
      </c>
      <c r="N231" s="416">
        <f>'d3'!N231-'d3-п'!N231</f>
        <v>0</v>
      </c>
      <c r="O231" s="416">
        <f>'d3'!O231-'d3-п'!O231</f>
        <v>-291970</v>
      </c>
      <c r="P231" s="416">
        <f>'d3'!P231-'d3-п'!P231</f>
        <v>-291970</v>
      </c>
      <c r="Q231" s="276"/>
      <c r="R231" s="277"/>
    </row>
    <row r="232" spans="1:18" ht="91.5" thickTop="1" thickBot="1" x14ac:dyDescent="0.25">
      <c r="A232" s="557" t="s">
        <v>1021</v>
      </c>
      <c r="B232" s="557" t="s">
        <v>1004</v>
      </c>
      <c r="C232" s="557"/>
      <c r="D232" s="557" t="s">
        <v>1005</v>
      </c>
      <c r="E232" s="416">
        <f>'d3'!E232-'d3-п'!E232</f>
        <v>0</v>
      </c>
      <c r="F232" s="416">
        <f>'d3'!F232-'d3-п'!F232</f>
        <v>0</v>
      </c>
      <c r="G232" s="416">
        <f>'d3'!G232-'d3-п'!G232</f>
        <v>0</v>
      </c>
      <c r="H232" s="416">
        <f>'d3'!H232-'d3-п'!H232</f>
        <v>0</v>
      </c>
      <c r="I232" s="416">
        <f>'d3'!I232-'d3-п'!I232</f>
        <v>0</v>
      </c>
      <c r="J232" s="416">
        <f>'d3'!J232-'d3-п'!J232</f>
        <v>-291970</v>
      </c>
      <c r="K232" s="416">
        <f>'d3'!K232-'d3-п'!K232</f>
        <v>-291970</v>
      </c>
      <c r="L232" s="416">
        <f>'d3'!L232-'d3-п'!L232</f>
        <v>0</v>
      </c>
      <c r="M232" s="416">
        <f>'d3'!M232-'d3-п'!M232</f>
        <v>0</v>
      </c>
      <c r="N232" s="416">
        <f>'d3'!N232-'d3-п'!N232</f>
        <v>0</v>
      </c>
      <c r="O232" s="416">
        <f>'d3'!O232-'d3-п'!O232</f>
        <v>-291970</v>
      </c>
      <c r="P232" s="416">
        <f>'d3'!P232-'d3-п'!P232</f>
        <v>-291970</v>
      </c>
      <c r="Q232" s="276"/>
      <c r="R232" s="277"/>
    </row>
    <row r="233" spans="1:18" ht="99.75" thickTop="1" thickBot="1" x14ac:dyDescent="0.25">
      <c r="A233" s="795" t="s">
        <v>1205</v>
      </c>
      <c r="B233" s="795" t="s">
        <v>331</v>
      </c>
      <c r="C233" s="795" t="s">
        <v>330</v>
      </c>
      <c r="D233" s="795" t="s">
        <v>817</v>
      </c>
      <c r="E233" s="416">
        <f>'d3'!E233-'d3-п'!E233</f>
        <v>0</v>
      </c>
      <c r="F233" s="416">
        <f>'d3'!F233-'d3-п'!F233</f>
        <v>0</v>
      </c>
      <c r="G233" s="416">
        <f>'d3'!G233-'d3-п'!G233</f>
        <v>0</v>
      </c>
      <c r="H233" s="416">
        <f>'d3'!H233-'d3-п'!H233</f>
        <v>0</v>
      </c>
      <c r="I233" s="416">
        <f>'d3'!I233-'d3-п'!I233</f>
        <v>0</v>
      </c>
      <c r="J233" s="416">
        <f>'d3'!J233-'d3-п'!J233</f>
        <v>0</v>
      </c>
      <c r="K233" s="416">
        <f>'d3'!K233-'d3-п'!K233</f>
        <v>0</v>
      </c>
      <c r="L233" s="416">
        <f>'d3'!L233-'d3-п'!L233</f>
        <v>0</v>
      </c>
      <c r="M233" s="416">
        <f>'d3'!M233-'d3-п'!M233</f>
        <v>0</v>
      </c>
      <c r="N233" s="416">
        <f>'d3'!N233-'d3-п'!N233</f>
        <v>0</v>
      </c>
      <c r="O233" s="416">
        <f>'d3'!O233-'d3-п'!O233</f>
        <v>0</v>
      </c>
      <c r="P233" s="416">
        <f>'d3'!P233-'d3-п'!P233</f>
        <v>0</v>
      </c>
      <c r="Q233" s="276"/>
      <c r="R233" s="317" t="e">
        <f>K233=#REF!</f>
        <v>#REF!</v>
      </c>
    </row>
    <row r="234" spans="1:18" ht="146.25" thickTop="1" thickBot="1" x14ac:dyDescent="0.25">
      <c r="A234" s="552" t="s">
        <v>1022</v>
      </c>
      <c r="B234" s="552" t="s">
        <v>1023</v>
      </c>
      <c r="C234" s="552"/>
      <c r="D234" s="552" t="s">
        <v>1024</v>
      </c>
      <c r="E234" s="416">
        <f>'d3'!E234-'d3-п'!E234</f>
        <v>0</v>
      </c>
      <c r="F234" s="416">
        <f>'d3'!F234-'d3-п'!F234</f>
        <v>0</v>
      </c>
      <c r="G234" s="416">
        <f>'d3'!G234-'d3-п'!G234</f>
        <v>0</v>
      </c>
      <c r="H234" s="416">
        <f>'d3'!H234-'d3-п'!H234</f>
        <v>0</v>
      </c>
      <c r="I234" s="416">
        <f>'d3'!I234-'d3-п'!I234</f>
        <v>0</v>
      </c>
      <c r="J234" s="416">
        <f>'d3'!J234-'d3-п'!J234</f>
        <v>-1087940</v>
      </c>
      <c r="K234" s="416">
        <f>'d3'!K234-'d3-п'!K234</f>
        <v>-1087940</v>
      </c>
      <c r="L234" s="416">
        <f>'d3'!L234-'d3-п'!L234</f>
        <v>0</v>
      </c>
      <c r="M234" s="416">
        <f>'d3'!M234-'d3-п'!M234</f>
        <v>0</v>
      </c>
      <c r="N234" s="416">
        <f>'d3'!N234-'d3-п'!N234</f>
        <v>0</v>
      </c>
      <c r="O234" s="416">
        <f>'d3'!O234-'d3-п'!O234</f>
        <v>-1087940</v>
      </c>
      <c r="P234" s="416">
        <f>'d3'!P234-'d3-п'!P234</f>
        <v>-1087940</v>
      </c>
      <c r="Q234" s="276"/>
      <c r="R234" s="277"/>
    </row>
    <row r="235" spans="1:18" ht="99.75" thickTop="1" thickBot="1" x14ac:dyDescent="0.25">
      <c r="A235" s="795" t="s">
        <v>340</v>
      </c>
      <c r="B235" s="795" t="s">
        <v>341</v>
      </c>
      <c r="C235" s="795" t="s">
        <v>330</v>
      </c>
      <c r="D235" s="795" t="s">
        <v>818</v>
      </c>
      <c r="E235" s="416">
        <f>'d3'!E235-'d3-п'!E235</f>
        <v>0</v>
      </c>
      <c r="F235" s="416">
        <f>'d3'!F235-'d3-п'!F235</f>
        <v>0</v>
      </c>
      <c r="G235" s="416">
        <f>'d3'!G235-'d3-п'!G235</f>
        <v>0</v>
      </c>
      <c r="H235" s="416">
        <f>'d3'!H235-'d3-п'!H235</f>
        <v>0</v>
      </c>
      <c r="I235" s="416">
        <f>'d3'!I235-'d3-п'!I235</f>
        <v>0</v>
      </c>
      <c r="J235" s="416">
        <f>'d3'!J235-'d3-п'!J235</f>
        <v>-1087940</v>
      </c>
      <c r="K235" s="416">
        <f>'d3'!K235-'d3-п'!K235</f>
        <v>-1087940</v>
      </c>
      <c r="L235" s="416">
        <f>'d3'!L235-'d3-п'!L235</f>
        <v>0</v>
      </c>
      <c r="M235" s="416">
        <f>'d3'!M235-'d3-п'!M235</f>
        <v>0</v>
      </c>
      <c r="N235" s="416">
        <f>'d3'!N235-'d3-п'!N235</f>
        <v>0</v>
      </c>
      <c r="O235" s="416">
        <f>'d3'!O235-'d3-п'!O235</f>
        <v>-1087940</v>
      </c>
      <c r="P235" s="416">
        <f>'d3'!P235-'d3-п'!P235</f>
        <v>-1087940</v>
      </c>
      <c r="Q235" s="267"/>
      <c r="R235" s="317" t="e">
        <f>K235=#REF!+#REF!+#REF!+#REF!</f>
        <v>#REF!</v>
      </c>
    </row>
    <row r="236" spans="1:18" ht="99.75" thickTop="1" thickBot="1" x14ac:dyDescent="0.25">
      <c r="A236" s="795" t="s">
        <v>575</v>
      </c>
      <c r="B236" s="795" t="s">
        <v>576</v>
      </c>
      <c r="C236" s="795" t="s">
        <v>330</v>
      </c>
      <c r="D236" s="795" t="s">
        <v>819</v>
      </c>
      <c r="E236" s="416">
        <f>'d3'!E236-'d3-п'!E236</f>
        <v>0</v>
      </c>
      <c r="F236" s="416">
        <f>'d3'!F236-'d3-п'!F236</f>
        <v>0</v>
      </c>
      <c r="G236" s="416">
        <f>'d3'!G236-'d3-п'!G236</f>
        <v>0</v>
      </c>
      <c r="H236" s="416">
        <f>'d3'!H236-'d3-п'!H236</f>
        <v>0</v>
      </c>
      <c r="I236" s="416">
        <f>'d3'!I236-'d3-п'!I236</f>
        <v>0</v>
      </c>
      <c r="J236" s="416">
        <f>'d3'!J236-'d3-п'!J236</f>
        <v>0</v>
      </c>
      <c r="K236" s="416">
        <f>'d3'!K236-'d3-п'!K236</f>
        <v>0</v>
      </c>
      <c r="L236" s="416">
        <f>'d3'!L236-'d3-п'!L236</f>
        <v>0</v>
      </c>
      <c r="M236" s="416">
        <f>'d3'!M236-'d3-п'!M236</f>
        <v>0</v>
      </c>
      <c r="N236" s="416">
        <f>'d3'!N236-'d3-п'!N236</f>
        <v>0</v>
      </c>
      <c r="O236" s="416">
        <f>'d3'!O236-'d3-п'!O236</f>
        <v>0</v>
      </c>
      <c r="P236" s="416">
        <f>'d3'!P236-'d3-п'!P236</f>
        <v>0</v>
      </c>
      <c r="Q236" s="267"/>
      <c r="R236" s="317" t="e">
        <f>K236=#REF!</f>
        <v>#REF!</v>
      </c>
    </row>
    <row r="237" spans="1:18" ht="145.5" hidden="1" thickTop="1" thickBot="1" x14ac:dyDescent="0.25">
      <c r="A237" s="795" t="s">
        <v>342</v>
      </c>
      <c r="B237" s="795" t="s">
        <v>343</v>
      </c>
      <c r="C237" s="795" t="s">
        <v>330</v>
      </c>
      <c r="D237" s="795" t="s">
        <v>820</v>
      </c>
      <c r="E237" s="416">
        <f>'d3'!E237-'d3-п'!E237</f>
        <v>0</v>
      </c>
      <c r="F237" s="416">
        <f>'d3'!F237-'d3-п'!F237</f>
        <v>0</v>
      </c>
      <c r="G237" s="416">
        <f>'d3'!G237-'d3-п'!G237</f>
        <v>0</v>
      </c>
      <c r="H237" s="416">
        <f>'d3'!H237-'d3-п'!H237</f>
        <v>0</v>
      </c>
      <c r="I237" s="416">
        <f>'d3'!I237-'d3-п'!I237</f>
        <v>0</v>
      </c>
      <c r="J237" s="416">
        <f>'d3'!J237-'d3-п'!J237</f>
        <v>0</v>
      </c>
      <c r="K237" s="416">
        <f>'d3'!K237-'d3-п'!K237</f>
        <v>0</v>
      </c>
      <c r="L237" s="416">
        <f>'d3'!L237-'d3-п'!L237</f>
        <v>0</v>
      </c>
      <c r="M237" s="416">
        <f>'d3'!M237-'d3-п'!M237</f>
        <v>0</v>
      </c>
      <c r="N237" s="416">
        <f>'d3'!N237-'d3-п'!N237</f>
        <v>0</v>
      </c>
      <c r="O237" s="416">
        <f>'d3'!O237-'d3-п'!O237</f>
        <v>0</v>
      </c>
      <c r="P237" s="416">
        <f>'d3'!P237-'d3-п'!P237</f>
        <v>0</v>
      </c>
      <c r="Q237" s="267"/>
    </row>
    <row r="238" spans="1:18" ht="99.75" thickTop="1" thickBot="1" x14ac:dyDescent="0.3">
      <c r="A238" s="795" t="s">
        <v>344</v>
      </c>
      <c r="B238" s="795" t="s">
        <v>345</v>
      </c>
      <c r="C238" s="795" t="s">
        <v>330</v>
      </c>
      <c r="D238" s="795" t="s">
        <v>821</v>
      </c>
      <c r="E238" s="416">
        <f>'d3'!E238-'d3-п'!E238</f>
        <v>0</v>
      </c>
      <c r="F238" s="416">
        <f>'d3'!F238-'d3-п'!F238</f>
        <v>0</v>
      </c>
      <c r="G238" s="416">
        <f>'d3'!G238-'d3-п'!G238</f>
        <v>0</v>
      </c>
      <c r="H238" s="416">
        <f>'d3'!H238-'d3-п'!H238</f>
        <v>0</v>
      </c>
      <c r="I238" s="416">
        <f>'d3'!I238-'d3-п'!I238</f>
        <v>0</v>
      </c>
      <c r="J238" s="416">
        <f>'d3'!J238-'d3-п'!J238</f>
        <v>795970</v>
      </c>
      <c r="K238" s="416">
        <f>'d3'!K238-'d3-п'!K238</f>
        <v>795970</v>
      </c>
      <c r="L238" s="416">
        <f>'d3'!L238-'d3-п'!L238</f>
        <v>0</v>
      </c>
      <c r="M238" s="416">
        <f>'d3'!M238-'d3-п'!M238</f>
        <v>0</v>
      </c>
      <c r="N238" s="416">
        <f>'d3'!N238-'d3-п'!N238</f>
        <v>0</v>
      </c>
      <c r="O238" s="416">
        <f>'d3'!O238-'d3-п'!O238</f>
        <v>795970</v>
      </c>
      <c r="P238" s="416">
        <f>'d3'!P238-'d3-п'!P238</f>
        <v>795970</v>
      </c>
      <c r="Q238" s="279"/>
      <c r="R238" s="317" t="e">
        <f>K238=#REF!+#REF!+#REF!+#REF!+#REF!+#REF!+#REF!+#REF!+#REF!+#REF!</f>
        <v>#REF!</v>
      </c>
    </row>
    <row r="239" spans="1:18" ht="138.75" thickTop="1" thickBot="1" x14ac:dyDescent="0.25">
      <c r="A239" s="795" t="s">
        <v>479</v>
      </c>
      <c r="B239" s="795" t="s">
        <v>384</v>
      </c>
      <c r="C239" s="795" t="s">
        <v>191</v>
      </c>
      <c r="D239" s="795" t="s">
        <v>287</v>
      </c>
      <c r="E239" s="416">
        <f>'d3'!E239-'d3-п'!E239</f>
        <v>0</v>
      </c>
      <c r="F239" s="416">
        <f>'d3'!F239-'d3-п'!F239</f>
        <v>0</v>
      </c>
      <c r="G239" s="416">
        <f>'d3'!G239-'d3-п'!G239</f>
        <v>0</v>
      </c>
      <c r="H239" s="416">
        <f>'d3'!H239-'d3-п'!H239</f>
        <v>0</v>
      </c>
      <c r="I239" s="416">
        <f>'d3'!I239-'d3-п'!I239</f>
        <v>0</v>
      </c>
      <c r="J239" s="416">
        <f>'d3'!J239-'d3-п'!J239</f>
        <v>0</v>
      </c>
      <c r="K239" s="416">
        <f>'d3'!K239-'d3-п'!K239</f>
        <v>0</v>
      </c>
      <c r="L239" s="416">
        <f>'d3'!L239-'d3-п'!L239</f>
        <v>0</v>
      </c>
      <c r="M239" s="416">
        <f>'d3'!M239-'d3-п'!M239</f>
        <v>0</v>
      </c>
      <c r="N239" s="416">
        <f>'d3'!N239-'d3-п'!N239</f>
        <v>0</v>
      </c>
      <c r="O239" s="416">
        <f>'d3'!O239-'d3-п'!O239</f>
        <v>0</v>
      </c>
      <c r="P239" s="416">
        <f>'d3'!P239-'d3-п'!P239</f>
        <v>0</v>
      </c>
      <c r="R239" s="317" t="e">
        <f>K239=#REF!</f>
        <v>#REF!</v>
      </c>
    </row>
    <row r="240" spans="1:18" ht="181.5" thickTop="1" thickBot="1" x14ac:dyDescent="0.25">
      <c r="A240" s="680" t="s">
        <v>181</v>
      </c>
      <c r="B240" s="680"/>
      <c r="C240" s="680"/>
      <c r="D240" s="681" t="s">
        <v>1112</v>
      </c>
      <c r="E240" s="682">
        <f>E241</f>
        <v>0</v>
      </c>
      <c r="F240" s="683">
        <f t="shared" ref="F240:G240" si="59">F241</f>
        <v>0</v>
      </c>
      <c r="G240" s="683">
        <f t="shared" si="59"/>
        <v>0</v>
      </c>
      <c r="H240" s="683">
        <f>H241</f>
        <v>0</v>
      </c>
      <c r="I240" s="683">
        <f t="shared" ref="I240" si="60">I241</f>
        <v>0</v>
      </c>
      <c r="J240" s="682">
        <f>J241</f>
        <v>0</v>
      </c>
      <c r="K240" s="683">
        <f>K241</f>
        <v>0</v>
      </c>
      <c r="L240" s="683">
        <f>L241</f>
        <v>0</v>
      </c>
      <c r="M240" s="683">
        <f t="shared" ref="M240" si="61">M241</f>
        <v>0</v>
      </c>
      <c r="N240" s="682">
        <f>N241</f>
        <v>0</v>
      </c>
      <c r="O240" s="682">
        <f>O241</f>
        <v>0</v>
      </c>
      <c r="P240" s="683">
        <f t="shared" ref="P240" si="62">P241</f>
        <v>0</v>
      </c>
    </row>
    <row r="241" spans="1:18" ht="181.5" thickTop="1" thickBot="1" x14ac:dyDescent="0.25">
      <c r="A241" s="684" t="s">
        <v>182</v>
      </c>
      <c r="B241" s="684"/>
      <c r="C241" s="684"/>
      <c r="D241" s="685" t="s">
        <v>1113</v>
      </c>
      <c r="E241" s="686">
        <f>E242+E245</f>
        <v>0</v>
      </c>
      <c r="F241" s="686">
        <f>F242+F245</f>
        <v>0</v>
      </c>
      <c r="G241" s="686">
        <f>G242+G245</f>
        <v>0</v>
      </c>
      <c r="H241" s="686">
        <f>H242+H245</f>
        <v>0</v>
      </c>
      <c r="I241" s="686">
        <f>I242+I245</f>
        <v>0</v>
      </c>
      <c r="J241" s="686">
        <f>L241+O241</f>
        <v>0</v>
      </c>
      <c r="K241" s="686">
        <f>K242+K245</f>
        <v>0</v>
      </c>
      <c r="L241" s="686">
        <f>L242+L245</f>
        <v>0</v>
      </c>
      <c r="M241" s="686">
        <f>M242+M245</f>
        <v>0</v>
      </c>
      <c r="N241" s="686">
        <f>N242+N245</f>
        <v>0</v>
      </c>
      <c r="O241" s="686">
        <f>O242+O245</f>
        <v>0</v>
      </c>
      <c r="P241" s="687">
        <f>E241+J241</f>
        <v>0</v>
      </c>
      <c r="Q241" s="181" t="b">
        <f>P241=P243+P244+P247</f>
        <v>1</v>
      </c>
      <c r="R241" s="317" t="e">
        <f>K241=#REF!</f>
        <v>#REF!</v>
      </c>
    </row>
    <row r="242" spans="1:18" ht="48" thickTop="1" thickBot="1" x14ac:dyDescent="0.25">
      <c r="A242" s="251" t="s">
        <v>1025</v>
      </c>
      <c r="B242" s="251" t="s">
        <v>880</v>
      </c>
      <c r="C242" s="251"/>
      <c r="D242" s="251" t="s">
        <v>881</v>
      </c>
      <c r="E242" s="416">
        <f>'d3'!E242-'d3-п'!E242</f>
        <v>0</v>
      </c>
      <c r="F242" s="416">
        <f>'d3'!F242-'d3-п'!F242</f>
        <v>0</v>
      </c>
      <c r="G242" s="416">
        <f>'d3'!G242-'d3-п'!G242</f>
        <v>0</v>
      </c>
      <c r="H242" s="416">
        <f>'d3'!H242-'d3-п'!H242</f>
        <v>0</v>
      </c>
      <c r="I242" s="416">
        <f>'d3'!I242-'d3-п'!I242</f>
        <v>0</v>
      </c>
      <c r="J242" s="416">
        <f>'d3'!J242-'d3-п'!J242</f>
        <v>0</v>
      </c>
      <c r="K242" s="416">
        <f>'d3'!K242-'d3-п'!K242</f>
        <v>0</v>
      </c>
      <c r="L242" s="416">
        <f>'d3'!L242-'d3-п'!L242</f>
        <v>0</v>
      </c>
      <c r="M242" s="416">
        <f>'d3'!M242-'d3-п'!M242</f>
        <v>0</v>
      </c>
      <c r="N242" s="416">
        <f>'d3'!N242-'d3-п'!N242</f>
        <v>0</v>
      </c>
      <c r="O242" s="416">
        <f>'d3'!O242-'d3-п'!O242</f>
        <v>0</v>
      </c>
      <c r="P242" s="416">
        <f>'d3'!P242-'d3-п'!P242</f>
        <v>0</v>
      </c>
      <c r="Q242" s="181"/>
      <c r="R242" s="317"/>
    </row>
    <row r="243" spans="1:18" ht="230.25" thickTop="1" thickBot="1" x14ac:dyDescent="0.25">
      <c r="A243" s="795" t="s">
        <v>457</v>
      </c>
      <c r="B243" s="795" t="s">
        <v>261</v>
      </c>
      <c r="C243" s="795" t="s">
        <v>259</v>
      </c>
      <c r="D243" s="795" t="s">
        <v>260</v>
      </c>
      <c r="E243" s="416">
        <f>'d3'!E243-'d3-п'!E243</f>
        <v>0</v>
      </c>
      <c r="F243" s="416">
        <f>'d3'!F243-'d3-п'!F243</f>
        <v>0</v>
      </c>
      <c r="G243" s="416">
        <f>'d3'!G243-'d3-п'!G243</f>
        <v>0</v>
      </c>
      <c r="H243" s="416">
        <f>'d3'!H243-'d3-п'!H243</f>
        <v>0</v>
      </c>
      <c r="I243" s="416">
        <f>'d3'!I243-'d3-п'!I243</f>
        <v>0</v>
      </c>
      <c r="J243" s="416">
        <f>'d3'!J243-'d3-п'!J243</f>
        <v>0</v>
      </c>
      <c r="K243" s="416">
        <f>'d3'!K243-'d3-п'!K243</f>
        <v>0</v>
      </c>
      <c r="L243" s="416">
        <f>'d3'!L243-'d3-п'!L243</f>
        <v>0</v>
      </c>
      <c r="M243" s="416">
        <f>'d3'!M243-'d3-п'!M243</f>
        <v>0</v>
      </c>
      <c r="N243" s="416">
        <f>'d3'!N243-'d3-п'!N243</f>
        <v>0</v>
      </c>
      <c r="O243" s="416">
        <f>'d3'!O243-'d3-п'!O243</f>
        <v>0</v>
      </c>
      <c r="P243" s="416">
        <f>'d3'!P243-'d3-п'!P243</f>
        <v>0</v>
      </c>
      <c r="Q243" s="276"/>
      <c r="R243" s="317" t="e">
        <f>K243=#REF!</f>
        <v>#REF!</v>
      </c>
    </row>
    <row r="244" spans="1:18" ht="184.5" thickTop="1" thickBot="1" x14ac:dyDescent="0.25">
      <c r="A244" s="795" t="s">
        <v>826</v>
      </c>
      <c r="B244" s="795" t="s">
        <v>398</v>
      </c>
      <c r="C244" s="795" t="s">
        <v>815</v>
      </c>
      <c r="D244" s="795" t="s">
        <v>816</v>
      </c>
      <c r="E244" s="416">
        <f>'d3'!E244-'d3-п'!E244</f>
        <v>0</v>
      </c>
      <c r="F244" s="416">
        <f>'d3'!F244-'d3-п'!F244</f>
        <v>0</v>
      </c>
      <c r="G244" s="416">
        <f>'d3'!G244-'d3-п'!G244</f>
        <v>0</v>
      </c>
      <c r="H244" s="416">
        <f>'d3'!H244-'d3-п'!H244</f>
        <v>0</v>
      </c>
      <c r="I244" s="416">
        <f>'d3'!I244-'d3-п'!I244</f>
        <v>0</v>
      </c>
      <c r="J244" s="416">
        <f>'d3'!J244-'d3-п'!J244</f>
        <v>0</v>
      </c>
      <c r="K244" s="416">
        <f>'d3'!K244-'d3-п'!K244</f>
        <v>0</v>
      </c>
      <c r="L244" s="416">
        <f>'d3'!L244-'d3-п'!L244</f>
        <v>0</v>
      </c>
      <c r="M244" s="416">
        <f>'d3'!M244-'d3-п'!M244</f>
        <v>0</v>
      </c>
      <c r="N244" s="416">
        <f>'d3'!N244-'d3-п'!N244</f>
        <v>0</v>
      </c>
      <c r="O244" s="416">
        <f>'d3'!O244-'d3-п'!O244</f>
        <v>0</v>
      </c>
      <c r="P244" s="416">
        <f>'d3'!P244-'d3-п'!P244</f>
        <v>0</v>
      </c>
      <c r="Q244" s="276"/>
      <c r="R244" s="317"/>
    </row>
    <row r="245" spans="1:18" ht="48" thickTop="1" thickBot="1" x14ac:dyDescent="0.25">
      <c r="A245" s="251" t="s">
        <v>1162</v>
      </c>
      <c r="B245" s="251" t="s">
        <v>948</v>
      </c>
      <c r="C245" s="795"/>
      <c r="D245" s="251" t="s">
        <v>995</v>
      </c>
      <c r="E245" s="416">
        <f>'d3'!E245-'d3-п'!E245</f>
        <v>0</v>
      </c>
      <c r="F245" s="416">
        <f>'d3'!F245-'d3-п'!F245</f>
        <v>0</v>
      </c>
      <c r="G245" s="416">
        <f>'d3'!G245-'d3-п'!G245</f>
        <v>0</v>
      </c>
      <c r="H245" s="416">
        <f>'d3'!H245-'d3-п'!H245</f>
        <v>0</v>
      </c>
      <c r="I245" s="416">
        <f>'d3'!I245-'d3-п'!I245</f>
        <v>0</v>
      </c>
      <c r="J245" s="416">
        <f>'d3'!J245-'d3-п'!J245</f>
        <v>0</v>
      </c>
      <c r="K245" s="416">
        <f>'d3'!K245-'d3-п'!K245</f>
        <v>0</v>
      </c>
      <c r="L245" s="416">
        <f>'d3'!L245-'d3-п'!L245</f>
        <v>0</v>
      </c>
      <c r="M245" s="416">
        <f>'d3'!M245-'d3-п'!M245</f>
        <v>0</v>
      </c>
      <c r="N245" s="416">
        <f>'d3'!N245-'d3-п'!N245</f>
        <v>0</v>
      </c>
      <c r="O245" s="416">
        <f>'d3'!O245-'d3-п'!O245</f>
        <v>0</v>
      </c>
      <c r="P245" s="416">
        <f>'d3'!P245-'d3-п'!P245</f>
        <v>0</v>
      </c>
      <c r="Q245" s="276"/>
      <c r="R245" s="317"/>
    </row>
    <row r="246" spans="1:18" ht="91.5" thickTop="1" thickBot="1" x14ac:dyDescent="0.25">
      <c r="A246" s="557" t="s">
        <v>1163</v>
      </c>
      <c r="B246" s="557" t="s">
        <v>1004</v>
      </c>
      <c r="C246" s="557"/>
      <c r="D246" s="557" t="s">
        <v>1005</v>
      </c>
      <c r="E246" s="416">
        <f>'d3'!E246-'d3-п'!E246</f>
        <v>0</v>
      </c>
      <c r="F246" s="416">
        <f>'d3'!F246-'d3-п'!F246</f>
        <v>0</v>
      </c>
      <c r="G246" s="416">
        <f>'d3'!G246-'d3-п'!G246</f>
        <v>0</v>
      </c>
      <c r="H246" s="416">
        <f>'d3'!H246-'d3-п'!H246</f>
        <v>0</v>
      </c>
      <c r="I246" s="416">
        <f>'d3'!I246-'d3-п'!I246</f>
        <v>0</v>
      </c>
      <c r="J246" s="416">
        <f>'d3'!J246-'d3-п'!J246</f>
        <v>0</v>
      </c>
      <c r="K246" s="416">
        <f>'d3'!K246-'d3-п'!K246</f>
        <v>0</v>
      </c>
      <c r="L246" s="416">
        <f>'d3'!L246-'d3-п'!L246</f>
        <v>0</v>
      </c>
      <c r="M246" s="416">
        <f>'d3'!M246-'d3-п'!M246</f>
        <v>0</v>
      </c>
      <c r="N246" s="416">
        <f>'d3'!N246-'d3-п'!N246</f>
        <v>0</v>
      </c>
      <c r="O246" s="416">
        <f>'d3'!O246-'d3-п'!O246</f>
        <v>0</v>
      </c>
      <c r="P246" s="416">
        <f>'d3'!P246-'d3-п'!P246</f>
        <v>0</v>
      </c>
      <c r="Q246" s="276"/>
      <c r="R246" s="317"/>
    </row>
    <row r="247" spans="1:18" ht="138.75" thickTop="1" thickBot="1" x14ac:dyDescent="0.25">
      <c r="A247" s="795" t="s">
        <v>1164</v>
      </c>
      <c r="B247" s="795" t="s">
        <v>1165</v>
      </c>
      <c r="C247" s="795" t="s">
        <v>330</v>
      </c>
      <c r="D247" s="795" t="s">
        <v>1166</v>
      </c>
      <c r="E247" s="416">
        <f>'d3'!E247-'d3-п'!E247</f>
        <v>0</v>
      </c>
      <c r="F247" s="416">
        <f>'d3'!F247-'d3-п'!F247</f>
        <v>0</v>
      </c>
      <c r="G247" s="416">
        <f>'d3'!G247-'d3-п'!G247</f>
        <v>0</v>
      </c>
      <c r="H247" s="416">
        <f>'d3'!H247-'d3-п'!H247</f>
        <v>0</v>
      </c>
      <c r="I247" s="416">
        <f>'d3'!I247-'d3-п'!I247</f>
        <v>0</v>
      </c>
      <c r="J247" s="416">
        <f>'d3'!J247-'d3-п'!J247</f>
        <v>0</v>
      </c>
      <c r="K247" s="416">
        <f>'d3'!K247-'d3-п'!K247</f>
        <v>0</v>
      </c>
      <c r="L247" s="416">
        <f>'d3'!L247-'d3-п'!L247</f>
        <v>0</v>
      </c>
      <c r="M247" s="416">
        <f>'d3'!M247-'d3-п'!M247</f>
        <v>0</v>
      </c>
      <c r="N247" s="416">
        <f>'d3'!N247-'d3-п'!N247</f>
        <v>0</v>
      </c>
      <c r="O247" s="416">
        <f>'d3'!O247-'d3-п'!O247</f>
        <v>0</v>
      </c>
      <c r="P247" s="416">
        <f>'d3'!P247-'d3-п'!P247</f>
        <v>0</v>
      </c>
      <c r="Q247" s="276"/>
      <c r="R247" s="317" t="e">
        <f>K247=#REF!+#REF!</f>
        <v>#REF!</v>
      </c>
    </row>
    <row r="248" spans="1:18" ht="136.5" thickTop="1" thickBot="1" x14ac:dyDescent="0.25">
      <c r="A248" s="680" t="s">
        <v>487</v>
      </c>
      <c r="B248" s="680"/>
      <c r="C248" s="680"/>
      <c r="D248" s="681" t="s">
        <v>489</v>
      </c>
      <c r="E248" s="682">
        <f>E249</f>
        <v>0</v>
      </c>
      <c r="F248" s="683">
        <f t="shared" ref="F248:G248" si="63">F249</f>
        <v>0</v>
      </c>
      <c r="G248" s="683">
        <f t="shared" si="63"/>
        <v>0</v>
      </c>
      <c r="H248" s="683">
        <f>H249</f>
        <v>0</v>
      </c>
      <c r="I248" s="683">
        <f t="shared" ref="I248" si="64">I249</f>
        <v>0</v>
      </c>
      <c r="J248" s="682">
        <f>J249</f>
        <v>0</v>
      </c>
      <c r="K248" s="683">
        <f>K249</f>
        <v>0</v>
      </c>
      <c r="L248" s="683">
        <f>L249</f>
        <v>0</v>
      </c>
      <c r="M248" s="683">
        <f t="shared" ref="M248" si="65">M249</f>
        <v>0</v>
      </c>
      <c r="N248" s="682">
        <f>N249</f>
        <v>0</v>
      </c>
      <c r="O248" s="682">
        <f>O249</f>
        <v>0</v>
      </c>
      <c r="P248" s="683">
        <f t="shared" ref="P248" si="66">P249</f>
        <v>0</v>
      </c>
    </row>
    <row r="249" spans="1:18" ht="181.5" thickTop="1" thickBot="1" x14ac:dyDescent="0.25">
      <c r="A249" s="684" t="s">
        <v>488</v>
      </c>
      <c r="B249" s="684"/>
      <c r="C249" s="684"/>
      <c r="D249" s="685" t="s">
        <v>490</v>
      </c>
      <c r="E249" s="686">
        <f>E250+E254</f>
        <v>0</v>
      </c>
      <c r="F249" s="686">
        <f t="shared" ref="F249:I249" si="67">F250+F254</f>
        <v>0</v>
      </c>
      <c r="G249" s="686">
        <f t="shared" si="67"/>
        <v>0</v>
      </c>
      <c r="H249" s="686">
        <f t="shared" si="67"/>
        <v>0</v>
      </c>
      <c r="I249" s="686">
        <f t="shared" si="67"/>
        <v>0</v>
      </c>
      <c r="J249" s="686">
        <f>L249+O249</f>
        <v>0</v>
      </c>
      <c r="K249" s="686">
        <f t="shared" ref="K249:O249" si="68">K250+K254</f>
        <v>0</v>
      </c>
      <c r="L249" s="686">
        <f t="shared" si="68"/>
        <v>0</v>
      </c>
      <c r="M249" s="686">
        <f t="shared" si="68"/>
        <v>0</v>
      </c>
      <c r="N249" s="686">
        <f t="shared" si="68"/>
        <v>0</v>
      </c>
      <c r="O249" s="686">
        <f t="shared" si="68"/>
        <v>0</v>
      </c>
      <c r="P249" s="687">
        <f>E249+J249</f>
        <v>0</v>
      </c>
      <c r="Q249" s="181" t="b">
        <f>P249=P251+P253+P257+P252</f>
        <v>1</v>
      </c>
      <c r="R249" s="317" t="e">
        <f>K249=#REF!</f>
        <v>#REF!</v>
      </c>
    </row>
    <row r="250" spans="1:18" ht="48" thickTop="1" thickBot="1" x14ac:dyDescent="0.25">
      <c r="A250" s="251" t="s">
        <v>1026</v>
      </c>
      <c r="B250" s="251" t="s">
        <v>880</v>
      </c>
      <c r="C250" s="251"/>
      <c r="D250" s="251" t="s">
        <v>881</v>
      </c>
      <c r="E250" s="416">
        <f>'d3'!E250-'d3-п'!E250</f>
        <v>0</v>
      </c>
      <c r="F250" s="416">
        <f>'d3'!F250-'d3-п'!F250</f>
        <v>0</v>
      </c>
      <c r="G250" s="416">
        <f>'d3'!G250-'d3-п'!G250</f>
        <v>0</v>
      </c>
      <c r="H250" s="416">
        <f>'d3'!H250-'d3-п'!H250</f>
        <v>0</v>
      </c>
      <c r="I250" s="416">
        <f>'d3'!I250-'d3-п'!I250</f>
        <v>0</v>
      </c>
      <c r="J250" s="416">
        <f>'d3'!J250-'d3-п'!J250</f>
        <v>0</v>
      </c>
      <c r="K250" s="416">
        <f>'d3'!K250-'d3-п'!K250</f>
        <v>0</v>
      </c>
      <c r="L250" s="416">
        <f>'d3'!L250-'d3-п'!L250</f>
        <v>0</v>
      </c>
      <c r="M250" s="416">
        <f>'d3'!M250-'d3-п'!M250</f>
        <v>0</v>
      </c>
      <c r="N250" s="416">
        <f>'d3'!N250-'d3-п'!N250</f>
        <v>0</v>
      </c>
      <c r="O250" s="416">
        <f>'d3'!O250-'d3-п'!O250</f>
        <v>0</v>
      </c>
      <c r="P250" s="416">
        <f>'d3'!P250-'d3-п'!P250</f>
        <v>0</v>
      </c>
      <c r="Q250" s="181"/>
      <c r="R250" s="317"/>
    </row>
    <row r="251" spans="1:18" ht="230.25" thickTop="1" thickBot="1" x14ac:dyDescent="0.25">
      <c r="A251" s="795" t="s">
        <v>491</v>
      </c>
      <c r="B251" s="795" t="s">
        <v>261</v>
      </c>
      <c r="C251" s="795" t="s">
        <v>259</v>
      </c>
      <c r="D251" s="795" t="s">
        <v>260</v>
      </c>
      <c r="E251" s="416">
        <f>'d3'!E251-'d3-п'!E251</f>
        <v>0</v>
      </c>
      <c r="F251" s="416">
        <f>'d3'!F251-'d3-п'!F251</f>
        <v>0</v>
      </c>
      <c r="G251" s="416">
        <f>'d3'!G251-'d3-п'!G251</f>
        <v>0</v>
      </c>
      <c r="H251" s="416">
        <f>'d3'!H251-'d3-п'!H251</f>
        <v>0</v>
      </c>
      <c r="I251" s="416">
        <f>'d3'!I251-'d3-п'!I251</f>
        <v>0</v>
      </c>
      <c r="J251" s="416">
        <f>'d3'!J251-'d3-п'!J251</f>
        <v>0</v>
      </c>
      <c r="K251" s="416">
        <f>'d3'!K251-'d3-п'!K251</f>
        <v>0</v>
      </c>
      <c r="L251" s="416">
        <f>'d3'!L251-'d3-п'!L251</f>
        <v>0</v>
      </c>
      <c r="M251" s="416">
        <f>'d3'!M251-'d3-п'!M251</f>
        <v>0</v>
      </c>
      <c r="N251" s="416">
        <f>'d3'!N251-'d3-п'!N251</f>
        <v>0</v>
      </c>
      <c r="O251" s="416">
        <f>'d3'!O251-'d3-п'!O251</f>
        <v>0</v>
      </c>
      <c r="P251" s="416">
        <f>'d3'!P251-'d3-п'!P251</f>
        <v>0</v>
      </c>
      <c r="Q251" s="276"/>
      <c r="R251" s="317" t="e">
        <f>K251=#REF!</f>
        <v>#REF!</v>
      </c>
    </row>
    <row r="252" spans="1:18" ht="184.5" thickTop="1" thickBot="1" x14ac:dyDescent="0.25">
      <c r="A252" s="795" t="s">
        <v>827</v>
      </c>
      <c r="B252" s="795" t="s">
        <v>398</v>
      </c>
      <c r="C252" s="795" t="s">
        <v>815</v>
      </c>
      <c r="D252" s="795" t="s">
        <v>816</v>
      </c>
      <c r="E252" s="416">
        <f>'d3'!E252-'d3-п'!E252</f>
        <v>0</v>
      </c>
      <c r="F252" s="416">
        <f>'d3'!F252-'d3-п'!F252</f>
        <v>0</v>
      </c>
      <c r="G252" s="416">
        <f>'d3'!G252-'d3-п'!G252</f>
        <v>0</v>
      </c>
      <c r="H252" s="416">
        <f>'d3'!H252-'d3-п'!H252</f>
        <v>0</v>
      </c>
      <c r="I252" s="416">
        <f>'d3'!I252-'d3-п'!I252</f>
        <v>0</v>
      </c>
      <c r="J252" s="416">
        <f>'d3'!J252-'d3-п'!J252</f>
        <v>0</v>
      </c>
      <c r="K252" s="416">
        <f>'d3'!K252-'d3-п'!K252</f>
        <v>0</v>
      </c>
      <c r="L252" s="416">
        <f>'d3'!L252-'d3-п'!L252</f>
        <v>0</v>
      </c>
      <c r="M252" s="416">
        <f>'d3'!M252-'d3-п'!M252</f>
        <v>0</v>
      </c>
      <c r="N252" s="416">
        <f>'d3'!N252-'d3-п'!N252</f>
        <v>0</v>
      </c>
      <c r="O252" s="416">
        <f>'d3'!O252-'d3-п'!O252</f>
        <v>0</v>
      </c>
      <c r="P252" s="416">
        <f>'d3'!P252-'d3-п'!P252</f>
        <v>0</v>
      </c>
      <c r="Q252" s="276"/>
      <c r="R252" s="317"/>
    </row>
    <row r="253" spans="1:18" ht="93" hidden="1" thickTop="1" thickBot="1" x14ac:dyDescent="0.25">
      <c r="A253" s="264" t="s">
        <v>515</v>
      </c>
      <c r="B253" s="264" t="s">
        <v>450</v>
      </c>
      <c r="C253" s="264" t="s">
        <v>451</v>
      </c>
      <c r="D253" s="264" t="s">
        <v>452</v>
      </c>
      <c r="E253" s="416">
        <f>'d3'!E253-'d3-п'!E253</f>
        <v>0</v>
      </c>
      <c r="F253" s="416">
        <f>'d3'!F253-'d3-п'!F253</f>
        <v>0</v>
      </c>
      <c r="G253" s="416">
        <f>'d3'!G253-'d3-п'!G253</f>
        <v>0</v>
      </c>
      <c r="H253" s="416">
        <f>'d3'!H253-'d3-п'!H253</f>
        <v>0</v>
      </c>
      <c r="I253" s="416">
        <f>'d3'!I253-'d3-п'!I253</f>
        <v>0</v>
      </c>
      <c r="J253" s="416">
        <f>'d3'!J253-'d3-п'!J253</f>
        <v>0</v>
      </c>
      <c r="K253" s="416">
        <f>'d3'!K253-'d3-п'!K253</f>
        <v>0</v>
      </c>
      <c r="L253" s="416">
        <f>'d3'!L253-'d3-п'!L253</f>
        <v>0</v>
      </c>
      <c r="M253" s="416">
        <f>'d3'!M253-'d3-п'!M253</f>
        <v>0</v>
      </c>
      <c r="N253" s="416">
        <f>'d3'!N253-'d3-п'!N253</f>
        <v>0</v>
      </c>
      <c r="O253" s="416">
        <f>'d3'!O253-'d3-п'!O253</f>
        <v>0</v>
      </c>
      <c r="P253" s="416">
        <f>'d3'!P253-'d3-п'!P253</f>
        <v>0</v>
      </c>
      <c r="Q253" s="276"/>
      <c r="R253" s="277"/>
    </row>
    <row r="254" spans="1:18" ht="48" thickTop="1" thickBot="1" x14ac:dyDescent="0.25">
      <c r="A254" s="251" t="s">
        <v>1027</v>
      </c>
      <c r="B254" s="251" t="s">
        <v>948</v>
      </c>
      <c r="C254" s="795"/>
      <c r="D254" s="251" t="s">
        <v>995</v>
      </c>
      <c r="E254" s="416">
        <f>'d3'!E254-'d3-п'!E254</f>
        <v>0</v>
      </c>
      <c r="F254" s="416">
        <f>'d3'!F254-'d3-п'!F254</f>
        <v>0</v>
      </c>
      <c r="G254" s="416">
        <f>'d3'!G254-'d3-п'!G254</f>
        <v>0</v>
      </c>
      <c r="H254" s="416">
        <f>'d3'!H254-'d3-п'!H254</f>
        <v>0</v>
      </c>
      <c r="I254" s="416">
        <f>'d3'!I254-'d3-п'!I254</f>
        <v>0</v>
      </c>
      <c r="J254" s="416">
        <f>'d3'!J254-'d3-п'!J254</f>
        <v>0</v>
      </c>
      <c r="K254" s="416">
        <f>'d3'!K254-'d3-п'!K254</f>
        <v>0</v>
      </c>
      <c r="L254" s="416">
        <f>'d3'!L254-'d3-п'!L254</f>
        <v>0</v>
      </c>
      <c r="M254" s="416">
        <f>'d3'!M254-'d3-п'!M254</f>
        <v>0</v>
      </c>
      <c r="N254" s="416">
        <f>'d3'!N254-'d3-п'!N254</f>
        <v>0</v>
      </c>
      <c r="O254" s="416">
        <f>'d3'!O254-'d3-п'!O254</f>
        <v>0</v>
      </c>
      <c r="P254" s="416">
        <f>'d3'!P254-'d3-п'!P254</f>
        <v>0</v>
      </c>
      <c r="Q254" s="276"/>
      <c r="R254" s="277"/>
    </row>
    <row r="255" spans="1:18" ht="136.5" thickTop="1" thickBot="1" x14ac:dyDescent="0.25">
      <c r="A255" s="557" t="s">
        <v>1028</v>
      </c>
      <c r="B255" s="557" t="s">
        <v>1007</v>
      </c>
      <c r="C255" s="557"/>
      <c r="D255" s="557" t="s">
        <v>1008</v>
      </c>
      <c r="E255" s="416">
        <f>'d3'!E255-'d3-п'!E255</f>
        <v>0</v>
      </c>
      <c r="F255" s="416">
        <f>'d3'!F255-'d3-п'!F255</f>
        <v>0</v>
      </c>
      <c r="G255" s="416">
        <f>'d3'!G255-'d3-п'!G255</f>
        <v>0</v>
      </c>
      <c r="H255" s="416">
        <f>'d3'!H255-'d3-п'!H255</f>
        <v>0</v>
      </c>
      <c r="I255" s="416">
        <f>'d3'!I255-'d3-п'!I255</f>
        <v>0</v>
      </c>
      <c r="J255" s="416">
        <f>'d3'!J255-'d3-п'!J255</f>
        <v>0</v>
      </c>
      <c r="K255" s="416">
        <f>'d3'!K255-'d3-п'!K255</f>
        <v>0</v>
      </c>
      <c r="L255" s="416">
        <f>'d3'!L255-'d3-п'!L255</f>
        <v>0</v>
      </c>
      <c r="M255" s="416">
        <f>'d3'!M255-'d3-п'!M255</f>
        <v>0</v>
      </c>
      <c r="N255" s="416">
        <f>'d3'!N255-'d3-п'!N255</f>
        <v>0</v>
      </c>
      <c r="O255" s="416">
        <f>'d3'!O255-'d3-п'!O255</f>
        <v>0</v>
      </c>
      <c r="P255" s="416">
        <f>'d3'!P255-'d3-п'!P255</f>
        <v>0</v>
      </c>
      <c r="Q255" s="276"/>
      <c r="R255" s="277"/>
    </row>
    <row r="256" spans="1:18" ht="138.75" thickTop="1" thickBot="1" x14ac:dyDescent="0.25">
      <c r="A256" s="552" t="s">
        <v>1029</v>
      </c>
      <c r="B256" s="552" t="s">
        <v>1030</v>
      </c>
      <c r="C256" s="552"/>
      <c r="D256" s="552" t="s">
        <v>1031</v>
      </c>
      <c r="E256" s="416">
        <f>'d3'!E256-'d3-п'!E256</f>
        <v>0</v>
      </c>
      <c r="F256" s="416">
        <f>'d3'!F256-'d3-п'!F256</f>
        <v>0</v>
      </c>
      <c r="G256" s="416">
        <f>'d3'!G256-'d3-п'!G256</f>
        <v>0</v>
      </c>
      <c r="H256" s="416">
        <f>'d3'!H256-'d3-п'!H256</f>
        <v>0</v>
      </c>
      <c r="I256" s="416">
        <f>'d3'!I256-'d3-п'!I256</f>
        <v>0</v>
      </c>
      <c r="J256" s="416">
        <f>'d3'!J256-'d3-п'!J256</f>
        <v>0</v>
      </c>
      <c r="K256" s="416">
        <f>'d3'!K256-'d3-п'!K256</f>
        <v>0</v>
      </c>
      <c r="L256" s="416">
        <f>'d3'!L256-'d3-п'!L256</f>
        <v>0</v>
      </c>
      <c r="M256" s="416">
        <f>'d3'!M256-'d3-п'!M256</f>
        <v>0</v>
      </c>
      <c r="N256" s="416">
        <f>'d3'!N256-'d3-п'!N256</f>
        <v>0</v>
      </c>
      <c r="O256" s="416">
        <f>'d3'!O256-'d3-п'!O256</f>
        <v>0</v>
      </c>
      <c r="P256" s="416">
        <f>'d3'!P256-'d3-п'!P256</f>
        <v>0</v>
      </c>
      <c r="Q256" s="276"/>
      <c r="R256" s="277"/>
    </row>
    <row r="257" spans="1:18" ht="93" thickTop="1" thickBot="1" x14ac:dyDescent="0.25">
      <c r="A257" s="795" t="s">
        <v>516</v>
      </c>
      <c r="B257" s="795" t="s">
        <v>316</v>
      </c>
      <c r="C257" s="795" t="s">
        <v>318</v>
      </c>
      <c r="D257" s="795" t="s">
        <v>317</v>
      </c>
      <c r="E257" s="416">
        <f>'d3'!E257-'d3-п'!E257</f>
        <v>0</v>
      </c>
      <c r="F257" s="416">
        <f>'d3'!F257-'d3-п'!F257</f>
        <v>0</v>
      </c>
      <c r="G257" s="416">
        <f>'d3'!G257-'d3-п'!G257</f>
        <v>0</v>
      </c>
      <c r="H257" s="416">
        <f>'d3'!H257-'d3-п'!H257</f>
        <v>0</v>
      </c>
      <c r="I257" s="416">
        <f>'d3'!I257-'d3-п'!I257</f>
        <v>0</v>
      </c>
      <c r="J257" s="416">
        <f>'d3'!J257-'d3-п'!J257</f>
        <v>0</v>
      </c>
      <c r="K257" s="416">
        <f>'d3'!K257-'d3-п'!K257</f>
        <v>0</v>
      </c>
      <c r="L257" s="416">
        <f>'d3'!L257-'d3-п'!L257</f>
        <v>0</v>
      </c>
      <c r="M257" s="416">
        <f>'d3'!M257-'d3-п'!M257</f>
        <v>0</v>
      </c>
      <c r="N257" s="416">
        <f>'d3'!N257-'d3-п'!N257</f>
        <v>0</v>
      </c>
      <c r="O257" s="416">
        <f>'d3'!O257-'d3-п'!O257</f>
        <v>0</v>
      </c>
      <c r="P257" s="416">
        <f>'d3'!P257-'d3-п'!P257</f>
        <v>0</v>
      </c>
      <c r="Q257" s="276"/>
      <c r="R257" s="277"/>
    </row>
    <row r="258" spans="1:18" ht="136.5" thickTop="1" thickBot="1" x14ac:dyDescent="0.25">
      <c r="A258" s="680" t="s">
        <v>187</v>
      </c>
      <c r="B258" s="680"/>
      <c r="C258" s="680"/>
      <c r="D258" s="681" t="s">
        <v>388</v>
      </c>
      <c r="E258" s="682">
        <f>E259</f>
        <v>-795970</v>
      </c>
      <c r="F258" s="683">
        <f t="shared" ref="F258:G258" si="69">F259</f>
        <v>-795970</v>
      </c>
      <c r="G258" s="683">
        <f t="shared" si="69"/>
        <v>0</v>
      </c>
      <c r="H258" s="683">
        <f>H259</f>
        <v>0</v>
      </c>
      <c r="I258" s="683">
        <f t="shared" ref="I258" si="70">I259</f>
        <v>0</v>
      </c>
      <c r="J258" s="682">
        <f>J259</f>
        <v>0</v>
      </c>
      <c r="K258" s="683">
        <f>K259</f>
        <v>0</v>
      </c>
      <c r="L258" s="683">
        <f>L259</f>
        <v>0</v>
      </c>
      <c r="M258" s="683">
        <f t="shared" ref="M258" si="71">M259</f>
        <v>0</v>
      </c>
      <c r="N258" s="682">
        <f>N259</f>
        <v>0</v>
      </c>
      <c r="O258" s="682">
        <f>O259</f>
        <v>0</v>
      </c>
      <c r="P258" s="683">
        <f t="shared" ref="P258" si="72">P259</f>
        <v>-795970</v>
      </c>
    </row>
    <row r="259" spans="1:18" ht="136.5" thickTop="1" thickBot="1" x14ac:dyDescent="0.25">
      <c r="A259" s="684" t="s">
        <v>188</v>
      </c>
      <c r="B259" s="684"/>
      <c r="C259" s="684"/>
      <c r="D259" s="685" t="s">
        <v>389</v>
      </c>
      <c r="E259" s="686">
        <f>E260+E266</f>
        <v>-795970</v>
      </c>
      <c r="F259" s="686">
        <f>F260+F266</f>
        <v>-795970</v>
      </c>
      <c r="G259" s="686">
        <f t="shared" ref="G259:O259" si="73">G260+G266</f>
        <v>0</v>
      </c>
      <c r="H259" s="686">
        <f t="shared" si="73"/>
        <v>0</v>
      </c>
      <c r="I259" s="686">
        <f t="shared" si="73"/>
        <v>0</v>
      </c>
      <c r="J259" s="686">
        <f t="shared" ref="J259" si="74">L259+O259</f>
        <v>0</v>
      </c>
      <c r="K259" s="686">
        <f t="shared" si="73"/>
        <v>0</v>
      </c>
      <c r="L259" s="686">
        <f t="shared" si="73"/>
        <v>0</v>
      </c>
      <c r="M259" s="686">
        <f t="shared" si="73"/>
        <v>0</v>
      </c>
      <c r="N259" s="686">
        <f t="shared" si="73"/>
        <v>0</v>
      </c>
      <c r="O259" s="686">
        <f t="shared" si="73"/>
        <v>0</v>
      </c>
      <c r="P259" s="687">
        <f t="shared" ref="P259" si="75">E259+J259</f>
        <v>-795970</v>
      </c>
      <c r="Q259" s="181" t="b">
        <f>P259=P262+P263+P265+P268</f>
        <v>1</v>
      </c>
      <c r="R259" s="317" t="e">
        <f>K259=#REF!</f>
        <v>#REF!</v>
      </c>
    </row>
    <row r="260" spans="1:18" ht="48" thickTop="1" thickBot="1" x14ac:dyDescent="0.25">
      <c r="A260" s="251" t="s">
        <v>1032</v>
      </c>
      <c r="B260" s="251" t="s">
        <v>948</v>
      </c>
      <c r="C260" s="795"/>
      <c r="D260" s="251" t="s">
        <v>995</v>
      </c>
      <c r="E260" s="416">
        <f>'d3'!E260-'d3-п'!E260</f>
        <v>-795970</v>
      </c>
      <c r="F260" s="416">
        <f>'d3'!F260-'d3-п'!F260</f>
        <v>-795970</v>
      </c>
      <c r="G260" s="416">
        <f>'d3'!G260-'d3-п'!G260</f>
        <v>0</v>
      </c>
      <c r="H260" s="416">
        <f>'d3'!H260-'d3-п'!H260</f>
        <v>0</v>
      </c>
      <c r="I260" s="416">
        <f>'d3'!I260-'d3-п'!I260</f>
        <v>0</v>
      </c>
      <c r="J260" s="416">
        <f>'d3'!J260-'d3-п'!J260</f>
        <v>0</v>
      </c>
      <c r="K260" s="416">
        <f>'d3'!K260-'d3-п'!K260</f>
        <v>0</v>
      </c>
      <c r="L260" s="416">
        <f>'d3'!L260-'d3-п'!L260</f>
        <v>0</v>
      </c>
      <c r="M260" s="416">
        <f>'d3'!M260-'d3-п'!M260</f>
        <v>0</v>
      </c>
      <c r="N260" s="416">
        <f>'d3'!N260-'d3-п'!N260</f>
        <v>0</v>
      </c>
      <c r="O260" s="416">
        <f>'d3'!O260-'d3-п'!O260</f>
        <v>0</v>
      </c>
      <c r="P260" s="416">
        <f>'d3'!P260-'d3-п'!P260</f>
        <v>-795970</v>
      </c>
      <c r="Q260" s="181"/>
      <c r="R260" s="317"/>
    </row>
    <row r="261" spans="1:18" ht="136.5" thickTop="1" thickBot="1" x14ac:dyDescent="0.25">
      <c r="A261" s="557" t="s">
        <v>1033</v>
      </c>
      <c r="B261" s="557" t="s">
        <v>887</v>
      </c>
      <c r="C261" s="557"/>
      <c r="D261" s="557" t="s">
        <v>885</v>
      </c>
      <c r="E261" s="416">
        <f>'d3'!E261-'d3-п'!E261</f>
        <v>-795970</v>
      </c>
      <c r="F261" s="416">
        <f>'d3'!F261-'d3-п'!F261</f>
        <v>-795970</v>
      </c>
      <c r="G261" s="416">
        <f>'d3'!G261-'d3-п'!G261</f>
        <v>0</v>
      </c>
      <c r="H261" s="416">
        <f>'d3'!H261-'d3-п'!H261</f>
        <v>0</v>
      </c>
      <c r="I261" s="416">
        <f>'d3'!I261-'d3-п'!I261</f>
        <v>0</v>
      </c>
      <c r="J261" s="416">
        <f>'d3'!J261-'d3-п'!J261</f>
        <v>0</v>
      </c>
      <c r="K261" s="416">
        <f>'d3'!K261-'d3-п'!K261</f>
        <v>0</v>
      </c>
      <c r="L261" s="416">
        <f>'d3'!L261-'d3-п'!L261</f>
        <v>0</v>
      </c>
      <c r="M261" s="416">
        <f>'d3'!M261-'d3-п'!M261</f>
        <v>0</v>
      </c>
      <c r="N261" s="416">
        <f>'d3'!N261-'d3-п'!N261</f>
        <v>0</v>
      </c>
      <c r="O261" s="416">
        <f>'d3'!O261-'d3-п'!O261</f>
        <v>0</v>
      </c>
      <c r="P261" s="416">
        <f>'d3'!P261-'d3-п'!P261</f>
        <v>-795970</v>
      </c>
      <c r="Q261" s="181"/>
      <c r="R261" s="317"/>
    </row>
    <row r="262" spans="1:18" ht="93" thickTop="1" thickBot="1" x14ac:dyDescent="0.25">
      <c r="A262" s="795" t="s">
        <v>285</v>
      </c>
      <c r="B262" s="795" t="s">
        <v>286</v>
      </c>
      <c r="C262" s="795" t="s">
        <v>284</v>
      </c>
      <c r="D262" s="795" t="s">
        <v>283</v>
      </c>
      <c r="E262" s="416">
        <f>'d3'!E262-'d3-п'!E262</f>
        <v>-795970</v>
      </c>
      <c r="F262" s="416">
        <f>'d3'!F262-'d3-п'!F262</f>
        <v>-795970</v>
      </c>
      <c r="G262" s="416">
        <f>'d3'!G262-'d3-п'!G262</f>
        <v>0</v>
      </c>
      <c r="H262" s="416">
        <f>'d3'!H262-'d3-п'!H262</f>
        <v>0</v>
      </c>
      <c r="I262" s="416">
        <f>'d3'!I262-'d3-п'!I262</f>
        <v>0</v>
      </c>
      <c r="J262" s="416">
        <f>'d3'!J262-'d3-п'!J262</f>
        <v>0</v>
      </c>
      <c r="K262" s="416">
        <f>'d3'!K262-'d3-п'!K262</f>
        <v>0</v>
      </c>
      <c r="L262" s="416">
        <f>'d3'!L262-'d3-п'!L262</f>
        <v>0</v>
      </c>
      <c r="M262" s="416">
        <f>'d3'!M262-'d3-п'!M262</f>
        <v>0</v>
      </c>
      <c r="N262" s="416">
        <f>'d3'!N262-'d3-п'!N262</f>
        <v>0</v>
      </c>
      <c r="O262" s="416">
        <f>'d3'!O262-'d3-п'!O262</f>
        <v>0</v>
      </c>
      <c r="P262" s="416">
        <f>'d3'!P262-'d3-п'!P262</f>
        <v>-795970</v>
      </c>
      <c r="R262" s="317"/>
    </row>
    <row r="263" spans="1:18" ht="138.75" thickTop="1" thickBot="1" x14ac:dyDescent="0.25">
      <c r="A263" s="795" t="s">
        <v>277</v>
      </c>
      <c r="B263" s="795" t="s">
        <v>279</v>
      </c>
      <c r="C263" s="795" t="s">
        <v>238</v>
      </c>
      <c r="D263" s="795" t="s">
        <v>278</v>
      </c>
      <c r="E263" s="416">
        <f>'d3'!E263-'d3-п'!E263</f>
        <v>0</v>
      </c>
      <c r="F263" s="416">
        <f>'d3'!F263-'d3-п'!F263</f>
        <v>0</v>
      </c>
      <c r="G263" s="416">
        <f>'d3'!G263-'d3-п'!G263</f>
        <v>0</v>
      </c>
      <c r="H263" s="416">
        <f>'d3'!H263-'d3-п'!H263</f>
        <v>0</v>
      </c>
      <c r="I263" s="416">
        <f>'d3'!I263-'d3-п'!I263</f>
        <v>0</v>
      </c>
      <c r="J263" s="416">
        <f>'d3'!J263-'d3-п'!J263</f>
        <v>0</v>
      </c>
      <c r="K263" s="416">
        <f>'d3'!K263-'d3-п'!K263</f>
        <v>0</v>
      </c>
      <c r="L263" s="416">
        <f>'d3'!L263-'d3-п'!L263</f>
        <v>0</v>
      </c>
      <c r="M263" s="416">
        <f>'d3'!M263-'d3-п'!M263</f>
        <v>0</v>
      </c>
      <c r="N263" s="416">
        <f>'d3'!N263-'d3-п'!N263</f>
        <v>0</v>
      </c>
      <c r="O263" s="416">
        <f>'d3'!O263-'d3-п'!O263</f>
        <v>0</v>
      </c>
      <c r="P263" s="416">
        <f>'d3'!P263-'d3-п'!P263</f>
        <v>0</v>
      </c>
      <c r="R263" s="317"/>
    </row>
    <row r="264" spans="1:18" ht="48" thickTop="1" thickBot="1" x14ac:dyDescent="0.25">
      <c r="A264" s="552" t="s">
        <v>1034</v>
      </c>
      <c r="B264" s="552" t="s">
        <v>890</v>
      </c>
      <c r="C264" s="552"/>
      <c r="D264" s="552" t="s">
        <v>888</v>
      </c>
      <c r="E264" s="416">
        <f>'d3'!E264-'d3-п'!E264</f>
        <v>0</v>
      </c>
      <c r="F264" s="416">
        <f>'d3'!F264-'d3-п'!F264</f>
        <v>0</v>
      </c>
      <c r="G264" s="416">
        <f>'d3'!G264-'d3-п'!G264</f>
        <v>0</v>
      </c>
      <c r="H264" s="416">
        <f>'d3'!H264-'d3-п'!H264</f>
        <v>0</v>
      </c>
      <c r="I264" s="416">
        <f>'d3'!I264-'d3-п'!I264</f>
        <v>0</v>
      </c>
      <c r="J264" s="416">
        <f>'d3'!J264-'d3-п'!J264</f>
        <v>0</v>
      </c>
      <c r="K264" s="416">
        <f>'d3'!K264-'d3-п'!K264</f>
        <v>0</v>
      </c>
      <c r="L264" s="416">
        <f>'d3'!L264-'d3-п'!L264</f>
        <v>0</v>
      </c>
      <c r="M264" s="416">
        <f>'d3'!M264-'d3-п'!M264</f>
        <v>0</v>
      </c>
      <c r="N264" s="416">
        <f>'d3'!N264-'d3-п'!N264</f>
        <v>0</v>
      </c>
      <c r="O264" s="416">
        <f>'d3'!O264-'d3-п'!O264</f>
        <v>0</v>
      </c>
      <c r="P264" s="416">
        <f>'d3'!P264-'d3-п'!P264</f>
        <v>0</v>
      </c>
      <c r="R264" s="317"/>
    </row>
    <row r="265" spans="1:18" ht="93" thickTop="1" thickBot="1" x14ac:dyDescent="0.25">
      <c r="A265" s="795" t="s">
        <v>281</v>
      </c>
      <c r="B265" s="795" t="s">
        <v>282</v>
      </c>
      <c r="C265" s="795" t="s">
        <v>191</v>
      </c>
      <c r="D265" s="795" t="s">
        <v>280</v>
      </c>
      <c r="E265" s="416">
        <f>'d3'!E265-'d3-п'!E265</f>
        <v>0</v>
      </c>
      <c r="F265" s="416">
        <f>'d3'!F265-'d3-п'!F265</f>
        <v>0</v>
      </c>
      <c r="G265" s="416">
        <f>'d3'!G265-'d3-п'!G265</f>
        <v>0</v>
      </c>
      <c r="H265" s="416">
        <f>'d3'!H265-'d3-п'!H265</f>
        <v>0</v>
      </c>
      <c r="I265" s="416">
        <f>'d3'!I265-'d3-п'!I265</f>
        <v>0</v>
      </c>
      <c r="J265" s="416">
        <f>'d3'!J265-'d3-п'!J265</f>
        <v>0</v>
      </c>
      <c r="K265" s="416">
        <f>'d3'!K265-'d3-п'!K265</f>
        <v>0</v>
      </c>
      <c r="L265" s="416">
        <f>'d3'!L265-'d3-п'!L265</f>
        <v>0</v>
      </c>
      <c r="M265" s="416">
        <f>'d3'!M265-'d3-п'!M265</f>
        <v>0</v>
      </c>
      <c r="N265" s="416">
        <f>'d3'!N265-'d3-п'!N265</f>
        <v>0</v>
      </c>
      <c r="O265" s="416">
        <f>'d3'!O265-'d3-п'!O265</f>
        <v>0</v>
      </c>
      <c r="P265" s="416">
        <f>'d3'!P265-'d3-п'!P265</f>
        <v>0</v>
      </c>
      <c r="R265" s="317" t="e">
        <f>K265=#REF!</f>
        <v>#REF!</v>
      </c>
    </row>
    <row r="266" spans="1:18" ht="48" thickTop="1" thickBot="1" x14ac:dyDescent="0.25">
      <c r="A266" s="251" t="s">
        <v>1149</v>
      </c>
      <c r="B266" s="251" t="s">
        <v>898</v>
      </c>
      <c r="C266" s="251"/>
      <c r="D266" s="251" t="s">
        <v>899</v>
      </c>
      <c r="E266" s="416">
        <f>'d3'!E266-'d3-п'!E266</f>
        <v>0</v>
      </c>
      <c r="F266" s="416">
        <f>'d3'!F266-'d3-п'!F266</f>
        <v>0</v>
      </c>
      <c r="G266" s="416">
        <f>'d3'!G266-'d3-п'!G266</f>
        <v>0</v>
      </c>
      <c r="H266" s="416">
        <f>'d3'!H266-'d3-п'!H266</f>
        <v>0</v>
      </c>
      <c r="I266" s="416">
        <f>'d3'!I266-'d3-п'!I266</f>
        <v>0</v>
      </c>
      <c r="J266" s="416">
        <f>'d3'!J266-'d3-п'!J266</f>
        <v>0</v>
      </c>
      <c r="K266" s="416">
        <f>'d3'!K266-'d3-п'!K266</f>
        <v>0</v>
      </c>
      <c r="L266" s="416">
        <f>'d3'!L266-'d3-п'!L266</f>
        <v>0</v>
      </c>
      <c r="M266" s="416">
        <f>'d3'!M266-'d3-п'!M266</f>
        <v>0</v>
      </c>
      <c r="N266" s="416">
        <f>'d3'!N266-'d3-п'!N266</f>
        <v>0</v>
      </c>
      <c r="O266" s="416">
        <f>'d3'!O266-'d3-п'!O266</f>
        <v>0</v>
      </c>
      <c r="P266" s="416">
        <f>'d3'!P266-'d3-п'!P266</f>
        <v>0</v>
      </c>
      <c r="R266" s="317"/>
    </row>
    <row r="267" spans="1:18" ht="271.5" thickTop="1" thickBot="1" x14ac:dyDescent="0.25">
      <c r="A267" s="557" t="s">
        <v>1150</v>
      </c>
      <c r="B267" s="557" t="s">
        <v>901</v>
      </c>
      <c r="C267" s="557"/>
      <c r="D267" s="557" t="s">
        <v>902</v>
      </c>
      <c r="E267" s="416">
        <f>'d3'!E267-'d3-п'!E267</f>
        <v>0</v>
      </c>
      <c r="F267" s="416">
        <f>'d3'!F267-'d3-п'!F267</f>
        <v>0</v>
      </c>
      <c r="G267" s="416">
        <f>'d3'!G267-'d3-п'!G267</f>
        <v>0</v>
      </c>
      <c r="H267" s="416">
        <f>'d3'!H267-'d3-п'!H267</f>
        <v>0</v>
      </c>
      <c r="I267" s="416">
        <f>'d3'!I267-'d3-п'!I267</f>
        <v>0</v>
      </c>
      <c r="J267" s="416">
        <f>'d3'!J267-'d3-п'!J267</f>
        <v>0</v>
      </c>
      <c r="K267" s="416">
        <f>'d3'!K267-'d3-п'!K267</f>
        <v>0</v>
      </c>
      <c r="L267" s="416">
        <f>'d3'!L267-'d3-п'!L267</f>
        <v>0</v>
      </c>
      <c r="M267" s="416">
        <f>'d3'!M267-'d3-п'!M267</f>
        <v>0</v>
      </c>
      <c r="N267" s="416">
        <f>'d3'!N267-'d3-п'!N267</f>
        <v>0</v>
      </c>
      <c r="O267" s="416">
        <f>'d3'!O267-'d3-п'!O267</f>
        <v>0</v>
      </c>
      <c r="P267" s="416">
        <f>'d3'!P267-'d3-п'!P267</f>
        <v>0</v>
      </c>
      <c r="R267" s="317"/>
    </row>
    <row r="268" spans="1:18" ht="93" thickTop="1" thickBot="1" x14ac:dyDescent="0.25">
      <c r="A268" s="795" t="s">
        <v>1151</v>
      </c>
      <c r="B268" s="795" t="s">
        <v>399</v>
      </c>
      <c r="C268" s="795" t="s">
        <v>45</v>
      </c>
      <c r="D268" s="795" t="s">
        <v>400</v>
      </c>
      <c r="E268" s="416">
        <f>'d3'!E268-'d3-п'!E268</f>
        <v>0</v>
      </c>
      <c r="F268" s="416">
        <f>'d3'!F268-'d3-п'!F268</f>
        <v>0</v>
      </c>
      <c r="G268" s="416">
        <f>'d3'!G268-'d3-п'!G268</f>
        <v>0</v>
      </c>
      <c r="H268" s="416">
        <f>'d3'!H268-'d3-п'!H268</f>
        <v>0</v>
      </c>
      <c r="I268" s="416">
        <f>'d3'!I268-'d3-п'!I268</f>
        <v>0</v>
      </c>
      <c r="J268" s="416">
        <f>'d3'!J268-'d3-п'!J268</f>
        <v>0</v>
      </c>
      <c r="K268" s="416">
        <f>'d3'!K268-'d3-п'!K268</f>
        <v>0</v>
      </c>
      <c r="L268" s="416">
        <f>'d3'!L268-'d3-п'!L268</f>
        <v>0</v>
      </c>
      <c r="M268" s="416">
        <f>'d3'!M268-'d3-п'!M268</f>
        <v>0</v>
      </c>
      <c r="N268" s="416">
        <f>'d3'!N268-'d3-п'!N268</f>
        <v>0</v>
      </c>
      <c r="O268" s="416">
        <f>'d3'!O268-'d3-п'!O268</f>
        <v>0</v>
      </c>
      <c r="P268" s="416">
        <f>'d3'!P268-'d3-п'!P268</f>
        <v>0</v>
      </c>
      <c r="R268" s="317"/>
    </row>
    <row r="269" spans="1:18" ht="226.5" thickTop="1" thickBot="1" x14ac:dyDescent="0.25">
      <c r="A269" s="680" t="s">
        <v>185</v>
      </c>
      <c r="B269" s="680"/>
      <c r="C269" s="680"/>
      <c r="D269" s="681" t="s">
        <v>1104</v>
      </c>
      <c r="E269" s="682">
        <f>E270</f>
        <v>0</v>
      </c>
      <c r="F269" s="683">
        <f t="shared" ref="F269:G269" si="76">F270</f>
        <v>0</v>
      </c>
      <c r="G269" s="683">
        <f t="shared" si="76"/>
        <v>0</v>
      </c>
      <c r="H269" s="683">
        <f>H270</f>
        <v>0</v>
      </c>
      <c r="I269" s="683">
        <f t="shared" ref="I269" si="77">I270</f>
        <v>0</v>
      </c>
      <c r="J269" s="682">
        <f>J270</f>
        <v>0</v>
      </c>
      <c r="K269" s="683">
        <f>K270</f>
        <v>0</v>
      </c>
      <c r="L269" s="683">
        <f>L270</f>
        <v>0</v>
      </c>
      <c r="M269" s="683">
        <f t="shared" ref="M269" si="78">M270</f>
        <v>0</v>
      </c>
      <c r="N269" s="682">
        <f>N270</f>
        <v>0</v>
      </c>
      <c r="O269" s="682">
        <f>O270</f>
        <v>0</v>
      </c>
      <c r="P269" s="683">
        <f t="shared" ref="P269" si="79">P270</f>
        <v>0</v>
      </c>
    </row>
    <row r="270" spans="1:18" ht="226.5" thickTop="1" thickBot="1" x14ac:dyDescent="0.25">
      <c r="A270" s="684" t="s">
        <v>186</v>
      </c>
      <c r="B270" s="684"/>
      <c r="C270" s="684"/>
      <c r="D270" s="685" t="s">
        <v>1103</v>
      </c>
      <c r="E270" s="686">
        <f>E271+E274</f>
        <v>0</v>
      </c>
      <c r="F270" s="686">
        <f t="shared" ref="F270:I270" si="80">F271+F274</f>
        <v>0</v>
      </c>
      <c r="G270" s="686">
        <f t="shared" si="80"/>
        <v>0</v>
      </c>
      <c r="H270" s="686">
        <f t="shared" si="80"/>
        <v>0</v>
      </c>
      <c r="I270" s="686">
        <f t="shared" si="80"/>
        <v>0</v>
      </c>
      <c r="J270" s="686">
        <f>L270+O270</f>
        <v>0</v>
      </c>
      <c r="K270" s="686">
        <f t="shared" ref="K270:O270" si="81">K271+K274</f>
        <v>0</v>
      </c>
      <c r="L270" s="686">
        <f t="shared" si="81"/>
        <v>0</v>
      </c>
      <c r="M270" s="686">
        <f t="shared" si="81"/>
        <v>0</v>
      </c>
      <c r="N270" s="686">
        <f t="shared" si="81"/>
        <v>0</v>
      </c>
      <c r="O270" s="686">
        <f t="shared" si="81"/>
        <v>0</v>
      </c>
      <c r="P270" s="687">
        <f t="shared" ref="P270" si="82">E270+J270</f>
        <v>0</v>
      </c>
      <c r="Q270" s="181" t="b">
        <f>P270=P277+P280+P272+P278+P279+P273</f>
        <v>1</v>
      </c>
      <c r="R270" s="317" t="e">
        <f>K270=#REF!</f>
        <v>#REF!</v>
      </c>
    </row>
    <row r="271" spans="1:18" ht="48" thickTop="1" thickBot="1" x14ac:dyDescent="0.25">
      <c r="A271" s="251" t="s">
        <v>1035</v>
      </c>
      <c r="B271" s="251" t="s">
        <v>880</v>
      </c>
      <c r="C271" s="251"/>
      <c r="D271" s="251" t="s">
        <v>881</v>
      </c>
      <c r="E271" s="416">
        <f>'d3'!E271-'d3-п'!E271</f>
        <v>0</v>
      </c>
      <c r="F271" s="416">
        <f>'d3'!F271-'d3-п'!F271</f>
        <v>0</v>
      </c>
      <c r="G271" s="416">
        <f>'d3'!G271-'d3-п'!G271</f>
        <v>0</v>
      </c>
      <c r="H271" s="416">
        <f>'d3'!H271-'d3-п'!H271</f>
        <v>0</v>
      </c>
      <c r="I271" s="416">
        <f>'d3'!I271-'d3-п'!I271</f>
        <v>0</v>
      </c>
      <c r="J271" s="416">
        <f>'d3'!J271-'d3-п'!J271</f>
        <v>0</v>
      </c>
      <c r="K271" s="416">
        <f>'d3'!K271-'d3-п'!K271</f>
        <v>0</v>
      </c>
      <c r="L271" s="416">
        <f>'d3'!L271-'d3-п'!L271</f>
        <v>0</v>
      </c>
      <c r="M271" s="416">
        <f>'d3'!M271-'d3-п'!M271</f>
        <v>0</v>
      </c>
      <c r="N271" s="416">
        <f>'d3'!N271-'d3-п'!N271</f>
        <v>0</v>
      </c>
      <c r="O271" s="416">
        <f>'d3'!O271-'d3-п'!O271</f>
        <v>0</v>
      </c>
      <c r="P271" s="416">
        <f>'d3'!P271-'d3-п'!P271</f>
        <v>0</v>
      </c>
      <c r="Q271" s="181"/>
      <c r="R271" s="317"/>
    </row>
    <row r="272" spans="1:18" s="154" customFormat="1" ht="230.25" thickTop="1" thickBot="1" x14ac:dyDescent="0.25">
      <c r="A272" s="795" t="s">
        <v>460</v>
      </c>
      <c r="B272" s="795" t="s">
        <v>261</v>
      </c>
      <c r="C272" s="795" t="s">
        <v>259</v>
      </c>
      <c r="D272" s="795" t="s">
        <v>260</v>
      </c>
      <c r="E272" s="416">
        <f>'d3'!E272-'d3-п'!E272</f>
        <v>0</v>
      </c>
      <c r="F272" s="416">
        <f>'d3'!F272-'d3-п'!F272</f>
        <v>0</v>
      </c>
      <c r="G272" s="416">
        <f>'d3'!G272-'d3-п'!G272</f>
        <v>0</v>
      </c>
      <c r="H272" s="416">
        <f>'d3'!H272-'d3-п'!H272</f>
        <v>0</v>
      </c>
      <c r="I272" s="416">
        <f>'d3'!I272-'d3-п'!I272</f>
        <v>0</v>
      </c>
      <c r="J272" s="416">
        <f>'d3'!J272-'d3-п'!J272</f>
        <v>0</v>
      </c>
      <c r="K272" s="416">
        <f>'d3'!K272-'d3-п'!K272</f>
        <v>0</v>
      </c>
      <c r="L272" s="416">
        <f>'d3'!L272-'d3-п'!L272</f>
        <v>0</v>
      </c>
      <c r="M272" s="416">
        <f>'d3'!M272-'d3-п'!M272</f>
        <v>0</v>
      </c>
      <c r="N272" s="416">
        <f>'d3'!N272-'d3-п'!N272</f>
        <v>0</v>
      </c>
      <c r="O272" s="416">
        <f>'d3'!O272-'d3-п'!O272</f>
        <v>0</v>
      </c>
      <c r="P272" s="416">
        <f>'d3'!P272-'d3-п'!P272</f>
        <v>0</v>
      </c>
      <c r="Q272" s="337"/>
      <c r="R272" s="317" t="e">
        <f>K272=#REF!</f>
        <v>#REF!</v>
      </c>
    </row>
    <row r="273" spans="1:18" s="154" customFormat="1" ht="184.5" thickTop="1" thickBot="1" x14ac:dyDescent="0.25">
      <c r="A273" s="795" t="s">
        <v>828</v>
      </c>
      <c r="B273" s="795" t="s">
        <v>398</v>
      </c>
      <c r="C273" s="795" t="s">
        <v>815</v>
      </c>
      <c r="D273" s="795" t="s">
        <v>816</v>
      </c>
      <c r="E273" s="416">
        <f>'d3'!E273-'d3-п'!E273</f>
        <v>0</v>
      </c>
      <c r="F273" s="416">
        <f>'d3'!F273-'d3-п'!F273</f>
        <v>0</v>
      </c>
      <c r="G273" s="416">
        <f>'d3'!G273-'d3-п'!G273</f>
        <v>0</v>
      </c>
      <c r="H273" s="416">
        <f>'d3'!H273-'d3-п'!H273</f>
        <v>0</v>
      </c>
      <c r="I273" s="416">
        <f>'d3'!I273-'d3-п'!I273</f>
        <v>0</v>
      </c>
      <c r="J273" s="416">
        <f>'d3'!J273-'d3-п'!J273</f>
        <v>0</v>
      </c>
      <c r="K273" s="416">
        <f>'d3'!K273-'d3-п'!K273</f>
        <v>0</v>
      </c>
      <c r="L273" s="416">
        <f>'d3'!L273-'d3-п'!L273</f>
        <v>0</v>
      </c>
      <c r="M273" s="416">
        <f>'d3'!M273-'d3-п'!M273</f>
        <v>0</v>
      </c>
      <c r="N273" s="416">
        <f>'d3'!N273-'d3-п'!N273</f>
        <v>0</v>
      </c>
      <c r="O273" s="416">
        <f>'d3'!O273-'d3-п'!O273</f>
        <v>0</v>
      </c>
      <c r="P273" s="416">
        <f>'d3'!P273-'d3-п'!P273</f>
        <v>0</v>
      </c>
      <c r="Q273" s="337"/>
      <c r="R273" s="317"/>
    </row>
    <row r="274" spans="1:18" s="154" customFormat="1" ht="48" thickTop="1" thickBot="1" x14ac:dyDescent="0.25">
      <c r="A274" s="251" t="s">
        <v>1036</v>
      </c>
      <c r="B274" s="251" t="s">
        <v>892</v>
      </c>
      <c r="C274" s="251"/>
      <c r="D274" s="251" t="s">
        <v>893</v>
      </c>
      <c r="E274" s="416">
        <f>'d3'!E274-'d3-п'!E274</f>
        <v>0</v>
      </c>
      <c r="F274" s="416">
        <f>'d3'!F274-'d3-п'!F274</f>
        <v>0</v>
      </c>
      <c r="G274" s="416">
        <f>'d3'!G274-'d3-п'!G274</f>
        <v>0</v>
      </c>
      <c r="H274" s="416">
        <f>'d3'!H274-'d3-п'!H274</f>
        <v>0</v>
      </c>
      <c r="I274" s="416">
        <f>'d3'!I274-'d3-п'!I274</f>
        <v>0</v>
      </c>
      <c r="J274" s="416">
        <f>'d3'!J274-'d3-п'!J274</f>
        <v>0</v>
      </c>
      <c r="K274" s="416">
        <f>'d3'!K274-'d3-п'!K274</f>
        <v>0</v>
      </c>
      <c r="L274" s="416">
        <f>'d3'!L274-'d3-п'!L274</f>
        <v>0</v>
      </c>
      <c r="M274" s="416">
        <f>'d3'!M274-'d3-п'!M274</f>
        <v>0</v>
      </c>
      <c r="N274" s="416">
        <f>'d3'!N274-'d3-п'!N274</f>
        <v>0</v>
      </c>
      <c r="O274" s="416">
        <f>'d3'!O274-'d3-п'!O274</f>
        <v>0</v>
      </c>
      <c r="P274" s="416">
        <f>'d3'!P274-'d3-п'!P274</f>
        <v>0</v>
      </c>
      <c r="Q274" s="337"/>
      <c r="R274" s="317"/>
    </row>
    <row r="275" spans="1:18" s="154" customFormat="1" ht="91.5" thickTop="1" thickBot="1" x14ac:dyDescent="0.25">
      <c r="A275" s="557" t="s">
        <v>1037</v>
      </c>
      <c r="B275" s="557" t="s">
        <v>1038</v>
      </c>
      <c r="C275" s="557"/>
      <c r="D275" s="557" t="s">
        <v>1039</v>
      </c>
      <c r="E275" s="416">
        <f>'d3'!E275-'d3-п'!E275</f>
        <v>0</v>
      </c>
      <c r="F275" s="416">
        <f>'d3'!F275-'d3-п'!F275</f>
        <v>0</v>
      </c>
      <c r="G275" s="416">
        <f>'d3'!G275-'d3-п'!G275</f>
        <v>0</v>
      </c>
      <c r="H275" s="416">
        <f>'d3'!H275-'d3-п'!H275</f>
        <v>0</v>
      </c>
      <c r="I275" s="416">
        <f>'d3'!I275-'d3-п'!I275</f>
        <v>0</v>
      </c>
      <c r="J275" s="416">
        <f>'d3'!J275-'d3-п'!J275</f>
        <v>0</v>
      </c>
      <c r="K275" s="416">
        <f>'d3'!K275-'d3-п'!K275</f>
        <v>0</v>
      </c>
      <c r="L275" s="416">
        <f>'d3'!L275-'d3-п'!L275</f>
        <v>0</v>
      </c>
      <c r="M275" s="416">
        <f>'d3'!M275-'d3-п'!M275</f>
        <v>0</v>
      </c>
      <c r="N275" s="416">
        <f>'d3'!N275-'d3-п'!N275</f>
        <v>0</v>
      </c>
      <c r="O275" s="416">
        <f>'d3'!O275-'d3-п'!O275</f>
        <v>0</v>
      </c>
      <c r="P275" s="416">
        <f>'d3'!P275-'d3-п'!P275</f>
        <v>0</v>
      </c>
      <c r="Q275" s="337"/>
      <c r="R275" s="317"/>
    </row>
    <row r="276" spans="1:18" s="154" customFormat="1" ht="138.75" thickTop="1" thickBot="1" x14ac:dyDescent="0.25">
      <c r="A276" s="552" t="s">
        <v>1040</v>
      </c>
      <c r="B276" s="552" t="s">
        <v>1041</v>
      </c>
      <c r="C276" s="552"/>
      <c r="D276" s="552" t="s">
        <v>1042</v>
      </c>
      <c r="E276" s="416">
        <f>'d3'!E276-'d3-п'!E276</f>
        <v>0</v>
      </c>
      <c r="F276" s="416">
        <f>'d3'!F276-'d3-п'!F276</f>
        <v>0</v>
      </c>
      <c r="G276" s="416">
        <f>'d3'!G276-'d3-п'!G276</f>
        <v>0</v>
      </c>
      <c r="H276" s="416">
        <f>'d3'!H276-'d3-п'!H276</f>
        <v>0</v>
      </c>
      <c r="I276" s="416">
        <f>'d3'!I276-'d3-п'!I276</f>
        <v>0</v>
      </c>
      <c r="J276" s="416">
        <f>'d3'!J276-'d3-п'!J276</f>
        <v>0</v>
      </c>
      <c r="K276" s="416">
        <f>'d3'!K276-'d3-п'!K276</f>
        <v>0</v>
      </c>
      <c r="L276" s="416">
        <f>'d3'!L276-'d3-п'!L276</f>
        <v>0</v>
      </c>
      <c r="M276" s="416">
        <f>'d3'!M276-'d3-п'!M276</f>
        <v>0</v>
      </c>
      <c r="N276" s="416">
        <f>'d3'!N276-'d3-п'!N276</f>
        <v>0</v>
      </c>
      <c r="O276" s="416">
        <f>'d3'!O276-'d3-п'!O276</f>
        <v>0</v>
      </c>
      <c r="P276" s="416">
        <f>'d3'!P276-'d3-п'!P276</f>
        <v>0</v>
      </c>
      <c r="Q276" s="337"/>
      <c r="R276" s="317"/>
    </row>
    <row r="277" spans="1:18" s="154" customFormat="1" ht="138.75" thickTop="1" thickBot="1" x14ac:dyDescent="0.25">
      <c r="A277" s="552" t="s">
        <v>335</v>
      </c>
      <c r="B277" s="552" t="s">
        <v>336</v>
      </c>
      <c r="C277" s="552" t="s">
        <v>54</v>
      </c>
      <c r="D277" s="552" t="s">
        <v>55</v>
      </c>
      <c r="E277" s="416">
        <f>'d3'!E277-'d3-п'!E277</f>
        <v>0</v>
      </c>
      <c r="F277" s="416">
        <f>'d3'!F277-'d3-п'!F277</f>
        <v>0</v>
      </c>
      <c r="G277" s="416">
        <f>'d3'!G277-'d3-п'!G277</f>
        <v>0</v>
      </c>
      <c r="H277" s="416">
        <f>'d3'!H277-'d3-п'!H277</f>
        <v>0</v>
      </c>
      <c r="I277" s="416">
        <f>'d3'!I277-'d3-п'!I277</f>
        <v>0</v>
      </c>
      <c r="J277" s="416">
        <f>'d3'!J277-'d3-п'!J277</f>
        <v>0</v>
      </c>
      <c r="K277" s="416">
        <f>'d3'!K277-'d3-п'!K277</f>
        <v>0</v>
      </c>
      <c r="L277" s="416">
        <f>'d3'!L277-'d3-п'!L277</f>
        <v>0</v>
      </c>
      <c r="M277" s="416">
        <f>'d3'!M277-'d3-п'!M277</f>
        <v>0</v>
      </c>
      <c r="N277" s="416">
        <f>'d3'!N277-'d3-п'!N277</f>
        <v>0</v>
      </c>
      <c r="O277" s="416">
        <f>'d3'!O277-'d3-п'!O277</f>
        <v>0</v>
      </c>
      <c r="P277" s="416">
        <f>'d3'!P277-'d3-п'!P277</f>
        <v>0</v>
      </c>
      <c r="Q277" s="181" t="e">
        <f>J277=#REF!+#REF!+#REF!+#REF!</f>
        <v>#REF!</v>
      </c>
      <c r="R277" s="280"/>
    </row>
    <row r="278" spans="1:18" s="154" customFormat="1" ht="48" thickTop="1" thickBot="1" x14ac:dyDescent="0.25">
      <c r="A278" s="795" t="s">
        <v>519</v>
      </c>
      <c r="B278" s="795" t="s">
        <v>520</v>
      </c>
      <c r="C278" s="795" t="s">
        <v>518</v>
      </c>
      <c r="D278" s="795" t="s">
        <v>521</v>
      </c>
      <c r="E278" s="416">
        <f>'d3'!E278-'d3-п'!E278</f>
        <v>0</v>
      </c>
      <c r="F278" s="416">
        <f>'d3'!F278-'d3-п'!F278</f>
        <v>0</v>
      </c>
      <c r="G278" s="416">
        <f>'d3'!G278-'d3-п'!G278</f>
        <v>0</v>
      </c>
      <c r="H278" s="416">
        <f>'d3'!H278-'d3-п'!H278</f>
        <v>0</v>
      </c>
      <c r="I278" s="416">
        <f>'d3'!I278-'d3-п'!I278</f>
        <v>0</v>
      </c>
      <c r="J278" s="416">
        <f>'d3'!J278-'d3-п'!J278</f>
        <v>0</v>
      </c>
      <c r="K278" s="416">
        <f>'d3'!K278-'d3-п'!K278</f>
        <v>0</v>
      </c>
      <c r="L278" s="416">
        <f>'d3'!L278-'d3-п'!L278</f>
        <v>0</v>
      </c>
      <c r="M278" s="416">
        <f>'d3'!M278-'d3-п'!M278</f>
        <v>0</v>
      </c>
      <c r="N278" s="416">
        <f>'d3'!N278-'d3-п'!N278</f>
        <v>0</v>
      </c>
      <c r="O278" s="416">
        <f>'d3'!O278-'d3-п'!O278</f>
        <v>0</v>
      </c>
      <c r="P278" s="416">
        <f>'d3'!P278-'d3-п'!P278</f>
        <v>0</v>
      </c>
      <c r="Q278" s="181" t="e">
        <f>J278=#REF!+#REF!</f>
        <v>#REF!</v>
      </c>
      <c r="R278" s="280"/>
    </row>
    <row r="279" spans="1:18" s="154" customFormat="1" ht="93" thickTop="1" thickBot="1" x14ac:dyDescent="0.25">
      <c r="A279" s="795" t="s">
        <v>581</v>
      </c>
      <c r="B279" s="795" t="s">
        <v>579</v>
      </c>
      <c r="C279" s="795" t="s">
        <v>582</v>
      </c>
      <c r="D279" s="795" t="s">
        <v>580</v>
      </c>
      <c r="E279" s="416">
        <f>'d3'!E279-'d3-п'!E279</f>
        <v>0</v>
      </c>
      <c r="F279" s="416">
        <f>'d3'!F279-'d3-п'!F279</f>
        <v>0</v>
      </c>
      <c r="G279" s="416">
        <f>'d3'!G279-'d3-п'!G279</f>
        <v>0</v>
      </c>
      <c r="H279" s="416">
        <f>'d3'!H279-'d3-п'!H279</f>
        <v>0</v>
      </c>
      <c r="I279" s="416">
        <f>'d3'!I279-'d3-п'!I279</f>
        <v>0</v>
      </c>
      <c r="J279" s="416">
        <f>'d3'!J279-'d3-п'!J279</f>
        <v>0</v>
      </c>
      <c r="K279" s="416">
        <f>'d3'!K279-'d3-п'!K279</f>
        <v>0</v>
      </c>
      <c r="L279" s="416">
        <f>'d3'!L279-'d3-п'!L279</f>
        <v>0</v>
      </c>
      <c r="M279" s="416">
        <f>'d3'!M279-'d3-п'!M279</f>
        <v>0</v>
      </c>
      <c r="N279" s="416">
        <f>'d3'!N279-'d3-п'!N279</f>
        <v>0</v>
      </c>
      <c r="O279" s="416">
        <f>'d3'!O279-'d3-п'!O279</f>
        <v>0</v>
      </c>
      <c r="P279" s="416">
        <f>'d3'!P279-'d3-п'!P279</f>
        <v>0</v>
      </c>
      <c r="Q279" s="181" t="e">
        <f>J279=#REF!+#REF!+#REF!</f>
        <v>#REF!</v>
      </c>
      <c r="R279" s="280"/>
    </row>
    <row r="280" spans="1:18" s="154" customFormat="1" ht="138.75" thickTop="1" thickBot="1" x14ac:dyDescent="0.25">
      <c r="A280" s="795" t="s">
        <v>337</v>
      </c>
      <c r="B280" s="795" t="s">
        <v>338</v>
      </c>
      <c r="C280" s="795" t="s">
        <v>56</v>
      </c>
      <c r="D280" s="795" t="s">
        <v>522</v>
      </c>
      <c r="E280" s="416">
        <f>'d3'!E280-'d3-п'!E280</f>
        <v>0</v>
      </c>
      <c r="F280" s="416">
        <f>'d3'!F280-'d3-п'!F280</f>
        <v>0</v>
      </c>
      <c r="G280" s="416">
        <f>'d3'!G280-'d3-п'!G280</f>
        <v>0</v>
      </c>
      <c r="H280" s="416">
        <f>'d3'!H280-'d3-п'!H280</f>
        <v>0</v>
      </c>
      <c r="I280" s="416">
        <f>'d3'!I280-'d3-п'!I280</f>
        <v>0</v>
      </c>
      <c r="J280" s="416">
        <f>'d3'!J280-'d3-п'!J280</f>
        <v>0</v>
      </c>
      <c r="K280" s="416">
        <f>'d3'!K280-'d3-п'!K280</f>
        <v>0</v>
      </c>
      <c r="L280" s="416">
        <f>'d3'!L280-'d3-п'!L280</f>
        <v>0</v>
      </c>
      <c r="M280" s="416">
        <f>'d3'!M280-'d3-п'!M280</f>
        <v>0</v>
      </c>
      <c r="N280" s="416">
        <f>'d3'!N280-'d3-п'!N280</f>
        <v>0</v>
      </c>
      <c r="O280" s="416">
        <f>'d3'!O280-'d3-п'!O280</f>
        <v>0</v>
      </c>
      <c r="P280" s="416">
        <f>'d3'!P280-'d3-п'!P280</f>
        <v>0</v>
      </c>
      <c r="Q280" s="181" t="e">
        <f>J280=#REF!+#REF!+#REF!+#REF!+#REF!+#REF!+#REF!</f>
        <v>#REF!</v>
      </c>
      <c r="R280" s="280"/>
    </row>
    <row r="281" spans="1:18" ht="181.5" thickTop="1" thickBot="1" x14ac:dyDescent="0.25">
      <c r="A281" s="680" t="s">
        <v>183</v>
      </c>
      <c r="B281" s="680"/>
      <c r="C281" s="680"/>
      <c r="D281" s="681" t="s">
        <v>1116</v>
      </c>
      <c r="E281" s="682">
        <f>E282</f>
        <v>0</v>
      </c>
      <c r="F281" s="683">
        <f t="shared" ref="F281:G281" si="83">F282</f>
        <v>0</v>
      </c>
      <c r="G281" s="683">
        <f t="shared" si="83"/>
        <v>0</v>
      </c>
      <c r="H281" s="683">
        <f>H282</f>
        <v>0</v>
      </c>
      <c r="I281" s="683">
        <f t="shared" ref="I281" si="84">I282</f>
        <v>0</v>
      </c>
      <c r="J281" s="682">
        <f>J282</f>
        <v>0</v>
      </c>
      <c r="K281" s="683">
        <f>K282</f>
        <v>0</v>
      </c>
      <c r="L281" s="683">
        <f>L282</f>
        <v>0</v>
      </c>
      <c r="M281" s="683">
        <f t="shared" ref="M281" si="85">M282</f>
        <v>0</v>
      </c>
      <c r="N281" s="682">
        <f>N282</f>
        <v>0</v>
      </c>
      <c r="O281" s="682">
        <f>O282</f>
        <v>0</v>
      </c>
      <c r="P281" s="683">
        <f t="shared" ref="P281" si="86">P282</f>
        <v>0</v>
      </c>
    </row>
    <row r="282" spans="1:18" ht="181.5" thickTop="1" thickBot="1" x14ac:dyDescent="0.25">
      <c r="A282" s="684" t="s">
        <v>184</v>
      </c>
      <c r="B282" s="684"/>
      <c r="C282" s="684"/>
      <c r="D282" s="685" t="s">
        <v>1115</v>
      </c>
      <c r="E282" s="686">
        <f>E283+E285</f>
        <v>0</v>
      </c>
      <c r="F282" s="686">
        <f t="shared" ref="F282:I282" si="87">F283+F285</f>
        <v>0</v>
      </c>
      <c r="G282" s="686">
        <f t="shared" si="87"/>
        <v>0</v>
      </c>
      <c r="H282" s="686">
        <f t="shared" si="87"/>
        <v>0</v>
      </c>
      <c r="I282" s="686">
        <f t="shared" si="87"/>
        <v>0</v>
      </c>
      <c r="J282" s="686">
        <f>L282+O282</f>
        <v>0</v>
      </c>
      <c r="K282" s="686">
        <f t="shared" ref="K282:O282" si="88">K283+K285</f>
        <v>0</v>
      </c>
      <c r="L282" s="686">
        <f t="shared" si="88"/>
        <v>0</v>
      </c>
      <c r="M282" s="686">
        <f t="shared" si="88"/>
        <v>0</v>
      </c>
      <c r="N282" s="686">
        <f t="shared" si="88"/>
        <v>0</v>
      </c>
      <c r="O282" s="686">
        <f t="shared" si="88"/>
        <v>0</v>
      </c>
      <c r="P282" s="687">
        <f>E282+J282</f>
        <v>0</v>
      </c>
      <c r="Q282" s="181" t="b">
        <f>P282=P287+P289+P284</f>
        <v>1</v>
      </c>
      <c r="R282" s="181" t="e">
        <f>K282=#REF!</f>
        <v>#REF!</v>
      </c>
    </row>
    <row r="283" spans="1:18" ht="48" thickTop="1" thickBot="1" x14ac:dyDescent="0.25">
      <c r="A283" s="251" t="s">
        <v>1043</v>
      </c>
      <c r="B283" s="251" t="s">
        <v>880</v>
      </c>
      <c r="C283" s="251"/>
      <c r="D283" s="251" t="s">
        <v>881</v>
      </c>
      <c r="E283" s="416">
        <f>'d3'!E283-'d3-п'!E283</f>
        <v>0</v>
      </c>
      <c r="F283" s="416">
        <f>'d3'!F283-'d3-п'!F283</f>
        <v>0</v>
      </c>
      <c r="G283" s="416">
        <f>'d3'!G283-'d3-п'!G283</f>
        <v>0</v>
      </c>
      <c r="H283" s="416">
        <f>'d3'!H283-'d3-п'!H283</f>
        <v>0</v>
      </c>
      <c r="I283" s="416">
        <f>'d3'!I283-'d3-п'!I283</f>
        <v>0</v>
      </c>
      <c r="J283" s="416">
        <f>'d3'!J283-'d3-п'!J283</f>
        <v>0</v>
      </c>
      <c r="K283" s="416">
        <f>'d3'!K283-'d3-п'!K283</f>
        <v>0</v>
      </c>
      <c r="L283" s="416">
        <f>'d3'!L283-'d3-п'!L283</f>
        <v>0</v>
      </c>
      <c r="M283" s="416">
        <f>'d3'!M283-'d3-п'!M283</f>
        <v>0</v>
      </c>
      <c r="N283" s="416">
        <f>'d3'!N283-'d3-п'!N283</f>
        <v>0</v>
      </c>
      <c r="O283" s="416">
        <f>'d3'!O283-'d3-п'!O283</f>
        <v>0</v>
      </c>
      <c r="P283" s="416">
        <f>'d3'!P283-'d3-п'!P283</f>
        <v>0</v>
      </c>
      <c r="Q283" s="181"/>
      <c r="R283" s="181"/>
    </row>
    <row r="284" spans="1:18" ht="230.25" thickTop="1" thickBot="1" x14ac:dyDescent="0.25">
      <c r="A284" s="795" t="s">
        <v>456</v>
      </c>
      <c r="B284" s="795" t="s">
        <v>261</v>
      </c>
      <c r="C284" s="795" t="s">
        <v>259</v>
      </c>
      <c r="D284" s="795" t="s">
        <v>260</v>
      </c>
      <c r="E284" s="416">
        <f>'d3'!E284-'d3-п'!E284</f>
        <v>0</v>
      </c>
      <c r="F284" s="416">
        <f>'d3'!F284-'d3-п'!F284</f>
        <v>0</v>
      </c>
      <c r="G284" s="416">
        <f>'d3'!G284-'d3-п'!G284</f>
        <v>0</v>
      </c>
      <c r="H284" s="416">
        <f>'d3'!H284-'d3-п'!H284</f>
        <v>0</v>
      </c>
      <c r="I284" s="416">
        <f>'d3'!I284-'d3-п'!I284</f>
        <v>0</v>
      </c>
      <c r="J284" s="416">
        <f>'d3'!J284-'d3-п'!J284</f>
        <v>0</v>
      </c>
      <c r="K284" s="416">
        <f>'d3'!K284-'d3-п'!K284</f>
        <v>0</v>
      </c>
      <c r="L284" s="416">
        <f>'d3'!L284-'d3-п'!L284</f>
        <v>0</v>
      </c>
      <c r="M284" s="416">
        <f>'d3'!M284-'d3-п'!M284</f>
        <v>0</v>
      </c>
      <c r="N284" s="416">
        <f>'d3'!N284-'d3-п'!N284</f>
        <v>0</v>
      </c>
      <c r="O284" s="416">
        <f>'d3'!O284-'d3-п'!O284</f>
        <v>0</v>
      </c>
      <c r="P284" s="416">
        <f>'d3'!P284-'d3-п'!P284</f>
        <v>0</v>
      </c>
      <c r="Q284" s="181" t="e">
        <f>K284=#REF!</f>
        <v>#REF!</v>
      </c>
      <c r="R284" s="276"/>
    </row>
    <row r="285" spans="1:18" ht="48" thickTop="1" thickBot="1" x14ac:dyDescent="0.25">
      <c r="A285" s="251" t="s">
        <v>1044</v>
      </c>
      <c r="B285" s="251" t="s">
        <v>948</v>
      </c>
      <c r="C285" s="795"/>
      <c r="D285" s="251" t="s">
        <v>995</v>
      </c>
      <c r="E285" s="416">
        <f>'d3'!E285-'d3-п'!E285</f>
        <v>0</v>
      </c>
      <c r="F285" s="416">
        <f>'d3'!F285-'d3-п'!F285</f>
        <v>0</v>
      </c>
      <c r="G285" s="416">
        <f>'d3'!G285-'d3-п'!G285</f>
        <v>0</v>
      </c>
      <c r="H285" s="416">
        <f>'d3'!H285-'d3-п'!H285</f>
        <v>0</v>
      </c>
      <c r="I285" s="416">
        <f>'d3'!I285-'d3-п'!I285</f>
        <v>0</v>
      </c>
      <c r="J285" s="416">
        <f>'d3'!J285-'d3-п'!J285</f>
        <v>0</v>
      </c>
      <c r="K285" s="416">
        <f>'d3'!K285-'d3-п'!K285</f>
        <v>0</v>
      </c>
      <c r="L285" s="416">
        <f>'d3'!L285-'d3-п'!L285</f>
        <v>0</v>
      </c>
      <c r="M285" s="416">
        <f>'d3'!M285-'d3-п'!M285</f>
        <v>0</v>
      </c>
      <c r="N285" s="416">
        <f>'d3'!N285-'d3-п'!N285</f>
        <v>0</v>
      </c>
      <c r="O285" s="416">
        <f>'d3'!O285-'d3-п'!O285</f>
        <v>0</v>
      </c>
      <c r="P285" s="416">
        <f>'d3'!P285-'d3-п'!P285</f>
        <v>0</v>
      </c>
      <c r="Q285" s="276"/>
      <c r="R285" s="276"/>
    </row>
    <row r="286" spans="1:18" ht="91.5" thickTop="1" thickBot="1" x14ac:dyDescent="0.25">
      <c r="A286" s="557" t="s">
        <v>1045</v>
      </c>
      <c r="B286" s="557" t="s">
        <v>1046</v>
      </c>
      <c r="C286" s="557"/>
      <c r="D286" s="557" t="s">
        <v>1047</v>
      </c>
      <c r="E286" s="416">
        <f>'d3'!E286-'d3-п'!E286</f>
        <v>0</v>
      </c>
      <c r="F286" s="416">
        <f>'d3'!F286-'d3-п'!F286</f>
        <v>0</v>
      </c>
      <c r="G286" s="416">
        <f>'d3'!G286-'d3-п'!G286</f>
        <v>0</v>
      </c>
      <c r="H286" s="416">
        <f>'d3'!H286-'d3-п'!H286</f>
        <v>0</v>
      </c>
      <c r="I286" s="416">
        <f>'d3'!I286-'d3-п'!I286</f>
        <v>0</v>
      </c>
      <c r="J286" s="416">
        <f>'d3'!J286-'d3-п'!J286</f>
        <v>0</v>
      </c>
      <c r="K286" s="416">
        <f>'d3'!K286-'d3-п'!K286</f>
        <v>0</v>
      </c>
      <c r="L286" s="416">
        <f>'d3'!L286-'d3-п'!L286</f>
        <v>0</v>
      </c>
      <c r="M286" s="416">
        <f>'d3'!M286-'d3-п'!M286</f>
        <v>0</v>
      </c>
      <c r="N286" s="416">
        <f>'d3'!N286-'d3-п'!N286</f>
        <v>0</v>
      </c>
      <c r="O286" s="416">
        <f>'d3'!O286-'d3-п'!O286</f>
        <v>0</v>
      </c>
      <c r="P286" s="416">
        <f>'d3'!P286-'d3-п'!P286</f>
        <v>0</v>
      </c>
      <c r="Q286" s="276"/>
      <c r="R286" s="276"/>
    </row>
    <row r="287" spans="1:18" ht="93" thickTop="1" thickBot="1" x14ac:dyDescent="0.25">
      <c r="A287" s="795" t="s">
        <v>332</v>
      </c>
      <c r="B287" s="795" t="s">
        <v>333</v>
      </c>
      <c r="C287" s="795" t="s">
        <v>334</v>
      </c>
      <c r="D287" s="795" t="s">
        <v>507</v>
      </c>
      <c r="E287" s="416">
        <f>'d3'!E287-'d3-п'!E287</f>
        <v>0</v>
      </c>
      <c r="F287" s="416">
        <f>'d3'!F287-'d3-п'!F287</f>
        <v>0</v>
      </c>
      <c r="G287" s="416">
        <f>'d3'!G287-'d3-п'!G287</f>
        <v>0</v>
      </c>
      <c r="H287" s="416">
        <f>'d3'!H287-'d3-п'!H287</f>
        <v>0</v>
      </c>
      <c r="I287" s="416">
        <f>'d3'!I287-'d3-п'!I287</f>
        <v>0</v>
      </c>
      <c r="J287" s="416">
        <f>'d3'!J287-'d3-п'!J287</f>
        <v>0</v>
      </c>
      <c r="K287" s="416">
        <f>'d3'!K287-'d3-п'!K287</f>
        <v>0</v>
      </c>
      <c r="L287" s="416">
        <f>'d3'!L287-'d3-п'!L287</f>
        <v>0</v>
      </c>
      <c r="M287" s="416">
        <f>'d3'!M287-'d3-п'!M287</f>
        <v>0</v>
      </c>
      <c r="N287" s="416">
        <f>'d3'!N287-'d3-п'!N287</f>
        <v>0</v>
      </c>
      <c r="O287" s="416">
        <f>'d3'!O287-'d3-п'!O287</f>
        <v>0</v>
      </c>
      <c r="P287" s="416">
        <f>'d3'!P287-'d3-п'!P287</f>
        <v>0</v>
      </c>
    </row>
    <row r="288" spans="1:18" ht="136.5" thickTop="1" thickBot="1" x14ac:dyDescent="0.25">
      <c r="A288" s="557" t="s">
        <v>1048</v>
      </c>
      <c r="B288" s="557" t="s">
        <v>887</v>
      </c>
      <c r="C288" s="795"/>
      <c r="D288" s="557" t="s">
        <v>1049</v>
      </c>
      <c r="E288" s="416">
        <f>'d3'!E288-'d3-п'!E288</f>
        <v>0</v>
      </c>
      <c r="F288" s="416">
        <f>'d3'!F288-'d3-п'!F288</f>
        <v>0</v>
      </c>
      <c r="G288" s="416">
        <f>'d3'!G288-'d3-п'!G288</f>
        <v>0</v>
      </c>
      <c r="H288" s="416">
        <f>'d3'!H288-'d3-п'!H288</f>
        <v>0</v>
      </c>
      <c r="I288" s="416">
        <f>'d3'!I288-'d3-п'!I288</f>
        <v>0</v>
      </c>
      <c r="J288" s="416">
        <f>'d3'!J288-'d3-п'!J288</f>
        <v>0</v>
      </c>
      <c r="K288" s="416">
        <f>'d3'!K288-'d3-п'!K288</f>
        <v>0</v>
      </c>
      <c r="L288" s="416">
        <f>'d3'!L288-'d3-п'!L288</f>
        <v>0</v>
      </c>
      <c r="M288" s="416">
        <f>'d3'!M288-'d3-п'!M288</f>
        <v>0</v>
      </c>
      <c r="N288" s="416">
        <f>'d3'!N288-'d3-п'!N288</f>
        <v>0</v>
      </c>
      <c r="O288" s="416">
        <f>'d3'!O288-'d3-п'!O288</f>
        <v>0</v>
      </c>
      <c r="P288" s="416">
        <f>'d3'!P288-'d3-п'!P288</f>
        <v>0</v>
      </c>
    </row>
    <row r="289" spans="1:18" ht="138.75" thickTop="1" thickBot="1" x14ac:dyDescent="0.25">
      <c r="A289" s="795" t="s">
        <v>404</v>
      </c>
      <c r="B289" s="795" t="s">
        <v>405</v>
      </c>
      <c r="C289" s="795" t="s">
        <v>191</v>
      </c>
      <c r="D289" s="795" t="s">
        <v>406</v>
      </c>
      <c r="E289" s="416">
        <f>'d3'!E289-'d3-п'!E289</f>
        <v>0</v>
      </c>
      <c r="F289" s="416">
        <f>'d3'!F289-'d3-п'!F289</f>
        <v>0</v>
      </c>
      <c r="G289" s="416">
        <f>'d3'!G289-'d3-п'!G289</f>
        <v>0</v>
      </c>
      <c r="H289" s="416">
        <f>'d3'!H289-'d3-п'!H289</f>
        <v>0</v>
      </c>
      <c r="I289" s="416">
        <f>'d3'!I289-'d3-п'!I289</f>
        <v>0</v>
      </c>
      <c r="J289" s="416">
        <f>'d3'!J289-'d3-п'!J289</f>
        <v>0</v>
      </c>
      <c r="K289" s="416">
        <f>'d3'!K289-'d3-п'!K289</f>
        <v>0</v>
      </c>
      <c r="L289" s="416">
        <f>'d3'!L289-'d3-п'!L289</f>
        <v>0</v>
      </c>
      <c r="M289" s="416">
        <f>'d3'!M289-'d3-п'!M289</f>
        <v>0</v>
      </c>
      <c r="N289" s="416">
        <f>'d3'!N289-'d3-п'!N289</f>
        <v>0</v>
      </c>
      <c r="O289" s="416">
        <f>'d3'!O289-'d3-п'!O289</f>
        <v>0</v>
      </c>
      <c r="P289" s="416">
        <f>'d3'!P289-'d3-п'!P289</f>
        <v>0</v>
      </c>
    </row>
    <row r="290" spans="1:18" ht="136.5" thickTop="1" thickBot="1" x14ac:dyDescent="0.25">
      <c r="A290" s="680" t="s">
        <v>189</v>
      </c>
      <c r="B290" s="680"/>
      <c r="C290" s="680"/>
      <c r="D290" s="681" t="s">
        <v>27</v>
      </c>
      <c r="E290" s="682">
        <f>E291</f>
        <v>0</v>
      </c>
      <c r="F290" s="683">
        <f t="shared" ref="F290:G290" si="89">F291</f>
        <v>0</v>
      </c>
      <c r="G290" s="683">
        <f t="shared" si="89"/>
        <v>0</v>
      </c>
      <c r="H290" s="683">
        <f>H291</f>
        <v>0</v>
      </c>
      <c r="I290" s="683">
        <f t="shared" ref="I290" si="90">I291</f>
        <v>0</v>
      </c>
      <c r="J290" s="682">
        <f>J291</f>
        <v>0</v>
      </c>
      <c r="K290" s="683">
        <f>K291</f>
        <v>0</v>
      </c>
      <c r="L290" s="683">
        <f>L291</f>
        <v>0</v>
      </c>
      <c r="M290" s="683">
        <f t="shared" ref="M290" si="91">M291</f>
        <v>0</v>
      </c>
      <c r="N290" s="682">
        <f>N291</f>
        <v>0</v>
      </c>
      <c r="O290" s="682">
        <f>O291</f>
        <v>0</v>
      </c>
      <c r="P290" s="683">
        <f t="shared" ref="P290" si="92">P291</f>
        <v>0</v>
      </c>
    </row>
    <row r="291" spans="1:18" ht="136.5" thickTop="1" thickBot="1" x14ac:dyDescent="0.25">
      <c r="A291" s="684" t="s">
        <v>190</v>
      </c>
      <c r="B291" s="684"/>
      <c r="C291" s="684"/>
      <c r="D291" s="685" t="s">
        <v>42</v>
      </c>
      <c r="E291" s="686">
        <f>E292+E295+E299</f>
        <v>0</v>
      </c>
      <c r="F291" s="686">
        <f t="shared" ref="F291:I291" si="93">F292+F295+F299</f>
        <v>0</v>
      </c>
      <c r="G291" s="686">
        <f t="shared" si="93"/>
        <v>0</v>
      </c>
      <c r="H291" s="686">
        <f t="shared" si="93"/>
        <v>0</v>
      </c>
      <c r="I291" s="686">
        <f t="shared" si="93"/>
        <v>0</v>
      </c>
      <c r="J291" s="686">
        <f>L291+O291</f>
        <v>0</v>
      </c>
      <c r="K291" s="686">
        <f t="shared" ref="K291:O291" si="94">K292+K295+K299</f>
        <v>0</v>
      </c>
      <c r="L291" s="686">
        <f t="shared" si="94"/>
        <v>0</v>
      </c>
      <c r="M291" s="686">
        <f t="shared" si="94"/>
        <v>0</v>
      </c>
      <c r="N291" s="686">
        <f t="shared" si="94"/>
        <v>0</v>
      </c>
      <c r="O291" s="686">
        <f t="shared" si="94"/>
        <v>0</v>
      </c>
      <c r="P291" s="687">
        <f>E291+J291</f>
        <v>0</v>
      </c>
      <c r="Q291" s="181" t="b">
        <f>P291=P296+P298+P301+P293+P294</f>
        <v>1</v>
      </c>
      <c r="R291" s="277"/>
    </row>
    <row r="292" spans="1:18" ht="48" thickTop="1" thickBot="1" x14ac:dyDescent="0.25">
      <c r="A292" s="251" t="s">
        <v>1050</v>
      </c>
      <c r="B292" s="251" t="s">
        <v>880</v>
      </c>
      <c r="C292" s="251"/>
      <c r="D292" s="251" t="s">
        <v>881</v>
      </c>
      <c r="E292" s="416">
        <f>'d3'!E292-'d3-п'!E292</f>
        <v>0</v>
      </c>
      <c r="F292" s="416">
        <f>'d3'!F292-'d3-п'!F292</f>
        <v>0</v>
      </c>
      <c r="G292" s="416">
        <f>'d3'!G292-'d3-п'!G292</f>
        <v>0</v>
      </c>
      <c r="H292" s="416">
        <f>'d3'!H292-'d3-п'!H292</f>
        <v>0</v>
      </c>
      <c r="I292" s="416">
        <f>'d3'!I292-'d3-п'!I292</f>
        <v>0</v>
      </c>
      <c r="J292" s="416">
        <f>'d3'!J292-'d3-п'!J292</f>
        <v>0</v>
      </c>
      <c r="K292" s="416">
        <f>'d3'!K292-'d3-п'!K292</f>
        <v>0</v>
      </c>
      <c r="L292" s="416">
        <f>'d3'!L292-'d3-п'!L292</f>
        <v>0</v>
      </c>
      <c r="M292" s="416">
        <f>'d3'!M292-'d3-п'!M292</f>
        <v>0</v>
      </c>
      <c r="N292" s="416">
        <f>'d3'!N292-'d3-п'!N292</f>
        <v>0</v>
      </c>
      <c r="O292" s="416">
        <f>'d3'!O292-'d3-п'!O292</f>
        <v>0</v>
      </c>
      <c r="P292" s="416">
        <f>'d3'!P292-'d3-п'!P292</f>
        <v>0</v>
      </c>
      <c r="Q292" s="181"/>
      <c r="R292" s="277"/>
    </row>
    <row r="293" spans="1:18" ht="230.25" thickTop="1" thickBot="1" x14ac:dyDescent="0.25">
      <c r="A293" s="795" t="s">
        <v>458</v>
      </c>
      <c r="B293" s="795" t="s">
        <v>261</v>
      </c>
      <c r="C293" s="795" t="s">
        <v>259</v>
      </c>
      <c r="D293" s="795" t="s">
        <v>260</v>
      </c>
      <c r="E293" s="416">
        <f>'d3'!E293-'d3-п'!E293</f>
        <v>0</v>
      </c>
      <c r="F293" s="416">
        <f>'d3'!F293-'d3-п'!F293</f>
        <v>0</v>
      </c>
      <c r="G293" s="416">
        <f>'d3'!G293-'d3-п'!G293</f>
        <v>0</v>
      </c>
      <c r="H293" s="416">
        <f>'d3'!H293-'d3-п'!H293</f>
        <v>0</v>
      </c>
      <c r="I293" s="416">
        <f>'d3'!I293-'d3-п'!I293</f>
        <v>0</v>
      </c>
      <c r="J293" s="416">
        <f>'d3'!J293-'d3-п'!J293</f>
        <v>0</v>
      </c>
      <c r="K293" s="416">
        <f>'d3'!K293-'d3-п'!K293</f>
        <v>0</v>
      </c>
      <c r="L293" s="416">
        <f>'d3'!L293-'d3-п'!L293</f>
        <v>0</v>
      </c>
      <c r="M293" s="416">
        <f>'d3'!M293-'d3-п'!M293</f>
        <v>0</v>
      </c>
      <c r="N293" s="416">
        <f>'d3'!N293-'d3-п'!N293</f>
        <v>0</v>
      </c>
      <c r="O293" s="416">
        <f>'d3'!O293-'d3-п'!O293</f>
        <v>0</v>
      </c>
      <c r="P293" s="416">
        <f>'d3'!P293-'d3-п'!P293</f>
        <v>0</v>
      </c>
      <c r="Q293" s="276"/>
      <c r="R293" s="277"/>
    </row>
    <row r="294" spans="1:18" ht="184.5" thickTop="1" thickBot="1" x14ac:dyDescent="0.25">
      <c r="A294" s="795" t="s">
        <v>829</v>
      </c>
      <c r="B294" s="795" t="s">
        <v>398</v>
      </c>
      <c r="C294" s="795" t="s">
        <v>815</v>
      </c>
      <c r="D294" s="795" t="s">
        <v>816</v>
      </c>
      <c r="E294" s="416">
        <f>'d3'!E294-'d3-п'!E294</f>
        <v>0</v>
      </c>
      <c r="F294" s="416">
        <f>'d3'!F294-'d3-п'!F294</f>
        <v>0</v>
      </c>
      <c r="G294" s="416">
        <f>'d3'!G294-'d3-п'!G294</f>
        <v>0</v>
      </c>
      <c r="H294" s="416">
        <f>'d3'!H294-'d3-п'!H294</f>
        <v>0</v>
      </c>
      <c r="I294" s="416">
        <f>'d3'!I294-'d3-п'!I294</f>
        <v>0</v>
      </c>
      <c r="J294" s="416">
        <f>'d3'!J294-'d3-п'!J294</f>
        <v>0</v>
      </c>
      <c r="K294" s="416">
        <f>'d3'!K294-'d3-п'!K294</f>
        <v>0</v>
      </c>
      <c r="L294" s="416">
        <f>'d3'!L294-'d3-п'!L294</f>
        <v>0</v>
      </c>
      <c r="M294" s="416">
        <f>'d3'!M294-'d3-п'!M294</f>
        <v>0</v>
      </c>
      <c r="N294" s="416">
        <f>'d3'!N294-'d3-п'!N294</f>
        <v>0</v>
      </c>
      <c r="O294" s="416">
        <f>'d3'!O294-'d3-п'!O294</f>
        <v>0</v>
      </c>
      <c r="P294" s="416">
        <f>'d3'!P294-'d3-п'!P294</f>
        <v>0</v>
      </c>
      <c r="Q294" s="276"/>
      <c r="R294" s="277"/>
    </row>
    <row r="295" spans="1:18" ht="48" thickTop="1" thickBot="1" x14ac:dyDescent="0.25">
      <c r="A295" s="251" t="s">
        <v>1051</v>
      </c>
      <c r="B295" s="251" t="s">
        <v>892</v>
      </c>
      <c r="C295" s="251"/>
      <c r="D295" s="251" t="s">
        <v>893</v>
      </c>
      <c r="E295" s="416">
        <f>'d3'!E295-'d3-п'!E295</f>
        <v>0</v>
      </c>
      <c r="F295" s="416">
        <f>'d3'!F295-'d3-п'!F295</f>
        <v>0</v>
      </c>
      <c r="G295" s="416">
        <f>'d3'!G295-'d3-п'!G295</f>
        <v>0</v>
      </c>
      <c r="H295" s="416">
        <f>'d3'!H295-'d3-п'!H295</f>
        <v>0</v>
      </c>
      <c r="I295" s="416">
        <f>'d3'!I295-'d3-п'!I295</f>
        <v>0</v>
      </c>
      <c r="J295" s="416">
        <f>'d3'!J295-'d3-п'!J295</f>
        <v>0</v>
      </c>
      <c r="K295" s="416">
        <f>'d3'!K295-'d3-п'!K295</f>
        <v>0</v>
      </c>
      <c r="L295" s="416">
        <f>'d3'!L295-'d3-п'!L295</f>
        <v>0</v>
      </c>
      <c r="M295" s="416">
        <f>'d3'!M295-'d3-п'!M295</f>
        <v>0</v>
      </c>
      <c r="N295" s="416">
        <f>'d3'!N295-'d3-п'!N295</f>
        <v>0</v>
      </c>
      <c r="O295" s="416">
        <f>'d3'!O295-'d3-п'!O295</f>
        <v>0</v>
      </c>
      <c r="P295" s="416">
        <f>'d3'!P295-'d3-п'!P295</f>
        <v>0</v>
      </c>
      <c r="Q295" s="276"/>
      <c r="R295" s="277"/>
    </row>
    <row r="296" spans="1:18" ht="91.5" thickTop="1" thickBot="1" x14ac:dyDescent="0.25">
      <c r="A296" s="764">
        <v>3718600</v>
      </c>
      <c r="B296" s="764">
        <v>8600</v>
      </c>
      <c r="C296" s="557" t="s">
        <v>398</v>
      </c>
      <c r="D296" s="764" t="s">
        <v>498</v>
      </c>
      <c r="E296" s="416">
        <f>'d3'!E296-'d3-п'!E296</f>
        <v>0</v>
      </c>
      <c r="F296" s="416">
        <f>'d3'!F296-'d3-п'!F296</f>
        <v>0</v>
      </c>
      <c r="G296" s="416">
        <f>'d3'!G296-'d3-п'!G296</f>
        <v>0</v>
      </c>
      <c r="H296" s="416">
        <f>'d3'!H296-'d3-п'!H296</f>
        <v>0</v>
      </c>
      <c r="I296" s="416">
        <f>'d3'!I296-'d3-п'!I296</f>
        <v>0</v>
      </c>
      <c r="J296" s="416">
        <f>'d3'!J296-'d3-п'!J296</f>
        <v>0</v>
      </c>
      <c r="K296" s="416">
        <f>'d3'!K296-'d3-п'!K296</f>
        <v>0</v>
      </c>
      <c r="L296" s="416">
        <f>'d3'!L296-'d3-п'!L296</f>
        <v>0</v>
      </c>
      <c r="M296" s="416">
        <f>'d3'!M296-'d3-п'!M296</f>
        <v>0</v>
      </c>
      <c r="N296" s="416">
        <f>'d3'!N296-'d3-п'!N296</f>
        <v>0</v>
      </c>
      <c r="O296" s="416">
        <f>'d3'!O296-'d3-п'!O296</f>
        <v>0</v>
      </c>
      <c r="P296" s="416">
        <f>'d3'!P296-'d3-п'!P296</f>
        <v>0</v>
      </c>
    </row>
    <row r="297" spans="1:18" ht="48" thickTop="1" thickBot="1" x14ac:dyDescent="0.25">
      <c r="A297" s="764">
        <v>3718700</v>
      </c>
      <c r="B297" s="764">
        <v>8700</v>
      </c>
      <c r="C297" s="557"/>
      <c r="D297" s="764" t="s">
        <v>1052</v>
      </c>
      <c r="E297" s="416">
        <f>'d3'!E297-'d3-п'!E297</f>
        <v>0</v>
      </c>
      <c r="F297" s="416">
        <f>'d3'!F297-'d3-п'!F297</f>
        <v>0</v>
      </c>
      <c r="G297" s="416">
        <f>'d3'!G297-'d3-п'!G297</f>
        <v>0</v>
      </c>
      <c r="H297" s="416">
        <f>'d3'!H297-'d3-п'!H297</f>
        <v>0</v>
      </c>
      <c r="I297" s="416">
        <f>'d3'!I297-'d3-п'!I297</f>
        <v>0</v>
      </c>
      <c r="J297" s="416">
        <f>'d3'!J297-'d3-п'!J297</f>
        <v>0</v>
      </c>
      <c r="K297" s="416">
        <f>'d3'!K297-'d3-п'!K297</f>
        <v>0</v>
      </c>
      <c r="L297" s="416">
        <f>'d3'!L297-'d3-п'!L297</f>
        <v>0</v>
      </c>
      <c r="M297" s="416">
        <f>'d3'!M297-'d3-п'!M297</f>
        <v>0</v>
      </c>
      <c r="N297" s="416">
        <f>'d3'!N297-'d3-п'!N297</f>
        <v>0</v>
      </c>
      <c r="O297" s="416">
        <f>'d3'!O297-'d3-п'!O297</f>
        <v>0</v>
      </c>
      <c r="P297" s="416">
        <f>'d3'!P297-'d3-п'!P297</f>
        <v>0</v>
      </c>
    </row>
    <row r="298" spans="1:18" ht="93" thickTop="1" thickBot="1" x14ac:dyDescent="0.25">
      <c r="A298" s="361">
        <v>3718710</v>
      </c>
      <c r="B298" s="361">
        <v>8710</v>
      </c>
      <c r="C298" s="795" t="s">
        <v>44</v>
      </c>
      <c r="D298" s="434" t="s">
        <v>835</v>
      </c>
      <c r="E298" s="416">
        <f>'d3'!E298-'d3-п'!E298</f>
        <v>0</v>
      </c>
      <c r="F298" s="416">
        <f>'d3'!F298-'d3-п'!F298</f>
        <v>0</v>
      </c>
      <c r="G298" s="416">
        <f>'d3'!G298-'d3-п'!G298</f>
        <v>0</v>
      </c>
      <c r="H298" s="416">
        <f>'d3'!H298-'d3-п'!H298</f>
        <v>0</v>
      </c>
      <c r="I298" s="416">
        <f>'d3'!I298-'d3-п'!I298</f>
        <v>0</v>
      </c>
      <c r="J298" s="416">
        <f>'d3'!J298-'d3-п'!J298</f>
        <v>0</v>
      </c>
      <c r="K298" s="416">
        <f>'d3'!K298-'d3-п'!K298</f>
        <v>0</v>
      </c>
      <c r="L298" s="416">
        <f>'d3'!L298-'d3-п'!L298</f>
        <v>0</v>
      </c>
      <c r="M298" s="416">
        <f>'d3'!M298-'d3-п'!M298</f>
        <v>0</v>
      </c>
      <c r="N298" s="416">
        <f>'d3'!N298-'d3-п'!N298</f>
        <v>0</v>
      </c>
      <c r="O298" s="416">
        <f>'d3'!O298-'d3-п'!O298</f>
        <v>0</v>
      </c>
      <c r="P298" s="416">
        <f>'d3'!P298-'d3-п'!P298</f>
        <v>0</v>
      </c>
    </row>
    <row r="299" spans="1:18" ht="48" thickTop="1" thickBot="1" x14ac:dyDescent="0.25">
      <c r="A299" s="251" t="s">
        <v>1053</v>
      </c>
      <c r="B299" s="251" t="s">
        <v>898</v>
      </c>
      <c r="C299" s="251"/>
      <c r="D299" s="251" t="s">
        <v>899</v>
      </c>
      <c r="E299" s="416">
        <f>'d3'!E299-'d3-п'!E299</f>
        <v>0</v>
      </c>
      <c r="F299" s="416">
        <f>'d3'!F299-'d3-п'!F299</f>
        <v>0</v>
      </c>
      <c r="G299" s="416">
        <f>'d3'!G299-'d3-п'!G299</f>
        <v>0</v>
      </c>
      <c r="H299" s="416">
        <f>'d3'!H299-'d3-п'!H299</f>
        <v>0</v>
      </c>
      <c r="I299" s="416">
        <f>'d3'!I299-'d3-п'!I299</f>
        <v>0</v>
      </c>
      <c r="J299" s="416">
        <f>'d3'!J299-'d3-п'!J299</f>
        <v>0</v>
      </c>
      <c r="K299" s="416">
        <f>'d3'!K299-'d3-п'!K299</f>
        <v>0</v>
      </c>
      <c r="L299" s="416">
        <f>'d3'!L299-'d3-п'!L299</f>
        <v>0</v>
      </c>
      <c r="M299" s="416">
        <f>'d3'!M299-'d3-п'!M299</f>
        <v>0</v>
      </c>
      <c r="N299" s="416">
        <f>'d3'!N299-'d3-п'!N299</f>
        <v>0</v>
      </c>
      <c r="O299" s="416">
        <f>'d3'!O299-'d3-п'!O299</f>
        <v>0</v>
      </c>
      <c r="P299" s="416">
        <f>'d3'!P299-'d3-п'!P299</f>
        <v>0</v>
      </c>
    </row>
    <row r="300" spans="1:18" ht="91.5" thickTop="1" thickBot="1" x14ac:dyDescent="0.25">
      <c r="A300" s="764">
        <v>3719100</v>
      </c>
      <c r="B300" s="557" t="s">
        <v>1055</v>
      </c>
      <c r="C300" s="557"/>
      <c r="D300" s="557" t="s">
        <v>1054</v>
      </c>
      <c r="E300" s="416">
        <f>'d3'!E300-'d3-п'!E300</f>
        <v>0</v>
      </c>
      <c r="F300" s="416">
        <f>'d3'!F300-'d3-п'!F300</f>
        <v>0</v>
      </c>
      <c r="G300" s="416">
        <f>'d3'!G300-'d3-п'!G300</f>
        <v>0</v>
      </c>
      <c r="H300" s="416">
        <f>'d3'!H300-'d3-п'!H300</f>
        <v>0</v>
      </c>
      <c r="I300" s="416">
        <f>'d3'!I300-'d3-п'!I300</f>
        <v>0</v>
      </c>
      <c r="J300" s="416">
        <f>'d3'!J300-'d3-п'!J300</f>
        <v>0</v>
      </c>
      <c r="K300" s="416">
        <f>'d3'!K300-'d3-п'!K300</f>
        <v>0</v>
      </c>
      <c r="L300" s="416">
        <f>'d3'!L300-'d3-п'!L300</f>
        <v>0</v>
      </c>
      <c r="M300" s="416">
        <f>'d3'!M300-'d3-п'!M300</f>
        <v>0</v>
      </c>
      <c r="N300" s="416">
        <f>'d3'!N300-'d3-п'!N300</f>
        <v>0</v>
      </c>
      <c r="O300" s="416">
        <f>'d3'!O300-'d3-п'!O300</f>
        <v>0</v>
      </c>
      <c r="P300" s="416">
        <f>'d3'!P300-'d3-п'!P300</f>
        <v>0</v>
      </c>
    </row>
    <row r="301" spans="1:18" ht="48" thickTop="1" thickBot="1" x14ac:dyDescent="0.25">
      <c r="A301" s="361">
        <v>3719110</v>
      </c>
      <c r="B301" s="361">
        <v>9110</v>
      </c>
      <c r="C301" s="795" t="s">
        <v>45</v>
      </c>
      <c r="D301" s="434" t="s">
        <v>497</v>
      </c>
      <c r="E301" s="416">
        <f>'d3'!E301-'d3-п'!E301</f>
        <v>0</v>
      </c>
      <c r="F301" s="416">
        <f>'d3'!F301-'d3-п'!F301</f>
        <v>0</v>
      </c>
      <c r="G301" s="416">
        <f>'d3'!G301-'d3-п'!G301</f>
        <v>0</v>
      </c>
      <c r="H301" s="416">
        <f>'d3'!H301-'d3-п'!H301</f>
        <v>0</v>
      </c>
      <c r="I301" s="416">
        <f>'d3'!I301-'d3-п'!I301</f>
        <v>0</v>
      </c>
      <c r="J301" s="416">
        <f>'d3'!J301-'d3-п'!J301</f>
        <v>0</v>
      </c>
      <c r="K301" s="416">
        <f>'d3'!K301-'d3-п'!K301</f>
        <v>0</v>
      </c>
      <c r="L301" s="416">
        <f>'d3'!L301-'d3-п'!L301</f>
        <v>0</v>
      </c>
      <c r="M301" s="416">
        <f>'d3'!M301-'d3-п'!M301</f>
        <v>0</v>
      </c>
      <c r="N301" s="416">
        <f>'d3'!N301-'d3-п'!N301</f>
        <v>0</v>
      </c>
      <c r="O301" s="416">
        <f>'d3'!O301-'d3-п'!O301</f>
        <v>0</v>
      </c>
      <c r="P301" s="416">
        <f>'d3'!P301-'d3-п'!P301</f>
        <v>0</v>
      </c>
    </row>
    <row r="302" spans="1:18" ht="159.75" customHeight="1" thickTop="1" thickBot="1" x14ac:dyDescent="0.25">
      <c r="A302" s="325" t="s">
        <v>418</v>
      </c>
      <c r="B302" s="325" t="s">
        <v>418</v>
      </c>
      <c r="C302" s="325" t="s">
        <v>418</v>
      </c>
      <c r="D302" s="326" t="s">
        <v>428</v>
      </c>
      <c r="E302" s="437">
        <f t="shared" ref="E302:P302" si="95">E17+E41+E149+E69+E90+E131++E223+E241+E291+E259+E270+E282+E249+E195+E176</f>
        <v>0</v>
      </c>
      <c r="F302" s="437">
        <f>F17+F41+F149+F69+F90+F131++F223+F241+F291+F259+F270+F282+F249+F195+F176</f>
        <v>0</v>
      </c>
      <c r="G302" s="437">
        <f t="shared" si="95"/>
        <v>0</v>
      </c>
      <c r="H302" s="437">
        <f t="shared" si="95"/>
        <v>0</v>
      </c>
      <c r="I302" s="437">
        <f t="shared" si="95"/>
        <v>0</v>
      </c>
      <c r="J302" s="437">
        <f t="shared" si="95"/>
        <v>-1.4901161193847656E-8</v>
      </c>
      <c r="K302" s="437">
        <f t="shared" si="95"/>
        <v>1.4901161193847656E-8</v>
      </c>
      <c r="L302" s="437">
        <f t="shared" si="95"/>
        <v>0</v>
      </c>
      <c r="M302" s="437">
        <f t="shared" si="95"/>
        <v>0</v>
      </c>
      <c r="N302" s="437">
        <f t="shared" si="95"/>
        <v>0</v>
      </c>
      <c r="O302" s="437">
        <f t="shared" si="95"/>
        <v>-1.4901161193847656E-8</v>
      </c>
      <c r="P302" s="437">
        <f t="shared" si="95"/>
        <v>-1.4901161193847656E-8</v>
      </c>
      <c r="Q302" s="84" t="e">
        <f>K302=#REF!</f>
        <v>#REF!</v>
      </c>
      <c r="R302" s="84" t="b">
        <f>P302=J302+E302</f>
        <v>1</v>
      </c>
    </row>
    <row r="303" spans="1:18" ht="49.5" customHeight="1" thickTop="1" x14ac:dyDescent="0.2">
      <c r="A303" s="833" t="s">
        <v>554</v>
      </c>
      <c r="B303" s="834"/>
      <c r="C303" s="834"/>
      <c r="D303" s="834"/>
      <c r="E303" s="834"/>
      <c r="F303" s="834"/>
      <c r="G303" s="834"/>
      <c r="H303" s="834"/>
      <c r="I303" s="834"/>
      <c r="J303" s="834"/>
      <c r="K303" s="834"/>
      <c r="L303" s="834"/>
      <c r="M303" s="834"/>
      <c r="N303" s="834"/>
      <c r="O303" s="834"/>
      <c r="P303" s="834"/>
      <c r="Q303" s="282"/>
    </row>
    <row r="304" spans="1:18" ht="60.75" hidden="1" x14ac:dyDescent="0.2">
      <c r="A304" s="802"/>
      <c r="B304" s="803"/>
      <c r="C304" s="803"/>
      <c r="D304" s="803"/>
      <c r="E304" s="131" t="e">
        <f>F304</f>
        <v>#REF!</v>
      </c>
      <c r="F304" s="131" t="e">
        <f>((2638170564+6058967+642850)-#REF!+#REF!)+16026676.66</f>
        <v>#REF!</v>
      </c>
      <c r="G304" s="131">
        <f>(354000+540000+1494859+80242670+1114143912+4186600+68381820+89280550+40854695+37511680)-3284345.53+1122300</f>
        <v>1434828740.47</v>
      </c>
      <c r="H304" s="131">
        <f>(6000+3000+20785+3339900+87477970+201540+2063407+3907125+2243165+730080+50000+6058967)-4296997.21+25300+63000-165000-635000+200000</f>
        <v>101293241.79000001</v>
      </c>
      <c r="I304" s="131"/>
      <c r="J304" s="131">
        <f>(356021747.58+79713450)+73413409.53-123742.2</f>
        <v>509024864.91000003</v>
      </c>
      <c r="K304" s="131">
        <f>((356021747.58+79713450)-4201200-630900-155853885)+73413409.53-123742.2-1155966.58-127015.03-854238.96-95000</f>
        <v>346106659.34000009</v>
      </c>
      <c r="L304" s="131">
        <f>((4201200-49000)+630900+(155853885-1788820-106000))+78600-9947+1155966.58+854238.96-50000</f>
        <v>160771023.54000002</v>
      </c>
      <c r="M304" s="131">
        <f>866362+41217060+104000+7345900</f>
        <v>49533322</v>
      </c>
      <c r="N304" s="131">
        <f>308978+8654190+137000+257400</f>
        <v>9357568</v>
      </c>
      <c r="O304" s="131">
        <f>((356021747.58+79713450)-(4201200-49000)-630900-(155853885-1788820-106000))+16400+9947+(73413409.53-123742.2-95000-1155966.58-854238.96)+50000</f>
        <v>348253841.37</v>
      </c>
      <c r="P304" s="131" t="e">
        <f>(2994192311.58+6058967+80356300)-#REF!+#REF!+(89440086.19-123742.2)</f>
        <v>#REF!</v>
      </c>
      <c r="Q304" s="84" t="e">
        <f>E304+J304=P304</f>
        <v>#REF!</v>
      </c>
      <c r="R304" s="282"/>
    </row>
    <row r="305" spans="1:18" ht="45.75" x14ac:dyDescent="0.65">
      <c r="A305" s="802"/>
      <c r="B305" s="803"/>
      <c r="C305" s="803"/>
      <c r="D305" s="202" t="s">
        <v>1272</v>
      </c>
      <c r="E305" s="120"/>
      <c r="F305" s="120"/>
      <c r="G305" s="120"/>
      <c r="H305" s="202"/>
      <c r="I305" s="179"/>
      <c r="J305" s="179"/>
      <c r="K305" s="202" t="s">
        <v>1273</v>
      </c>
      <c r="L305" s="179"/>
      <c r="M305" s="179"/>
      <c r="N305" s="179"/>
      <c r="O305" s="179"/>
      <c r="P305" s="179"/>
      <c r="Q305" s="282"/>
    </row>
    <row r="306" spans="1:18" ht="45.75" x14ac:dyDescent="0.65">
      <c r="A306" s="802"/>
      <c r="B306" s="803"/>
      <c r="C306" s="803"/>
      <c r="D306" s="814"/>
      <c r="E306" s="814"/>
      <c r="F306" s="814"/>
      <c r="G306" s="814"/>
      <c r="H306" s="814"/>
      <c r="I306" s="814"/>
      <c r="J306" s="814"/>
      <c r="K306" s="814"/>
      <c r="L306" s="814"/>
      <c r="M306" s="814"/>
      <c r="N306" s="814"/>
      <c r="O306" s="814"/>
      <c r="P306" s="814"/>
      <c r="Q306" s="282"/>
    </row>
    <row r="307" spans="1:18" ht="45.75" x14ac:dyDescent="0.65">
      <c r="A307" s="802"/>
      <c r="B307" s="803"/>
      <c r="C307" s="803"/>
      <c r="D307" s="202" t="s">
        <v>621</v>
      </c>
      <c r="E307" s="120"/>
      <c r="F307" s="120"/>
      <c r="G307" s="120"/>
      <c r="H307" s="202"/>
      <c r="I307" s="179"/>
      <c r="J307" s="179"/>
      <c r="K307" s="202" t="s">
        <v>622</v>
      </c>
      <c r="L307" s="179"/>
      <c r="M307" s="179"/>
      <c r="N307" s="179"/>
      <c r="O307" s="179"/>
      <c r="P307" s="179"/>
      <c r="Q307" s="282"/>
    </row>
    <row r="308" spans="1:18" ht="45.75" x14ac:dyDescent="0.65">
      <c r="A308" s="799"/>
      <c r="B308" s="799"/>
      <c r="C308" s="799"/>
      <c r="D308" s="814"/>
      <c r="E308" s="814"/>
      <c r="F308" s="814"/>
      <c r="G308" s="814"/>
      <c r="H308" s="814"/>
      <c r="I308" s="814"/>
      <c r="J308" s="814"/>
      <c r="K308" s="814"/>
      <c r="L308" s="814"/>
      <c r="M308" s="814"/>
      <c r="N308" s="814"/>
      <c r="O308" s="814"/>
      <c r="P308" s="814"/>
      <c r="Q308" s="283"/>
    </row>
    <row r="309" spans="1:18" ht="150.75" hidden="1" customHeight="1" x14ac:dyDescent="0.65">
      <c r="D309" s="814" t="s">
        <v>623</v>
      </c>
      <c r="E309" s="814"/>
      <c r="F309" s="814"/>
      <c r="G309" s="814"/>
      <c r="H309" s="814"/>
      <c r="I309" s="814"/>
      <c r="J309" s="814"/>
      <c r="K309" s="814"/>
      <c r="L309" s="814"/>
      <c r="M309" s="814"/>
      <c r="N309" s="814"/>
      <c r="O309" s="814"/>
      <c r="P309" s="814"/>
    </row>
    <row r="310" spans="1:18" ht="95.25" customHeight="1" x14ac:dyDescent="0.55000000000000004">
      <c r="G310" s="373"/>
      <c r="H310" s="373"/>
      <c r="Q310" s="274"/>
    </row>
    <row r="311" spans="1:18" hidden="1" x14ac:dyDescent="0.2">
      <c r="E311" s="4"/>
      <c r="F311" s="3"/>
      <c r="G311" s="373"/>
      <c r="H311" s="373"/>
      <c r="J311" s="4"/>
      <c r="K311" s="4"/>
    </row>
    <row r="312" spans="1:18" hidden="1" x14ac:dyDescent="0.2">
      <c r="E312" s="4"/>
      <c r="F312" s="3"/>
      <c r="G312" s="373"/>
      <c r="H312" s="373"/>
      <c r="J312" s="4"/>
      <c r="K312" s="4"/>
    </row>
    <row r="313" spans="1:18" ht="60.75" x14ac:dyDescent="0.2">
      <c r="E313" s="84" t="e">
        <f>E304=E302</f>
        <v>#REF!</v>
      </c>
      <c r="F313" s="84" t="e">
        <f>F304=F302</f>
        <v>#REF!</v>
      </c>
      <c r="G313" s="84" t="b">
        <f>G304=G302</f>
        <v>0</v>
      </c>
      <c r="H313" s="84" t="b">
        <f t="shared" ref="H313:O313" si="96">H304=H302</f>
        <v>0</v>
      </c>
      <c r="I313" s="84" t="b">
        <f>I304=I302</f>
        <v>1</v>
      </c>
      <c r="J313" s="84" t="b">
        <f>J304=J302</f>
        <v>0</v>
      </c>
      <c r="K313" s="84" t="b">
        <f>K304=K302</f>
        <v>0</v>
      </c>
      <c r="L313" s="84" t="b">
        <f t="shared" si="96"/>
        <v>0</v>
      </c>
      <c r="M313" s="84" t="b">
        <f t="shared" si="96"/>
        <v>0</v>
      </c>
      <c r="N313" s="84" t="b">
        <f t="shared" si="96"/>
        <v>0</v>
      </c>
      <c r="O313" s="84" t="b">
        <f t="shared" si="96"/>
        <v>0</v>
      </c>
      <c r="P313" s="84" t="e">
        <f>P304=P302</f>
        <v>#REF!</v>
      </c>
    </row>
    <row r="314" spans="1:18" ht="61.5" x14ac:dyDescent="0.2">
      <c r="E314" s="84" t="b">
        <f>E302=F302</f>
        <v>1</v>
      </c>
      <c r="F314" s="182" t="e">
        <f>F298/E302*100</f>
        <v>#DIV/0!</v>
      </c>
      <c r="G314" s="91" t="s">
        <v>351</v>
      </c>
      <c r="H314" s="380"/>
      <c r="I314" s="183"/>
      <c r="J314" s="84" t="b">
        <f>J304=L304+O304</f>
        <v>1</v>
      </c>
      <c r="K314" s="184"/>
      <c r="L314" s="84"/>
      <c r="M314" s="183"/>
      <c r="N314" s="183"/>
      <c r="O314" s="84"/>
      <c r="P314" s="84" t="b">
        <f>E302+J302=P302</f>
        <v>1</v>
      </c>
    </row>
    <row r="315" spans="1:18" ht="60.75" x14ac:dyDescent="0.2">
      <c r="E315" s="185"/>
      <c r="F315" s="186"/>
      <c r="G315" s="185"/>
      <c r="H315" s="381"/>
      <c r="I315" s="185"/>
      <c r="J315" s="4"/>
      <c r="K315" s="4"/>
    </row>
    <row r="316" spans="1:18" ht="61.5" x14ac:dyDescent="0.2">
      <c r="A316" s="793"/>
      <c r="B316" s="793"/>
      <c r="C316" s="793"/>
      <c r="D316" s="6"/>
      <c r="E316" s="793"/>
      <c r="F316" s="91">
        <f>F298/P302*100</f>
        <v>0</v>
      </c>
      <c r="G316" s="91" t="s">
        <v>351</v>
      </c>
      <c r="H316" s="380"/>
      <c r="I316" s="6"/>
      <c r="J316" s="96"/>
      <c r="K316" s="96"/>
      <c r="L316" s="96"/>
      <c r="M316" s="96"/>
      <c r="N316" s="96"/>
      <c r="O316" s="96"/>
      <c r="P316" s="96"/>
    </row>
    <row r="317" spans="1:18" ht="61.5" x14ac:dyDescent="0.2">
      <c r="D317" s="6"/>
      <c r="E317" s="96"/>
      <c r="F317" s="187"/>
      <c r="G317" s="84"/>
      <c r="H317" s="380"/>
      <c r="I317" s="6"/>
      <c r="J317" s="96"/>
      <c r="K317" s="96"/>
      <c r="L317" s="157"/>
      <c r="P317" s="84"/>
      <c r="Q317" s="278"/>
      <c r="R317" s="281"/>
    </row>
    <row r="318" spans="1:18" ht="60.75" x14ac:dyDescent="0.2">
      <c r="A318" s="793"/>
      <c r="B318" s="793"/>
      <c r="C318" s="793"/>
      <c r="D318" s="6"/>
      <c r="E318" s="180"/>
      <c r="F318" s="180" t="e">
        <f>F304-F302</f>
        <v>#REF!</v>
      </c>
      <c r="G318" s="180"/>
      <c r="H318" s="180"/>
      <c r="I318" s="188"/>
      <c r="J318" s="180"/>
      <c r="K318" s="180"/>
      <c r="L318" s="180"/>
      <c r="M318" s="180"/>
      <c r="N318" s="180"/>
      <c r="O318" s="180"/>
      <c r="P318" s="180"/>
      <c r="Q318" s="278"/>
      <c r="R318" s="281"/>
    </row>
    <row r="319" spans="1:18" ht="60.75" x14ac:dyDescent="0.2">
      <c r="D319" s="6"/>
      <c r="E319" s="96"/>
      <c r="F319" s="118"/>
      <c r="G319" s="343"/>
      <c r="O319" s="84"/>
      <c r="P319" s="84"/>
    </row>
    <row r="320" spans="1:18" ht="60.75" x14ac:dyDescent="0.2">
      <c r="A320" s="793"/>
      <c r="B320" s="793"/>
      <c r="C320" s="793"/>
      <c r="D320" s="6"/>
      <c r="E320" s="96"/>
      <c r="F320" s="91"/>
      <c r="G320" s="157"/>
      <c r="I320" s="195"/>
      <c r="J320" s="4"/>
      <c r="K320" s="4"/>
      <c r="L320" s="793"/>
      <c r="M320" s="793"/>
      <c r="N320" s="793"/>
      <c r="O320" s="793"/>
      <c r="P320" s="84"/>
    </row>
    <row r="321" spans="1:16" ht="62.25" x14ac:dyDescent="0.8">
      <c r="A321" s="793"/>
      <c r="B321" s="793"/>
      <c r="C321" s="793"/>
      <c r="D321" s="793"/>
      <c r="E321" s="9"/>
      <c r="F321" s="91"/>
      <c r="J321" s="4"/>
      <c r="K321" s="4"/>
      <c r="L321" s="793"/>
      <c r="M321" s="793"/>
      <c r="N321" s="793"/>
      <c r="O321" s="793"/>
      <c r="P321" s="99"/>
    </row>
    <row r="322" spans="1:16" ht="45.75" x14ac:dyDescent="0.2">
      <c r="E322" s="158" t="e">
        <f>E298/E302</f>
        <v>#DIV/0!</v>
      </c>
      <c r="F322" s="118"/>
    </row>
    <row r="323" spans="1:16" ht="45.75" x14ac:dyDescent="0.2">
      <c r="A323" s="793"/>
      <c r="B323" s="793"/>
      <c r="C323" s="793"/>
      <c r="D323" s="793"/>
      <c r="E323" s="9"/>
      <c r="F323" s="91"/>
      <c r="L323" s="793"/>
      <c r="M323" s="793"/>
      <c r="N323" s="793"/>
      <c r="O323" s="793"/>
      <c r="P323" s="793"/>
    </row>
    <row r="324" spans="1:16" ht="45.75" x14ac:dyDescent="0.2">
      <c r="E324" s="10"/>
      <c r="F324" s="118"/>
    </row>
    <row r="325" spans="1:16" ht="45.75" x14ac:dyDescent="0.2">
      <c r="E325" s="10"/>
      <c r="F325" s="118"/>
    </row>
    <row r="326" spans="1:16" ht="45.75" x14ac:dyDescent="0.2">
      <c r="E326" s="10"/>
      <c r="F326" s="118"/>
    </row>
    <row r="327" spans="1:16" ht="45.75" x14ac:dyDescent="0.2">
      <c r="A327" s="793"/>
      <c r="B327" s="793"/>
      <c r="C327" s="793"/>
      <c r="D327" s="793"/>
      <c r="E327" s="10"/>
      <c r="F327" s="118"/>
      <c r="G327" s="793"/>
      <c r="H327" s="793"/>
      <c r="I327" s="793"/>
      <c r="J327" s="793"/>
      <c r="K327" s="793"/>
      <c r="L327" s="793"/>
      <c r="M327" s="793"/>
      <c r="N327" s="793"/>
      <c r="O327" s="793"/>
      <c r="P327" s="793"/>
    </row>
    <row r="328" spans="1:16" ht="45.75" x14ac:dyDescent="0.2">
      <c r="A328" s="793"/>
      <c r="B328" s="793"/>
      <c r="C328" s="793"/>
      <c r="D328" s="793"/>
      <c r="E328" s="10"/>
      <c r="F328" s="118"/>
      <c r="G328" s="793"/>
      <c r="H328" s="793"/>
      <c r="I328" s="793"/>
      <c r="J328" s="793"/>
      <c r="K328" s="793"/>
      <c r="L328" s="793"/>
      <c r="M328" s="793"/>
      <c r="N328" s="793"/>
      <c r="O328" s="793"/>
      <c r="P328" s="793"/>
    </row>
    <row r="329" spans="1:16" ht="45.75" x14ac:dyDescent="0.2">
      <c r="A329" s="793"/>
      <c r="B329" s="793"/>
      <c r="C329" s="793"/>
      <c r="D329" s="793"/>
      <c r="E329" s="10"/>
      <c r="F329" s="118"/>
      <c r="G329" s="793"/>
      <c r="H329" s="793"/>
      <c r="I329" s="793"/>
      <c r="J329" s="793"/>
      <c r="K329" s="793"/>
      <c r="L329" s="793"/>
      <c r="M329" s="793"/>
      <c r="N329" s="793"/>
      <c r="O329" s="793"/>
      <c r="P329" s="793"/>
    </row>
    <row r="330" spans="1:16" ht="45.75" x14ac:dyDescent="0.2">
      <c r="A330" s="793"/>
      <c r="B330" s="793"/>
      <c r="C330" s="793"/>
      <c r="D330" s="793"/>
      <c r="E330" s="10"/>
      <c r="F330" s="118"/>
      <c r="G330" s="793"/>
      <c r="H330" s="793"/>
      <c r="I330" s="793"/>
      <c r="J330" s="793"/>
      <c r="K330" s="793"/>
      <c r="L330" s="793"/>
      <c r="M330" s="793"/>
      <c r="N330" s="793"/>
      <c r="O330" s="793"/>
      <c r="P330" s="793"/>
    </row>
  </sheetData>
  <mergeCells count="102">
    <mergeCell ref="D309:P309"/>
    <mergeCell ref="K215:K216"/>
    <mergeCell ref="L215:L216"/>
    <mergeCell ref="M215:M216"/>
    <mergeCell ref="N215:N216"/>
    <mergeCell ref="O215:O216"/>
    <mergeCell ref="P215:P216"/>
    <mergeCell ref="M192:M193"/>
    <mergeCell ref="N192:N193"/>
    <mergeCell ref="O192:O193"/>
    <mergeCell ref="A192:A193"/>
    <mergeCell ref="B192:B193"/>
    <mergeCell ref="C192:C193"/>
    <mergeCell ref="A303:P303"/>
    <mergeCell ref="D306:P306"/>
    <mergeCell ref="D308:P308"/>
    <mergeCell ref="A215:A216"/>
    <mergeCell ref="B215:B216"/>
    <mergeCell ref="C215:C216"/>
    <mergeCell ref="E215:E216"/>
    <mergeCell ref="F215:F216"/>
    <mergeCell ref="G215:G216"/>
    <mergeCell ref="H215:H216"/>
    <mergeCell ref="I215:I216"/>
    <mergeCell ref="J215:J216"/>
    <mergeCell ref="E192:E193"/>
    <mergeCell ref="F192:F193"/>
    <mergeCell ref="G192:G193"/>
    <mergeCell ref="H192:H193"/>
    <mergeCell ref="I192:I193"/>
    <mergeCell ref="I128:I129"/>
    <mergeCell ref="N49:N50"/>
    <mergeCell ref="O49:O50"/>
    <mergeCell ref="P49:P50"/>
    <mergeCell ref="J49:J50"/>
    <mergeCell ref="K49:K50"/>
    <mergeCell ref="L49:L50"/>
    <mergeCell ref="M49:M50"/>
    <mergeCell ref="O128:O129"/>
    <mergeCell ref="P128:P129"/>
    <mergeCell ref="J128:J129"/>
    <mergeCell ref="K128:K129"/>
    <mergeCell ref="L128:L129"/>
    <mergeCell ref="M128:M129"/>
    <mergeCell ref="N128:N129"/>
    <mergeCell ref="P192:P193"/>
    <mergeCell ref="J192:J193"/>
    <mergeCell ref="K192:K193"/>
    <mergeCell ref="L192:L193"/>
    <mergeCell ref="A128:A129"/>
    <mergeCell ref="B128:B129"/>
    <mergeCell ref="C128:C129"/>
    <mergeCell ref="E128:E129"/>
    <mergeCell ref="F128:F129"/>
    <mergeCell ref="G128:G129"/>
    <mergeCell ref="H128:H129"/>
    <mergeCell ref="H49:H50"/>
    <mergeCell ref="I49:I50"/>
    <mergeCell ref="A49:A50"/>
    <mergeCell ref="B49:B50"/>
    <mergeCell ref="C49:C50"/>
    <mergeCell ref="E49:E50"/>
    <mergeCell ref="F49:F50"/>
    <mergeCell ref="G49:G50"/>
    <mergeCell ref="K29:K30"/>
    <mergeCell ref="L29:L30"/>
    <mergeCell ref="M29:M30"/>
    <mergeCell ref="N29:N30"/>
    <mergeCell ref="O29:O30"/>
    <mergeCell ref="P29:P30"/>
    <mergeCell ref="O13:O14"/>
    <mergeCell ref="A29:A30"/>
    <mergeCell ref="B29:B30"/>
    <mergeCell ref="C29:C30"/>
    <mergeCell ref="E29:E30"/>
    <mergeCell ref="F29:F30"/>
    <mergeCell ref="G29:G30"/>
    <mergeCell ref="H29:H30"/>
    <mergeCell ref="I29:I30"/>
    <mergeCell ref="J29:J30"/>
    <mergeCell ref="A10:B10"/>
    <mergeCell ref="A12:A14"/>
    <mergeCell ref="B12:B14"/>
    <mergeCell ref="C12:C14"/>
    <mergeCell ref="D12:D14"/>
    <mergeCell ref="E12:I12"/>
    <mergeCell ref="N2:Q2"/>
    <mergeCell ref="N3:Q3"/>
    <mergeCell ref="O4:P4"/>
    <mergeCell ref="A6:P6"/>
    <mergeCell ref="A7:P7"/>
    <mergeCell ref="A9:B9"/>
    <mergeCell ref="J12:O12"/>
    <mergeCell ref="P12:P14"/>
    <mergeCell ref="E13:E14"/>
    <mergeCell ref="F13:F14"/>
    <mergeCell ref="G13:H13"/>
    <mergeCell ref="I13:I14"/>
    <mergeCell ref="J13:J14"/>
    <mergeCell ref="K13:K14"/>
    <mergeCell ref="L13:L14"/>
    <mergeCell ref="M13:N13"/>
  </mergeCells>
  <conditionalFormatting sqref="Q293:R295 Q291:Q292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282:R283 Q284:Q286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291:R292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259:R261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251:Q257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251:R257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Q249:Q250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249:R250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284:R286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241:R242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241:Q247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R243:R247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270:R271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272:R276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270:Q276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262:R268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Q277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Q27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Q280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Q278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  <rowBreaks count="3" manualBreakCount="3">
    <brk id="36" min="9" max="15" man="1"/>
    <brk id="78" max="15" man="1"/>
    <brk id="262" min="9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4"/>
  <sheetViews>
    <sheetView view="pageBreakPreview" topLeftCell="A19" zoomScaleSheetLayoutView="100" workbookViewId="0">
      <selection activeCell="B40" sqref="B40:F40"/>
    </sheetView>
  </sheetViews>
  <sheetFormatPr defaultColWidth="9.140625" defaultRowHeight="12.75" x14ac:dyDescent="0.2"/>
  <cols>
    <col min="1" max="1" width="9.7109375" style="120" customWidth="1"/>
    <col min="2" max="3" width="22.140625" style="120" customWidth="1"/>
    <col min="4" max="4" width="14.140625" style="120" customWidth="1"/>
    <col min="5" max="5" width="14" style="120" customWidth="1"/>
    <col min="6" max="6" width="15.42578125" style="120" customWidth="1"/>
    <col min="7" max="7" width="15.140625" style="120" customWidth="1"/>
    <col min="8" max="8" width="16.42578125" style="120" customWidth="1"/>
    <col min="9" max="9" width="8.28515625" style="120" customWidth="1"/>
    <col min="10" max="10" width="9.140625" style="120"/>
    <col min="11" max="11" width="9.7109375" style="120" customWidth="1"/>
    <col min="12" max="12" width="9.140625" style="120"/>
    <col min="13" max="13" width="8.140625" style="120" customWidth="1"/>
    <col min="14" max="16384" width="9.140625" style="120"/>
  </cols>
  <sheetData>
    <row r="1" spans="1:17" x14ac:dyDescent="0.2">
      <c r="F1" s="60" t="s">
        <v>129</v>
      </c>
    </row>
    <row r="2" spans="1:17" x14ac:dyDescent="0.2">
      <c r="F2" s="60" t="s">
        <v>130</v>
      </c>
    </row>
    <row r="3" spans="1:17" x14ac:dyDescent="0.2">
      <c r="F3" s="60" t="s">
        <v>631</v>
      </c>
    </row>
    <row r="5" spans="1:17" ht="18.75" x14ac:dyDescent="0.2">
      <c r="A5" s="817" t="s">
        <v>714</v>
      </c>
      <c r="B5" s="817"/>
      <c r="C5" s="817"/>
      <c r="D5" s="817"/>
      <c r="E5" s="817"/>
      <c r="F5" s="817"/>
    </row>
    <row r="6" spans="1:17" ht="18.75" x14ac:dyDescent="0.2">
      <c r="A6" s="817" t="s">
        <v>715</v>
      </c>
      <c r="B6" s="817"/>
      <c r="C6" s="817"/>
      <c r="D6" s="817"/>
      <c r="E6" s="817"/>
      <c r="F6" s="817"/>
    </row>
    <row r="7" spans="1:17" ht="18.75" x14ac:dyDescent="0.2">
      <c r="A7" s="379"/>
      <c r="B7" s="379"/>
      <c r="C7" s="379"/>
      <c r="D7" s="379"/>
      <c r="E7" s="379"/>
      <c r="F7" s="379"/>
    </row>
    <row r="8" spans="1:17" x14ac:dyDescent="0.2">
      <c r="A8" s="818">
        <v>22564000000</v>
      </c>
      <c r="B8" s="819"/>
      <c r="C8" s="820"/>
      <c r="D8" s="820"/>
      <c r="E8" s="820"/>
      <c r="F8" s="820"/>
    </row>
    <row r="9" spans="1:17" ht="15" customHeight="1" x14ac:dyDescent="0.2">
      <c r="A9" s="821" t="s">
        <v>546</v>
      </c>
      <c r="B9" s="822"/>
      <c r="C9" s="820"/>
      <c r="D9" s="820"/>
      <c r="E9" s="820"/>
      <c r="F9" s="820"/>
    </row>
    <row r="10" spans="1:17" x14ac:dyDescent="0.2">
      <c r="A10" s="141"/>
      <c r="B10" s="141"/>
      <c r="F10" s="117" t="s">
        <v>441</v>
      </c>
    </row>
    <row r="11" spans="1:17" x14ac:dyDescent="0.2">
      <c r="A11" s="823" t="s">
        <v>64</v>
      </c>
      <c r="B11" s="823" t="s">
        <v>415</v>
      </c>
      <c r="C11" s="823" t="s">
        <v>420</v>
      </c>
      <c r="D11" s="824" t="s">
        <v>12</v>
      </c>
      <c r="E11" s="823" t="s">
        <v>57</v>
      </c>
      <c r="F11" s="823"/>
    </row>
    <row r="12" spans="1:17" ht="35.450000000000003" customHeight="1" x14ac:dyDescent="0.2">
      <c r="A12" s="823"/>
      <c r="B12" s="823"/>
      <c r="C12" s="823"/>
      <c r="D12" s="825"/>
      <c r="E12" s="377" t="s">
        <v>421</v>
      </c>
      <c r="F12" s="377" t="s">
        <v>422</v>
      </c>
    </row>
    <row r="13" spans="1:17" x14ac:dyDescent="0.2">
      <c r="A13" s="61">
        <v>1</v>
      </c>
      <c r="B13" s="61">
        <v>2</v>
      </c>
      <c r="C13" s="61">
        <v>3</v>
      </c>
      <c r="D13" s="61">
        <v>4</v>
      </c>
      <c r="E13" s="61">
        <v>5</v>
      </c>
      <c r="F13" s="61">
        <v>6</v>
      </c>
    </row>
    <row r="14" spans="1:17" ht="23.25" customHeight="1" x14ac:dyDescent="0.2">
      <c r="A14" s="826" t="s">
        <v>416</v>
      </c>
      <c r="B14" s="827"/>
      <c r="C14" s="828"/>
      <c r="D14" s="828"/>
      <c r="E14" s="828"/>
      <c r="F14" s="829"/>
    </row>
    <row r="15" spans="1:17" x14ac:dyDescent="0.2">
      <c r="A15" s="62" t="s">
        <v>131</v>
      </c>
      <c r="B15" s="62" t="s">
        <v>132</v>
      </c>
      <c r="C15" s="62">
        <f>SUM(D15,E15)</f>
        <v>88637752.189999998</v>
      </c>
      <c r="D15" s="62">
        <f>SUM(D16,D18)</f>
        <v>-152543438.67000002</v>
      </c>
      <c r="E15" s="62">
        <f>SUM(E16,E18)</f>
        <v>241181190.86000001</v>
      </c>
      <c r="F15" s="62">
        <f>SUM(F16,F18)</f>
        <v>238920228.09</v>
      </c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</row>
    <row r="16" spans="1:17" ht="16.5" customHeight="1" x14ac:dyDescent="0.2">
      <c r="A16" s="63" t="s">
        <v>133</v>
      </c>
      <c r="B16" s="63" t="s">
        <v>134</v>
      </c>
      <c r="C16" s="122">
        <f>SUM(D16,E16)</f>
        <v>88637752.189999998</v>
      </c>
      <c r="D16" s="122">
        <v>82427581.670000002</v>
      </c>
      <c r="E16" s="122">
        <v>6210170.5199999996</v>
      </c>
      <c r="F16" s="122">
        <f>2956716.87+992490.88</f>
        <v>3949207.75</v>
      </c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</row>
    <row r="17" spans="1:17" ht="18.75" hidden="1" customHeight="1" x14ac:dyDescent="0.2">
      <c r="A17" s="63">
        <v>208200</v>
      </c>
      <c r="B17" s="63" t="s">
        <v>135</v>
      </c>
      <c r="C17" s="122"/>
      <c r="D17" s="122"/>
      <c r="E17" s="122"/>
      <c r="F17" s="62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</row>
    <row r="18" spans="1:17" ht="51" x14ac:dyDescent="0.2">
      <c r="A18" s="63">
        <v>208400</v>
      </c>
      <c r="B18" s="64" t="s">
        <v>136</v>
      </c>
      <c r="C18" s="62">
        <v>0</v>
      </c>
      <c r="D18" s="62">
        <v>-234971020.34</v>
      </c>
      <c r="E18" s="62">
        <v>234971020.34</v>
      </c>
      <c r="F18" s="62">
        <v>234971020.34</v>
      </c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</row>
    <row r="19" spans="1:17" x14ac:dyDescent="0.2">
      <c r="A19" s="93">
        <v>300000</v>
      </c>
      <c r="B19" s="83" t="s">
        <v>390</v>
      </c>
      <c r="C19" s="62">
        <v>13786494.58</v>
      </c>
      <c r="D19" s="62"/>
      <c r="E19" s="62">
        <f>SUM(E21,E22)</f>
        <v>13786494.58</v>
      </c>
      <c r="F19" s="62">
        <f>SUM(F21,F22)</f>
        <v>13786494.58</v>
      </c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</row>
    <row r="20" spans="1:17" ht="38.25" x14ac:dyDescent="0.2">
      <c r="A20" s="93">
        <v>301000</v>
      </c>
      <c r="B20" s="83" t="s">
        <v>391</v>
      </c>
      <c r="C20" s="62"/>
      <c r="D20" s="62"/>
      <c r="E20" s="62"/>
      <c r="F20" s="62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</row>
    <row r="21" spans="1:17" x14ac:dyDescent="0.2">
      <c r="A21" s="63">
        <v>301100</v>
      </c>
      <c r="B21" s="64" t="s">
        <v>392</v>
      </c>
      <c r="C21" s="62">
        <v>16535522.58</v>
      </c>
      <c r="D21" s="62"/>
      <c r="E21" s="122">
        <v>16535522.58</v>
      </c>
      <c r="F21" s="122">
        <v>16535522.58</v>
      </c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</row>
    <row r="22" spans="1:17" x14ac:dyDescent="0.2">
      <c r="A22" s="63">
        <v>301200</v>
      </c>
      <c r="B22" s="64" t="s">
        <v>393</v>
      </c>
      <c r="C22" s="62">
        <v>-2749028</v>
      </c>
      <c r="D22" s="62"/>
      <c r="E22" s="122">
        <v>-2749028</v>
      </c>
      <c r="F22" s="122">
        <v>-2749028</v>
      </c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</row>
    <row r="23" spans="1:17" ht="35.450000000000003" customHeight="1" x14ac:dyDescent="0.2">
      <c r="A23" s="826" t="s">
        <v>419</v>
      </c>
      <c r="B23" s="830"/>
      <c r="C23" s="831"/>
      <c r="D23" s="831"/>
      <c r="E23" s="831"/>
      <c r="F23" s="832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</row>
    <row r="24" spans="1:17" ht="25.5" x14ac:dyDescent="0.2">
      <c r="A24" s="93">
        <v>400000</v>
      </c>
      <c r="B24" s="83" t="s">
        <v>137</v>
      </c>
      <c r="C24" s="62">
        <v>13786494.58</v>
      </c>
      <c r="D24" s="62"/>
      <c r="E24" s="62">
        <v>13786494.58</v>
      </c>
      <c r="F24" s="62">
        <v>13786494.58</v>
      </c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</row>
    <row r="25" spans="1:17" x14ac:dyDescent="0.2">
      <c r="A25" s="93">
        <v>401000</v>
      </c>
      <c r="B25" s="83" t="s">
        <v>138</v>
      </c>
      <c r="C25" s="62"/>
      <c r="D25" s="62"/>
      <c r="E25" s="62"/>
      <c r="F25" s="62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</row>
    <row r="26" spans="1:17" s="2" customFormat="1" x14ac:dyDescent="0.2">
      <c r="A26" s="93">
        <v>401200</v>
      </c>
      <c r="B26" s="83" t="s">
        <v>394</v>
      </c>
      <c r="C26" s="62">
        <v>16535522.58</v>
      </c>
      <c r="D26" s="62"/>
      <c r="E26" s="62">
        <v>16535522.58</v>
      </c>
      <c r="F26" s="62">
        <v>16535522.58</v>
      </c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</row>
    <row r="27" spans="1:17" ht="25.5" x14ac:dyDescent="0.2">
      <c r="A27" s="63">
        <v>401201</v>
      </c>
      <c r="B27" s="64" t="s">
        <v>627</v>
      </c>
      <c r="C27" s="122">
        <v>16535522.58</v>
      </c>
      <c r="D27" s="62"/>
      <c r="E27" s="122">
        <v>16535522.58</v>
      </c>
      <c r="F27" s="122">
        <v>16535522.58</v>
      </c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</row>
    <row r="28" spans="1:17" s="2" customFormat="1" x14ac:dyDescent="0.2">
      <c r="A28" s="93">
        <v>402000</v>
      </c>
      <c r="B28" s="83" t="s">
        <v>396</v>
      </c>
      <c r="C28" s="62"/>
      <c r="D28" s="62"/>
      <c r="E28" s="62"/>
      <c r="F28" s="62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</row>
    <row r="29" spans="1:17" s="2" customFormat="1" x14ac:dyDescent="0.2">
      <c r="A29" s="93">
        <v>402200</v>
      </c>
      <c r="B29" s="83" t="s">
        <v>397</v>
      </c>
      <c r="C29" s="62">
        <f>SUM(C30,C31)</f>
        <v>-2749028</v>
      </c>
      <c r="D29" s="62"/>
      <c r="E29" s="62">
        <f>SUM(E30,E31)</f>
        <v>-2749028</v>
      </c>
      <c r="F29" s="62">
        <f>SUM(F30,F31)</f>
        <v>-2749028</v>
      </c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17" s="2" customFormat="1" ht="25.5" x14ac:dyDescent="0.2">
      <c r="A30" s="63">
        <v>402201</v>
      </c>
      <c r="B30" s="64" t="s">
        <v>627</v>
      </c>
      <c r="C30" s="62"/>
      <c r="D30" s="62"/>
      <c r="E30" s="122"/>
      <c r="F30" s="122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</row>
    <row r="31" spans="1:17" ht="25.5" customHeight="1" x14ac:dyDescent="0.2">
      <c r="A31" s="63">
        <v>402202</v>
      </c>
      <c r="B31" s="64" t="s">
        <v>395</v>
      </c>
      <c r="C31" s="122">
        <v>-2749028</v>
      </c>
      <c r="D31" s="62"/>
      <c r="E31" s="122">
        <v>-2749028</v>
      </c>
      <c r="F31" s="122">
        <v>-2749028</v>
      </c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</row>
    <row r="32" spans="1:17" x14ac:dyDescent="0.2">
      <c r="A32" s="93" t="s">
        <v>418</v>
      </c>
      <c r="B32" s="83" t="s">
        <v>417</v>
      </c>
      <c r="C32" s="62">
        <f>D32+E32</f>
        <v>13786494.580000013</v>
      </c>
      <c r="D32" s="62">
        <f>D19+D18</f>
        <v>-234971020.34</v>
      </c>
      <c r="E32" s="62">
        <f>E19+E18</f>
        <v>248757514.92000002</v>
      </c>
      <c r="F32" s="62">
        <f>F19+F18</f>
        <v>248757514.92000002</v>
      </c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</row>
    <row r="33" spans="1:17" ht="25.5" x14ac:dyDescent="0.2">
      <c r="A33" s="93" t="s">
        <v>139</v>
      </c>
      <c r="B33" s="93" t="s">
        <v>140</v>
      </c>
      <c r="C33" s="62">
        <v>0</v>
      </c>
      <c r="D33" s="62">
        <v>-234971020.34</v>
      </c>
      <c r="E33" s="62">
        <v>234971020.34</v>
      </c>
      <c r="F33" s="62">
        <v>234971020.34</v>
      </c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</row>
    <row r="34" spans="1:17" ht="36" customHeight="1" x14ac:dyDescent="0.2">
      <c r="A34" s="63">
        <v>602100</v>
      </c>
      <c r="B34" s="64" t="s">
        <v>141</v>
      </c>
      <c r="C34" s="122"/>
      <c r="D34" s="122"/>
      <c r="E34" s="122"/>
      <c r="F34" s="122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</row>
    <row r="35" spans="1:17" ht="39.75" hidden="1" customHeight="1" x14ac:dyDescent="0.2">
      <c r="A35" s="63">
        <v>602200</v>
      </c>
      <c r="B35" s="64" t="s">
        <v>142</v>
      </c>
      <c r="C35" s="122"/>
      <c r="D35" s="122"/>
      <c r="E35" s="122"/>
      <c r="F35" s="62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</row>
    <row r="36" spans="1:17" ht="52.5" customHeight="1" x14ac:dyDescent="0.2">
      <c r="A36" s="63">
        <v>602400</v>
      </c>
      <c r="B36" s="64" t="s">
        <v>136</v>
      </c>
      <c r="C36" s="62">
        <v>0</v>
      </c>
      <c r="D36" s="62">
        <f>D18</f>
        <v>-234971020.34</v>
      </c>
      <c r="E36" s="62">
        <f>E18</f>
        <v>234971020.34</v>
      </c>
      <c r="F36" s="62">
        <f>F18</f>
        <v>234971020.34</v>
      </c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</row>
    <row r="37" spans="1:17" x14ac:dyDescent="0.2">
      <c r="A37" s="93" t="s">
        <v>418</v>
      </c>
      <c r="B37" s="83" t="s">
        <v>417</v>
      </c>
      <c r="C37" s="62">
        <f>C24+C15</f>
        <v>102424246.77</v>
      </c>
      <c r="D37" s="62">
        <f>D24+D15</f>
        <v>-152543438.67000002</v>
      </c>
      <c r="E37" s="62">
        <f>E24+E15</f>
        <v>254967685.44000003</v>
      </c>
      <c r="F37" s="62">
        <f>F24+F15</f>
        <v>252706722.67000002</v>
      </c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</row>
    <row r="38" spans="1:17" x14ac:dyDescent="0.2">
      <c r="A38" s="86"/>
      <c r="B38" s="86"/>
      <c r="C38" s="86"/>
      <c r="D38" s="86"/>
      <c r="E38" s="86"/>
      <c r="F38" s="86"/>
      <c r="G38" s="86"/>
      <c r="H38" s="86"/>
      <c r="I38" s="86"/>
    </row>
    <row r="39" spans="1:17" ht="45.75" hidden="1" x14ac:dyDescent="0.65">
      <c r="A39" s="86"/>
      <c r="B39" s="814"/>
      <c r="C39" s="814"/>
      <c r="D39" s="814"/>
      <c r="E39" s="814"/>
      <c r="F39" s="814"/>
      <c r="G39" s="814"/>
      <c r="H39" s="814"/>
      <c r="I39" s="814"/>
      <c r="J39" s="814"/>
      <c r="K39" s="814"/>
      <c r="L39" s="814"/>
      <c r="M39" s="814"/>
      <c r="N39" s="814"/>
      <c r="O39" s="814"/>
    </row>
    <row r="40" spans="1:17" ht="32.25" customHeight="1" x14ac:dyDescent="0.65">
      <c r="A40" s="86"/>
      <c r="B40" s="115" t="s">
        <v>1272</v>
      </c>
      <c r="C40" s="11"/>
      <c r="D40" s="11"/>
      <c r="E40" s="115"/>
      <c r="F40" s="115" t="s">
        <v>1273</v>
      </c>
      <c r="G40" s="378"/>
      <c r="H40" s="378"/>
      <c r="I40" s="378"/>
      <c r="J40" s="378"/>
      <c r="K40" s="378"/>
      <c r="L40" s="378"/>
      <c r="M40" s="378"/>
      <c r="N40" s="378"/>
      <c r="O40" s="378"/>
    </row>
    <row r="41" spans="1:17" ht="15.75" hidden="1" x14ac:dyDescent="0.25">
      <c r="A41" s="86"/>
      <c r="B41" s="815" t="s">
        <v>621</v>
      </c>
      <c r="C41" s="815"/>
      <c r="D41" s="816"/>
      <c r="E41" s="86"/>
      <c r="F41" s="87" t="s">
        <v>622</v>
      </c>
      <c r="G41" s="86"/>
      <c r="H41" s="86"/>
      <c r="I41" s="86"/>
    </row>
    <row r="42" spans="1:17" x14ac:dyDescent="0.2">
      <c r="A42" s="86"/>
      <c r="B42" s="119"/>
      <c r="C42" s="119"/>
      <c r="D42" s="86"/>
      <c r="E42" s="86"/>
      <c r="F42" s="86"/>
      <c r="G42" s="86"/>
      <c r="H42" s="86"/>
      <c r="I42" s="86"/>
    </row>
    <row r="43" spans="1:17" x14ac:dyDescent="0.2">
      <c r="F43" s="86"/>
    </row>
    <row r="44" spans="1:17" ht="15.75" x14ac:dyDescent="0.25">
      <c r="B44" s="115" t="s">
        <v>621</v>
      </c>
      <c r="F44" s="115" t="s">
        <v>622</v>
      </c>
    </row>
  </sheetData>
  <mergeCells count="13">
    <mergeCell ref="B39:O39"/>
    <mergeCell ref="B41:D41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23:F23"/>
  </mergeCells>
  <pageMargins left="1.1811023622047245" right="0.44" top="0.39370078740157483" bottom="0.19685039370078741" header="0.39370078740157483" footer="0.15748031496062992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330"/>
  <sheetViews>
    <sheetView view="pageBreakPreview" zoomScale="25" zoomScaleNormal="25" zoomScaleSheetLayoutView="25" zoomScalePageLayoutView="10" workbookViewId="0">
      <pane ySplit="15" topLeftCell="A202" activePane="bottomLeft" state="frozen"/>
      <selection activeCell="F175" sqref="F175"/>
      <selection pane="bottomLeft" activeCell="K211" sqref="K211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5" customWidth="1"/>
    <col min="6" max="6" width="62.5703125" style="1" customWidth="1"/>
    <col min="7" max="7" width="59.7109375" style="1" customWidth="1"/>
    <col min="8" max="8" width="48.140625" style="1" customWidth="1"/>
    <col min="9" max="9" width="41.85546875" style="1" customWidth="1"/>
    <col min="10" max="10" width="50.5703125" style="5" customWidth="1"/>
    <col min="11" max="11" width="52.5703125" style="5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56.140625" style="1" bestFit="1" customWidth="1"/>
    <col min="16" max="16" width="86.28515625" style="5" customWidth="1"/>
    <col min="17" max="17" width="52.140625" style="266" customWidth="1"/>
    <col min="18" max="18" width="33.85546875" style="266" customWidth="1"/>
    <col min="19" max="19" width="25.85546875" style="189" bestFit="1" customWidth="1"/>
    <col min="20" max="20" width="43.5703125" style="189" bestFit="1" customWidth="1"/>
    <col min="21" max="16384" width="9.140625" style="189"/>
  </cols>
  <sheetData>
    <row r="2" spans="1:18" ht="45.75" x14ac:dyDescent="0.2">
      <c r="D2" s="191"/>
      <c r="E2" s="192"/>
      <c r="F2" s="190"/>
      <c r="G2" s="192"/>
      <c r="H2" s="192"/>
      <c r="I2" s="192"/>
      <c r="J2" s="192"/>
      <c r="K2" s="192"/>
      <c r="L2" s="192"/>
      <c r="M2" s="192"/>
      <c r="N2" s="849" t="s">
        <v>549</v>
      </c>
      <c r="O2" s="811"/>
      <c r="P2" s="811"/>
      <c r="Q2" s="811"/>
    </row>
    <row r="3" spans="1:18" ht="45.75" x14ac:dyDescent="0.2">
      <c r="A3" s="191"/>
      <c r="B3" s="191"/>
      <c r="C3" s="191"/>
      <c r="D3" s="191"/>
      <c r="E3" s="192"/>
      <c r="F3" s="190"/>
      <c r="G3" s="192"/>
      <c r="H3" s="192"/>
      <c r="I3" s="192"/>
      <c r="J3" s="192"/>
      <c r="K3" s="192"/>
      <c r="L3" s="192"/>
      <c r="M3" s="192"/>
      <c r="N3" s="849" t="s">
        <v>1267</v>
      </c>
      <c r="O3" s="850"/>
      <c r="P3" s="850"/>
      <c r="Q3" s="850"/>
    </row>
    <row r="4" spans="1:18" ht="40.700000000000003" customHeight="1" x14ac:dyDescent="0.2">
      <c r="A4" s="237"/>
      <c r="B4" s="237"/>
      <c r="C4" s="237"/>
      <c r="D4" s="237"/>
      <c r="E4" s="244"/>
      <c r="F4" s="236"/>
      <c r="G4" s="244"/>
      <c r="H4" s="244"/>
      <c r="I4" s="244"/>
      <c r="J4" s="244"/>
      <c r="K4" s="244"/>
      <c r="L4" s="244"/>
      <c r="M4" s="244"/>
      <c r="N4" s="244"/>
      <c r="O4" s="849"/>
      <c r="P4" s="851"/>
    </row>
    <row r="5" spans="1:18" ht="45.75" hidden="1" x14ac:dyDescent="0.2">
      <c r="A5" s="237"/>
      <c r="B5" s="237"/>
      <c r="C5" s="237"/>
      <c r="D5" s="237"/>
      <c r="E5" s="244"/>
      <c r="F5" s="236"/>
      <c r="G5" s="244"/>
      <c r="H5" s="244"/>
      <c r="I5" s="244"/>
      <c r="J5" s="244"/>
      <c r="K5" s="244"/>
      <c r="L5" s="244"/>
      <c r="M5" s="244"/>
      <c r="N5" s="244"/>
      <c r="O5" s="237"/>
      <c r="P5" s="236"/>
    </row>
    <row r="6" spans="1:18" ht="45" x14ac:dyDescent="0.2">
      <c r="A6" s="852" t="s">
        <v>705</v>
      </c>
      <c r="B6" s="852"/>
      <c r="C6" s="852"/>
      <c r="D6" s="852"/>
      <c r="E6" s="852"/>
      <c r="F6" s="852"/>
      <c r="G6" s="852"/>
      <c r="H6" s="852"/>
      <c r="I6" s="852"/>
      <c r="J6" s="852"/>
      <c r="K6" s="852"/>
      <c r="L6" s="852"/>
      <c r="M6" s="852"/>
      <c r="N6" s="852"/>
      <c r="O6" s="852"/>
      <c r="P6" s="852"/>
    </row>
    <row r="7" spans="1:18" ht="45" x14ac:dyDescent="0.2">
      <c r="A7" s="852" t="s">
        <v>704</v>
      </c>
      <c r="B7" s="852"/>
      <c r="C7" s="852"/>
      <c r="D7" s="852"/>
      <c r="E7" s="852"/>
      <c r="F7" s="852"/>
      <c r="G7" s="852"/>
      <c r="H7" s="852"/>
      <c r="I7" s="852"/>
      <c r="J7" s="852"/>
      <c r="K7" s="852"/>
      <c r="L7" s="852"/>
      <c r="M7" s="852"/>
      <c r="N7" s="852"/>
      <c r="O7" s="852"/>
      <c r="P7" s="852"/>
    </row>
    <row r="8" spans="1:18" ht="45" x14ac:dyDescent="0.2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</row>
    <row r="9" spans="1:18" ht="45.75" x14ac:dyDescent="0.65">
      <c r="A9" s="853">
        <v>22564000000</v>
      </c>
      <c r="B9" s="854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</row>
    <row r="10" spans="1:18" ht="45.75" x14ac:dyDescent="0.2">
      <c r="A10" s="858" t="s">
        <v>546</v>
      </c>
      <c r="B10" s="859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</row>
    <row r="11" spans="1:18" ht="53.45" customHeight="1" thickBot="1" x14ac:dyDescent="0.25">
      <c r="A11" s="192"/>
      <c r="B11" s="192"/>
      <c r="C11" s="192"/>
      <c r="D11" s="192"/>
      <c r="E11" s="192"/>
      <c r="F11" s="190"/>
      <c r="G11" s="192"/>
      <c r="H11" s="192"/>
      <c r="I11" s="192"/>
      <c r="J11" s="192"/>
      <c r="K11" s="192"/>
      <c r="L11" s="192"/>
      <c r="M11" s="192"/>
      <c r="N11" s="192"/>
      <c r="O11" s="192"/>
      <c r="P11" s="6" t="s">
        <v>441</v>
      </c>
    </row>
    <row r="12" spans="1:18" ht="62.45" customHeight="1" thickTop="1" thickBot="1" x14ac:dyDescent="0.25">
      <c r="A12" s="857" t="s">
        <v>547</v>
      </c>
      <c r="B12" s="857" t="s">
        <v>548</v>
      </c>
      <c r="C12" s="857" t="s">
        <v>427</v>
      </c>
      <c r="D12" s="857" t="s">
        <v>716</v>
      </c>
      <c r="E12" s="855" t="s">
        <v>12</v>
      </c>
      <c r="F12" s="855"/>
      <c r="G12" s="855"/>
      <c r="H12" s="855"/>
      <c r="I12" s="855"/>
      <c r="J12" s="855" t="s">
        <v>57</v>
      </c>
      <c r="K12" s="855"/>
      <c r="L12" s="855"/>
      <c r="M12" s="855"/>
      <c r="N12" s="855"/>
      <c r="O12" s="856"/>
      <c r="P12" s="855" t="s">
        <v>11</v>
      </c>
    </row>
    <row r="13" spans="1:18" ht="96" customHeight="1" thickTop="1" thickBot="1" x14ac:dyDescent="0.25">
      <c r="A13" s="855"/>
      <c r="B13" s="860"/>
      <c r="C13" s="860"/>
      <c r="D13" s="855"/>
      <c r="E13" s="857" t="s">
        <v>421</v>
      </c>
      <c r="F13" s="857" t="s">
        <v>58</v>
      </c>
      <c r="G13" s="857" t="s">
        <v>13</v>
      </c>
      <c r="H13" s="857"/>
      <c r="I13" s="857" t="s">
        <v>60</v>
      </c>
      <c r="J13" s="857" t="s">
        <v>421</v>
      </c>
      <c r="K13" s="857" t="s">
        <v>422</v>
      </c>
      <c r="L13" s="857" t="s">
        <v>58</v>
      </c>
      <c r="M13" s="857" t="s">
        <v>13</v>
      </c>
      <c r="N13" s="857"/>
      <c r="O13" s="857" t="s">
        <v>60</v>
      </c>
      <c r="P13" s="855"/>
    </row>
    <row r="14" spans="1:18" ht="328.5" customHeight="1" thickTop="1" thickBot="1" x14ac:dyDescent="0.25">
      <c r="A14" s="860"/>
      <c r="B14" s="860"/>
      <c r="C14" s="860"/>
      <c r="D14" s="860"/>
      <c r="E14" s="857"/>
      <c r="F14" s="857"/>
      <c r="G14" s="250" t="s">
        <v>59</v>
      </c>
      <c r="H14" s="250" t="s">
        <v>15</v>
      </c>
      <c r="I14" s="857"/>
      <c r="J14" s="857"/>
      <c r="K14" s="857"/>
      <c r="L14" s="857"/>
      <c r="M14" s="250" t="s">
        <v>59</v>
      </c>
      <c r="N14" s="250" t="s">
        <v>15</v>
      </c>
      <c r="O14" s="857"/>
      <c r="P14" s="855"/>
    </row>
    <row r="15" spans="1:18" s="2" customFormat="1" ht="47.25" thickTop="1" thickBot="1" x14ac:dyDescent="0.25">
      <c r="A15" s="251" t="s">
        <v>2</v>
      </c>
      <c r="B15" s="251" t="s">
        <v>3</v>
      </c>
      <c r="C15" s="251" t="s">
        <v>14</v>
      </c>
      <c r="D15" s="251" t="s">
        <v>5</v>
      </c>
      <c r="E15" s="251" t="s">
        <v>429</v>
      </c>
      <c r="F15" s="251" t="s">
        <v>430</v>
      </c>
      <c r="G15" s="251" t="s">
        <v>431</v>
      </c>
      <c r="H15" s="251" t="s">
        <v>432</v>
      </c>
      <c r="I15" s="251" t="s">
        <v>433</v>
      </c>
      <c r="J15" s="251" t="s">
        <v>434</v>
      </c>
      <c r="K15" s="251" t="s">
        <v>435</v>
      </c>
      <c r="L15" s="251" t="s">
        <v>436</v>
      </c>
      <c r="M15" s="251" t="s">
        <v>437</v>
      </c>
      <c r="N15" s="251" t="s">
        <v>438</v>
      </c>
      <c r="O15" s="251" t="s">
        <v>439</v>
      </c>
      <c r="P15" s="251" t="s">
        <v>440</v>
      </c>
      <c r="Q15" s="267"/>
      <c r="R15" s="268"/>
    </row>
    <row r="16" spans="1:18" s="2" customFormat="1" ht="136.5" thickTop="1" thickBot="1" x14ac:dyDescent="0.25">
      <c r="A16" s="680" t="s">
        <v>169</v>
      </c>
      <c r="B16" s="680"/>
      <c r="C16" s="680"/>
      <c r="D16" s="681" t="s">
        <v>171</v>
      </c>
      <c r="E16" s="682">
        <f>E17</f>
        <v>127704832.59</v>
      </c>
      <c r="F16" s="683">
        <f t="shared" ref="F16:N16" si="0">F17</f>
        <v>127704832.59</v>
      </c>
      <c r="G16" s="683">
        <f t="shared" si="0"/>
        <v>80242670</v>
      </c>
      <c r="H16" s="683">
        <f t="shared" si="0"/>
        <v>3339900</v>
      </c>
      <c r="I16" s="683">
        <f t="shared" si="0"/>
        <v>0</v>
      </c>
      <c r="J16" s="682">
        <f t="shared" si="0"/>
        <v>9969666.5800000001</v>
      </c>
      <c r="K16" s="683">
        <f t="shared" si="0"/>
        <v>5314500</v>
      </c>
      <c r="L16" s="683">
        <f t="shared" si="0"/>
        <v>4606166.58</v>
      </c>
      <c r="M16" s="683">
        <f t="shared" si="0"/>
        <v>0</v>
      </c>
      <c r="N16" s="682">
        <f t="shared" si="0"/>
        <v>0</v>
      </c>
      <c r="O16" s="682">
        <f>O17</f>
        <v>5363500</v>
      </c>
      <c r="P16" s="683">
        <f t="shared" ref="P16" si="1">P17</f>
        <v>137674499.17000002</v>
      </c>
      <c r="Q16" s="269"/>
      <c r="R16" s="269"/>
    </row>
    <row r="17" spans="1:18" s="2" customFormat="1" ht="136.5" thickTop="1" thickBot="1" x14ac:dyDescent="0.25">
      <c r="A17" s="684" t="s">
        <v>170</v>
      </c>
      <c r="B17" s="684"/>
      <c r="C17" s="684"/>
      <c r="D17" s="685" t="s">
        <v>172</v>
      </c>
      <c r="E17" s="686">
        <f>E18+E23+E32+E35</f>
        <v>127704832.59</v>
      </c>
      <c r="F17" s="686">
        <f>F18+F23+F32+F35</f>
        <v>127704832.59</v>
      </c>
      <c r="G17" s="686">
        <f t="shared" ref="G17:I17" si="2">G18+G23+G32+G35</f>
        <v>80242670</v>
      </c>
      <c r="H17" s="686">
        <f t="shared" si="2"/>
        <v>3339900</v>
      </c>
      <c r="I17" s="686">
        <f t="shared" si="2"/>
        <v>0</v>
      </c>
      <c r="J17" s="686">
        <f>L17+O17</f>
        <v>9969666.5800000001</v>
      </c>
      <c r="K17" s="686">
        <f>K18+K23+K32+K35</f>
        <v>5314500</v>
      </c>
      <c r="L17" s="686">
        <f>L18+L23+L32+L35</f>
        <v>4606166.58</v>
      </c>
      <c r="M17" s="686">
        <f t="shared" ref="M17:N17" si="3">M18+M23+M32+M35</f>
        <v>0</v>
      </c>
      <c r="N17" s="686">
        <f t="shared" si="3"/>
        <v>0</v>
      </c>
      <c r="O17" s="686">
        <f>O18+O23+O32+O35</f>
        <v>5363500</v>
      </c>
      <c r="P17" s="687">
        <f>E17+J17</f>
        <v>137674499.17000002</v>
      </c>
      <c r="Q17" s="180" t="b">
        <f>P17=P19+P20+P21+P22+P25+P27+P29+P34+P37+P38+P31+P39</f>
        <v>1</v>
      </c>
      <c r="R17" s="180" t="b">
        <f>K17='d6'!J13</f>
        <v>1</v>
      </c>
    </row>
    <row r="18" spans="1:18" s="504" customFormat="1" ht="47.25" thickTop="1" thickBot="1" x14ac:dyDescent="0.25">
      <c r="A18" s="562" t="s">
        <v>879</v>
      </c>
      <c r="B18" s="562" t="s">
        <v>880</v>
      </c>
      <c r="C18" s="562"/>
      <c r="D18" s="562" t="s">
        <v>881</v>
      </c>
      <c r="E18" s="491">
        <f>SUM(E19:E22)</f>
        <v>111942290</v>
      </c>
      <c r="F18" s="491">
        <f>SUM(F19:F22)</f>
        <v>111942290</v>
      </c>
      <c r="G18" s="491">
        <f t="shared" ref="G18:P18" si="4">SUM(G19:G22)</f>
        <v>80242670</v>
      </c>
      <c r="H18" s="491">
        <f t="shared" si="4"/>
        <v>3339900</v>
      </c>
      <c r="I18" s="491">
        <f t="shared" si="4"/>
        <v>0</v>
      </c>
      <c r="J18" s="491">
        <f t="shared" si="4"/>
        <v>2854500</v>
      </c>
      <c r="K18" s="491">
        <f t="shared" si="4"/>
        <v>2854500</v>
      </c>
      <c r="L18" s="491">
        <f t="shared" si="4"/>
        <v>0</v>
      </c>
      <c r="M18" s="491">
        <f t="shared" si="4"/>
        <v>0</v>
      </c>
      <c r="N18" s="491">
        <f t="shared" si="4"/>
        <v>0</v>
      </c>
      <c r="O18" s="491">
        <f t="shared" si="4"/>
        <v>2854500</v>
      </c>
      <c r="P18" s="491">
        <f t="shared" si="4"/>
        <v>114796790</v>
      </c>
      <c r="Q18" s="468"/>
      <c r="R18" s="468"/>
    </row>
    <row r="19" spans="1:18" ht="321.75" thickTop="1" thickBot="1" x14ac:dyDescent="0.25">
      <c r="A19" s="388" t="s">
        <v>257</v>
      </c>
      <c r="B19" s="388" t="s">
        <v>258</v>
      </c>
      <c r="C19" s="388" t="s">
        <v>259</v>
      </c>
      <c r="D19" s="388" t="s">
        <v>256</v>
      </c>
      <c r="E19" s="387">
        <f t="shared" ref="E19:E37" si="5">F19</f>
        <v>102504000</v>
      </c>
      <c r="F19" s="247">
        <f>((77782670+17112190+1242480+3766300+30000+1650000+50000+1400000+159900+80000+800000)-1948540)+80000+49000+250000</f>
        <v>102504000</v>
      </c>
      <c r="G19" s="247">
        <f>((77782670)-1597170)</f>
        <v>76185500</v>
      </c>
      <c r="H19" s="247">
        <f>(1650000+50000+1400000+159900+80000)</f>
        <v>3339900</v>
      </c>
      <c r="I19" s="247"/>
      <c r="J19" s="387">
        <f t="shared" ref="J19:J27" si="6">L19+O19</f>
        <v>2854500</v>
      </c>
      <c r="K19" s="247">
        <f>(977200+330000+15000+241300)+336000+900000+55000</f>
        <v>2854500</v>
      </c>
      <c r="L19" s="248"/>
      <c r="M19" s="265"/>
      <c r="N19" s="265"/>
      <c r="O19" s="386">
        <f t="shared" ref="O19:O27" si="7">K19</f>
        <v>2854500</v>
      </c>
      <c r="P19" s="387">
        <f>+J19+E19</f>
        <v>105358500</v>
      </c>
      <c r="Q19" s="271"/>
      <c r="R19" s="284" t="b">
        <f>K19='d6'!J14</f>
        <v>1</v>
      </c>
    </row>
    <row r="20" spans="1:18" s="316" customFormat="1" ht="230.25" thickTop="1" thickBot="1" x14ac:dyDescent="0.25">
      <c r="A20" s="388" t="s">
        <v>737</v>
      </c>
      <c r="B20" s="388" t="s">
        <v>261</v>
      </c>
      <c r="C20" s="388" t="s">
        <v>259</v>
      </c>
      <c r="D20" s="388" t="s">
        <v>260</v>
      </c>
      <c r="E20" s="387">
        <f t="shared" ref="E20" si="8">F20</f>
        <v>6253540</v>
      </c>
      <c r="F20" s="247">
        <f>(4305000+1948540)</f>
        <v>6253540</v>
      </c>
      <c r="G20" s="247">
        <f>((2460000)+1597170)</f>
        <v>4057170</v>
      </c>
      <c r="H20" s="247"/>
      <c r="I20" s="247"/>
      <c r="J20" s="387">
        <f t="shared" ref="J20" si="9">L20+O20</f>
        <v>0</v>
      </c>
      <c r="K20" s="247"/>
      <c r="L20" s="248"/>
      <c r="M20" s="265"/>
      <c r="N20" s="265"/>
      <c r="O20" s="386">
        <f t="shared" si="7"/>
        <v>0</v>
      </c>
      <c r="P20" s="387">
        <f>+J20+E20</f>
        <v>6253540</v>
      </c>
      <c r="Q20" s="271"/>
      <c r="R20" s="284"/>
    </row>
    <row r="21" spans="1:18" s="385" customFormat="1" ht="184.5" thickTop="1" thickBot="1" x14ac:dyDescent="0.25">
      <c r="A21" s="395" t="s">
        <v>814</v>
      </c>
      <c r="B21" s="395" t="s">
        <v>398</v>
      </c>
      <c r="C21" s="395" t="s">
        <v>815</v>
      </c>
      <c r="D21" s="395" t="s">
        <v>816</v>
      </c>
      <c r="E21" s="396">
        <f t="shared" ref="E21" si="10">F21</f>
        <v>49000</v>
      </c>
      <c r="F21" s="397">
        <v>49000</v>
      </c>
      <c r="G21" s="397"/>
      <c r="H21" s="397"/>
      <c r="I21" s="397"/>
      <c r="J21" s="396">
        <f t="shared" ref="J21" si="11">L21+O21</f>
        <v>0</v>
      </c>
      <c r="K21" s="397"/>
      <c r="L21" s="398"/>
      <c r="M21" s="399"/>
      <c r="N21" s="399"/>
      <c r="O21" s="400">
        <f t="shared" si="7"/>
        <v>0</v>
      </c>
      <c r="P21" s="396">
        <f>+J21+E21</f>
        <v>49000</v>
      </c>
      <c r="Q21" s="271"/>
      <c r="R21" s="270"/>
    </row>
    <row r="22" spans="1:18" ht="93" thickTop="1" thickBot="1" x14ac:dyDescent="0.25">
      <c r="A22" s="395" t="s">
        <v>272</v>
      </c>
      <c r="B22" s="395" t="s">
        <v>45</v>
      </c>
      <c r="C22" s="395" t="s">
        <v>44</v>
      </c>
      <c r="D22" s="395" t="s">
        <v>273</v>
      </c>
      <c r="E22" s="396">
        <f t="shared" si="5"/>
        <v>3135750</v>
      </c>
      <c r="F22" s="401">
        <f>(3159750-49000)+25000</f>
        <v>3135750</v>
      </c>
      <c r="G22" s="401"/>
      <c r="H22" s="401"/>
      <c r="I22" s="401"/>
      <c r="J22" s="396">
        <f t="shared" si="6"/>
        <v>0</v>
      </c>
      <c r="K22" s="401"/>
      <c r="L22" s="401"/>
      <c r="M22" s="401"/>
      <c r="N22" s="401"/>
      <c r="O22" s="400">
        <f t="shared" si="7"/>
        <v>0</v>
      </c>
      <c r="P22" s="396">
        <f>E22+J22</f>
        <v>3135750</v>
      </c>
      <c r="Q22" s="271"/>
      <c r="R22" s="270"/>
    </row>
    <row r="23" spans="1:18" s="504" customFormat="1" ht="47.25" thickTop="1" thickBot="1" x14ac:dyDescent="0.3">
      <c r="A23" s="562" t="s">
        <v>947</v>
      </c>
      <c r="B23" s="561" t="s">
        <v>948</v>
      </c>
      <c r="C23" s="561"/>
      <c r="D23" s="561" t="s">
        <v>949</v>
      </c>
      <c r="E23" s="492">
        <f t="shared" ref="E23:P23" si="12">SUM(E24:E31)-E24-E26-E28</f>
        <v>6283142.5899999999</v>
      </c>
      <c r="F23" s="492">
        <f t="shared" si="12"/>
        <v>6283142.5899999999</v>
      </c>
      <c r="G23" s="667">
        <f t="shared" si="12"/>
        <v>0</v>
      </c>
      <c r="H23" s="667">
        <f t="shared" si="12"/>
        <v>0</v>
      </c>
      <c r="I23" s="667">
        <f t="shared" si="12"/>
        <v>0</v>
      </c>
      <c r="J23" s="492">
        <f t="shared" si="12"/>
        <v>6155166.5800000019</v>
      </c>
      <c r="K23" s="492">
        <f t="shared" si="12"/>
        <v>1500000</v>
      </c>
      <c r="L23" s="492">
        <f t="shared" si="12"/>
        <v>4606166.58</v>
      </c>
      <c r="M23" s="492">
        <f t="shared" si="12"/>
        <v>0</v>
      </c>
      <c r="N23" s="492">
        <f t="shared" si="12"/>
        <v>0</v>
      </c>
      <c r="O23" s="492">
        <f t="shared" si="12"/>
        <v>1549000</v>
      </c>
      <c r="P23" s="492">
        <f t="shared" si="12"/>
        <v>12438309.170000004</v>
      </c>
      <c r="Q23" s="563"/>
      <c r="R23" s="564"/>
    </row>
    <row r="24" spans="1:18" s="85" customFormat="1" ht="91.5" thickTop="1" thickBot="1" x14ac:dyDescent="0.25">
      <c r="A24" s="506" t="s">
        <v>882</v>
      </c>
      <c r="B24" s="506" t="s">
        <v>883</v>
      </c>
      <c r="C24" s="506"/>
      <c r="D24" s="506" t="s">
        <v>884</v>
      </c>
      <c r="E24" s="465">
        <f>SUM(E25)</f>
        <v>4392400</v>
      </c>
      <c r="F24" s="465">
        <f t="shared" ref="F24:P24" si="13">SUM(F25)</f>
        <v>4392400</v>
      </c>
      <c r="G24" s="465">
        <f t="shared" si="13"/>
        <v>0</v>
      </c>
      <c r="H24" s="465">
        <f t="shared" si="13"/>
        <v>0</v>
      </c>
      <c r="I24" s="465">
        <f t="shared" si="13"/>
        <v>0</v>
      </c>
      <c r="J24" s="465">
        <f t="shared" si="13"/>
        <v>1500000</v>
      </c>
      <c r="K24" s="465">
        <f t="shared" si="13"/>
        <v>1500000</v>
      </c>
      <c r="L24" s="465">
        <f t="shared" si="13"/>
        <v>0</v>
      </c>
      <c r="M24" s="465">
        <f t="shared" si="13"/>
        <v>0</v>
      </c>
      <c r="N24" s="465">
        <f t="shared" si="13"/>
        <v>0</v>
      </c>
      <c r="O24" s="465">
        <f t="shared" si="13"/>
        <v>1500000</v>
      </c>
      <c r="P24" s="465">
        <f t="shared" si="13"/>
        <v>5892400</v>
      </c>
      <c r="Q24" s="565"/>
      <c r="R24" s="566"/>
    </row>
    <row r="25" spans="1:18" ht="93" thickTop="1" thickBot="1" x14ac:dyDescent="0.25">
      <c r="A25" s="395" t="s">
        <v>263</v>
      </c>
      <c r="B25" s="395" t="s">
        <v>264</v>
      </c>
      <c r="C25" s="395" t="s">
        <v>265</v>
      </c>
      <c r="D25" s="395" t="s">
        <v>262</v>
      </c>
      <c r="E25" s="396">
        <f t="shared" si="5"/>
        <v>4392400</v>
      </c>
      <c r="F25" s="401">
        <v>4392400</v>
      </c>
      <c r="G25" s="401"/>
      <c r="H25" s="401"/>
      <c r="I25" s="401"/>
      <c r="J25" s="396">
        <f t="shared" si="6"/>
        <v>1500000</v>
      </c>
      <c r="K25" s="401">
        <v>1500000</v>
      </c>
      <c r="L25" s="401"/>
      <c r="M25" s="401"/>
      <c r="N25" s="401"/>
      <c r="O25" s="400">
        <f t="shared" si="7"/>
        <v>1500000</v>
      </c>
      <c r="P25" s="396">
        <f>+J25+E25</f>
        <v>5892400</v>
      </c>
      <c r="Q25" s="271"/>
      <c r="R25" s="284" t="b">
        <f>K25='d6'!J15</f>
        <v>1</v>
      </c>
    </row>
    <row r="26" spans="1:18" s="132" customFormat="1" ht="136.5" thickTop="1" thickBot="1" x14ac:dyDescent="0.25">
      <c r="A26" s="507" t="s">
        <v>886</v>
      </c>
      <c r="B26" s="507" t="s">
        <v>887</v>
      </c>
      <c r="C26" s="507"/>
      <c r="D26" s="507" t="s">
        <v>885</v>
      </c>
      <c r="E26" s="465">
        <f>SUM(E27)+E28</f>
        <v>1890742.59</v>
      </c>
      <c r="F26" s="465">
        <f t="shared" ref="F26:P26" si="14">SUM(F27)+F28</f>
        <v>1890742.59</v>
      </c>
      <c r="G26" s="465">
        <f t="shared" si="14"/>
        <v>0</v>
      </c>
      <c r="H26" s="465">
        <f t="shared" si="14"/>
        <v>0</v>
      </c>
      <c r="I26" s="465">
        <f t="shared" si="14"/>
        <v>0</v>
      </c>
      <c r="J26" s="465">
        <f t="shared" si="14"/>
        <v>4655166.58</v>
      </c>
      <c r="K26" s="465">
        <f t="shared" si="14"/>
        <v>0</v>
      </c>
      <c r="L26" s="465">
        <f t="shared" si="14"/>
        <v>4606166.58</v>
      </c>
      <c r="M26" s="465">
        <f t="shared" si="14"/>
        <v>0</v>
      </c>
      <c r="N26" s="465">
        <f t="shared" si="14"/>
        <v>0</v>
      </c>
      <c r="O26" s="465">
        <f t="shared" si="14"/>
        <v>49000</v>
      </c>
      <c r="P26" s="465">
        <f t="shared" si="14"/>
        <v>6545909.1699999999</v>
      </c>
      <c r="Q26" s="510"/>
      <c r="R26" s="567"/>
    </row>
    <row r="27" spans="1:18" ht="138.75" thickTop="1" thickBot="1" x14ac:dyDescent="0.25">
      <c r="A27" s="395" t="s">
        <v>325</v>
      </c>
      <c r="B27" s="395" t="s">
        <v>326</v>
      </c>
      <c r="C27" s="395" t="s">
        <v>191</v>
      </c>
      <c r="D27" s="395" t="s">
        <v>485</v>
      </c>
      <c r="E27" s="396">
        <f t="shared" si="5"/>
        <v>290200</v>
      </c>
      <c r="F27" s="401">
        <v>290200</v>
      </c>
      <c r="G27" s="401"/>
      <c r="H27" s="401"/>
      <c r="I27" s="401"/>
      <c r="J27" s="396">
        <f t="shared" si="6"/>
        <v>0</v>
      </c>
      <c r="K27" s="401"/>
      <c r="L27" s="401"/>
      <c r="M27" s="401"/>
      <c r="N27" s="401"/>
      <c r="O27" s="400">
        <f t="shared" si="7"/>
        <v>0</v>
      </c>
      <c r="P27" s="396">
        <f>+J27+E27</f>
        <v>290200</v>
      </c>
      <c r="Q27" s="271"/>
      <c r="R27" s="270"/>
    </row>
    <row r="28" spans="1:18" s="132" customFormat="1" ht="48" thickTop="1" thickBot="1" x14ac:dyDescent="0.25">
      <c r="A28" s="505" t="s">
        <v>889</v>
      </c>
      <c r="B28" s="505" t="s">
        <v>890</v>
      </c>
      <c r="C28" s="505"/>
      <c r="D28" s="508" t="s">
        <v>888</v>
      </c>
      <c r="E28" s="466">
        <f>SUM(E29:E31)</f>
        <v>1600542.59</v>
      </c>
      <c r="F28" s="466">
        <f t="shared" ref="F28:O28" si="15">SUM(F29:F31)</f>
        <v>1600542.59</v>
      </c>
      <c r="G28" s="466">
        <f t="shared" si="15"/>
        <v>0</v>
      </c>
      <c r="H28" s="466">
        <f t="shared" si="15"/>
        <v>0</v>
      </c>
      <c r="I28" s="466">
        <f t="shared" si="15"/>
        <v>0</v>
      </c>
      <c r="J28" s="466">
        <f t="shared" si="15"/>
        <v>4655166.58</v>
      </c>
      <c r="K28" s="466">
        <f t="shared" si="15"/>
        <v>0</v>
      </c>
      <c r="L28" s="466">
        <f t="shared" si="15"/>
        <v>4606166.58</v>
      </c>
      <c r="M28" s="466">
        <f t="shared" si="15"/>
        <v>0</v>
      </c>
      <c r="N28" s="466">
        <f t="shared" si="15"/>
        <v>0</v>
      </c>
      <c r="O28" s="466">
        <f t="shared" si="15"/>
        <v>49000</v>
      </c>
      <c r="P28" s="466">
        <f>E28+J28</f>
        <v>6255709.1699999999</v>
      </c>
      <c r="Q28" s="510"/>
      <c r="R28" s="511"/>
    </row>
    <row r="29" spans="1:18" s="85" customFormat="1" ht="361.5" customHeight="1" thickTop="1" thickBot="1" x14ac:dyDescent="0.7">
      <c r="A29" s="843" t="s">
        <v>372</v>
      </c>
      <c r="B29" s="843" t="s">
        <v>371</v>
      </c>
      <c r="C29" s="843" t="s">
        <v>191</v>
      </c>
      <c r="D29" s="403" t="s">
        <v>483</v>
      </c>
      <c r="E29" s="845">
        <f t="shared" si="5"/>
        <v>0</v>
      </c>
      <c r="F29" s="835"/>
      <c r="G29" s="835"/>
      <c r="H29" s="835"/>
      <c r="I29" s="835"/>
      <c r="J29" s="847">
        <f>L29+O29</f>
        <v>4655166.58</v>
      </c>
      <c r="K29" s="835"/>
      <c r="L29" s="835">
        <f>(1308600+69000+601000+1471600)+1155966.58</f>
        <v>4606166.58</v>
      </c>
      <c r="M29" s="835"/>
      <c r="N29" s="835"/>
      <c r="O29" s="837">
        <v>49000</v>
      </c>
      <c r="P29" s="839">
        <f>E29+J29</f>
        <v>4655166.58</v>
      </c>
      <c r="Q29" s="272"/>
      <c r="R29" s="273"/>
    </row>
    <row r="30" spans="1:18" s="85" customFormat="1" ht="184.5" thickTop="1" thickBot="1" x14ac:dyDescent="0.25">
      <c r="A30" s="844"/>
      <c r="B30" s="846"/>
      <c r="C30" s="844"/>
      <c r="D30" s="404" t="s">
        <v>484</v>
      </c>
      <c r="E30" s="844"/>
      <c r="F30" s="836"/>
      <c r="G30" s="836"/>
      <c r="H30" s="836"/>
      <c r="I30" s="836"/>
      <c r="J30" s="848"/>
      <c r="K30" s="836"/>
      <c r="L30" s="836"/>
      <c r="M30" s="836"/>
      <c r="N30" s="836"/>
      <c r="O30" s="838"/>
      <c r="P30" s="840"/>
      <c r="Q30" s="273"/>
      <c r="R30" s="273"/>
    </row>
    <row r="31" spans="1:18" s="85" customFormat="1" ht="93" thickTop="1" thickBot="1" x14ac:dyDescent="0.25">
      <c r="A31" s="666" t="s">
        <v>1169</v>
      </c>
      <c r="B31" s="666" t="s">
        <v>282</v>
      </c>
      <c r="C31" s="666" t="s">
        <v>191</v>
      </c>
      <c r="D31" s="666" t="s">
        <v>280</v>
      </c>
      <c r="E31" s="667">
        <f>F31</f>
        <v>1600542.59</v>
      </c>
      <c r="F31" s="401">
        <v>1600542.59</v>
      </c>
      <c r="G31" s="401"/>
      <c r="H31" s="401"/>
      <c r="I31" s="401"/>
      <c r="J31" s="667">
        <f>L31+O31</f>
        <v>0</v>
      </c>
      <c r="K31" s="401"/>
      <c r="L31" s="401"/>
      <c r="M31" s="401"/>
      <c r="N31" s="401"/>
      <c r="O31" s="408"/>
      <c r="P31" s="667">
        <f>E31+J31</f>
        <v>1600542.59</v>
      </c>
      <c r="Q31" s="273"/>
      <c r="R31" s="273"/>
    </row>
    <row r="32" spans="1:18" s="85" customFormat="1" ht="46.5" customHeight="1" thickTop="1" thickBot="1" x14ac:dyDescent="0.25">
      <c r="A32" s="562" t="s">
        <v>891</v>
      </c>
      <c r="B32" s="562" t="s">
        <v>892</v>
      </c>
      <c r="C32" s="562"/>
      <c r="D32" s="562" t="s">
        <v>893</v>
      </c>
      <c r="E32" s="491">
        <f>E33</f>
        <v>6359300</v>
      </c>
      <c r="F32" s="491">
        <f t="shared" ref="F32:O32" si="16">F33</f>
        <v>6359300</v>
      </c>
      <c r="G32" s="491">
        <f t="shared" si="16"/>
        <v>0</v>
      </c>
      <c r="H32" s="491">
        <f t="shared" si="16"/>
        <v>0</v>
      </c>
      <c r="I32" s="491">
        <f t="shared" si="16"/>
        <v>0</v>
      </c>
      <c r="J32" s="491">
        <f t="shared" si="16"/>
        <v>0</v>
      </c>
      <c r="K32" s="491">
        <f t="shared" si="16"/>
        <v>0</v>
      </c>
      <c r="L32" s="491">
        <f t="shared" si="16"/>
        <v>0</v>
      </c>
      <c r="M32" s="491">
        <f t="shared" si="16"/>
        <v>0</v>
      </c>
      <c r="N32" s="491">
        <f t="shared" si="16"/>
        <v>0</v>
      </c>
      <c r="O32" s="491">
        <f t="shared" si="16"/>
        <v>0</v>
      </c>
      <c r="P32" s="491">
        <f>P33</f>
        <v>6359300</v>
      </c>
      <c r="Q32" s="273"/>
      <c r="R32" s="273"/>
    </row>
    <row r="33" spans="1:20" s="85" customFormat="1" ht="47.25" thickTop="1" thickBot="1" x14ac:dyDescent="0.25">
      <c r="A33" s="506" t="s">
        <v>894</v>
      </c>
      <c r="B33" s="506" t="s">
        <v>895</v>
      </c>
      <c r="C33" s="506"/>
      <c r="D33" s="506" t="s">
        <v>896</v>
      </c>
      <c r="E33" s="465">
        <f>SUM(E34)</f>
        <v>6359300</v>
      </c>
      <c r="F33" s="465">
        <f t="shared" ref="F33:P33" si="17">SUM(F34)</f>
        <v>6359300</v>
      </c>
      <c r="G33" s="465">
        <f t="shared" si="17"/>
        <v>0</v>
      </c>
      <c r="H33" s="465">
        <f t="shared" si="17"/>
        <v>0</v>
      </c>
      <c r="I33" s="465">
        <f t="shared" si="17"/>
        <v>0</v>
      </c>
      <c r="J33" s="465">
        <f t="shared" si="17"/>
        <v>0</v>
      </c>
      <c r="K33" s="465">
        <f t="shared" si="17"/>
        <v>0</v>
      </c>
      <c r="L33" s="465">
        <f t="shared" si="17"/>
        <v>0</v>
      </c>
      <c r="M33" s="465">
        <f t="shared" si="17"/>
        <v>0</v>
      </c>
      <c r="N33" s="465">
        <f t="shared" si="17"/>
        <v>0</v>
      </c>
      <c r="O33" s="465">
        <f t="shared" si="17"/>
        <v>0</v>
      </c>
      <c r="P33" s="465">
        <f t="shared" si="17"/>
        <v>6359300</v>
      </c>
    </row>
    <row r="34" spans="1:20" ht="93" thickTop="1" thickBot="1" x14ac:dyDescent="0.25">
      <c r="A34" s="395" t="s">
        <v>266</v>
      </c>
      <c r="B34" s="395" t="s">
        <v>267</v>
      </c>
      <c r="C34" s="395" t="s">
        <v>268</v>
      </c>
      <c r="D34" s="395" t="s">
        <v>269</v>
      </c>
      <c r="E34" s="396">
        <f>F34</f>
        <v>6359300</v>
      </c>
      <c r="F34" s="401">
        <v>6359300</v>
      </c>
      <c r="G34" s="401"/>
      <c r="H34" s="401"/>
      <c r="I34" s="401"/>
      <c r="J34" s="396">
        <f>L34+O34</f>
        <v>0</v>
      </c>
      <c r="K34" s="401"/>
      <c r="L34" s="401"/>
      <c r="M34" s="401"/>
      <c r="N34" s="401"/>
      <c r="O34" s="400">
        <f>K34</f>
        <v>0</v>
      </c>
      <c r="P34" s="396">
        <f>E34+J34</f>
        <v>6359300</v>
      </c>
    </row>
    <row r="35" spans="1:20" s="484" customFormat="1" ht="47.25" thickTop="1" thickBot="1" x14ac:dyDescent="0.25">
      <c r="A35" s="562" t="s">
        <v>897</v>
      </c>
      <c r="B35" s="562" t="s">
        <v>898</v>
      </c>
      <c r="C35" s="562"/>
      <c r="D35" s="562" t="s">
        <v>899</v>
      </c>
      <c r="E35" s="491">
        <f t="shared" ref="E35:P35" si="18">E36+E39</f>
        <v>3120100</v>
      </c>
      <c r="F35" s="746">
        <f t="shared" si="18"/>
        <v>3120100</v>
      </c>
      <c r="G35" s="746">
        <f t="shared" si="18"/>
        <v>0</v>
      </c>
      <c r="H35" s="746">
        <f t="shared" si="18"/>
        <v>0</v>
      </c>
      <c r="I35" s="746">
        <f t="shared" si="18"/>
        <v>0</v>
      </c>
      <c r="J35" s="746">
        <f t="shared" si="18"/>
        <v>960000</v>
      </c>
      <c r="K35" s="746">
        <f t="shared" si="18"/>
        <v>960000</v>
      </c>
      <c r="L35" s="746">
        <f t="shared" si="18"/>
        <v>0</v>
      </c>
      <c r="M35" s="746">
        <f t="shared" si="18"/>
        <v>0</v>
      </c>
      <c r="N35" s="746">
        <f t="shared" si="18"/>
        <v>0</v>
      </c>
      <c r="O35" s="746">
        <f t="shared" si="18"/>
        <v>960000</v>
      </c>
      <c r="P35" s="746">
        <f t="shared" si="18"/>
        <v>4080100</v>
      </c>
      <c r="Q35" s="489"/>
      <c r="R35" s="489"/>
    </row>
    <row r="36" spans="1:20" s="85" customFormat="1" ht="271.5" thickTop="1" thickBot="1" x14ac:dyDescent="0.25">
      <c r="A36" s="506" t="s">
        <v>900</v>
      </c>
      <c r="B36" s="506" t="s">
        <v>901</v>
      </c>
      <c r="C36" s="506"/>
      <c r="D36" s="506" t="s">
        <v>902</v>
      </c>
      <c r="E36" s="465">
        <f>SUM(E37:E38)</f>
        <v>420100</v>
      </c>
      <c r="F36" s="465">
        <f t="shared" ref="F36:P36" si="19">SUM(F37:F38)</f>
        <v>420100</v>
      </c>
      <c r="G36" s="465">
        <f t="shared" si="19"/>
        <v>0</v>
      </c>
      <c r="H36" s="465">
        <f t="shared" si="19"/>
        <v>0</v>
      </c>
      <c r="I36" s="465">
        <f t="shared" si="19"/>
        <v>0</v>
      </c>
      <c r="J36" s="465">
        <f t="shared" si="19"/>
        <v>0</v>
      </c>
      <c r="K36" s="465">
        <f t="shared" si="19"/>
        <v>0</v>
      </c>
      <c r="L36" s="465">
        <f t="shared" si="19"/>
        <v>0</v>
      </c>
      <c r="M36" s="465">
        <f t="shared" si="19"/>
        <v>0</v>
      </c>
      <c r="N36" s="465">
        <f t="shared" si="19"/>
        <v>0</v>
      </c>
      <c r="O36" s="465">
        <f t="shared" si="19"/>
        <v>0</v>
      </c>
      <c r="P36" s="465">
        <f t="shared" si="19"/>
        <v>420100</v>
      </c>
      <c r="Q36" s="273"/>
      <c r="R36" s="273"/>
    </row>
    <row r="37" spans="1:20" ht="276" thickTop="1" thickBot="1" x14ac:dyDescent="0.25">
      <c r="A37" s="388" t="s">
        <v>270</v>
      </c>
      <c r="B37" s="388" t="s">
        <v>271</v>
      </c>
      <c r="C37" s="388" t="s">
        <v>45</v>
      </c>
      <c r="D37" s="388" t="s">
        <v>486</v>
      </c>
      <c r="E37" s="387">
        <f t="shared" si="5"/>
        <v>300000</v>
      </c>
      <c r="F37" s="405">
        <v>300000</v>
      </c>
      <c r="G37" s="405"/>
      <c r="H37" s="405"/>
      <c r="I37" s="405"/>
      <c r="J37" s="387">
        <f>L37+O37</f>
        <v>0</v>
      </c>
      <c r="K37" s="405"/>
      <c r="L37" s="405"/>
      <c r="M37" s="405"/>
      <c r="N37" s="405"/>
      <c r="O37" s="386">
        <f>K37</f>
        <v>0</v>
      </c>
      <c r="P37" s="387">
        <f>E37+J37</f>
        <v>300000</v>
      </c>
    </row>
    <row r="38" spans="1:20" s="263" customFormat="1" ht="93" thickTop="1" thickBot="1" x14ac:dyDescent="0.25">
      <c r="A38" s="388" t="s">
        <v>721</v>
      </c>
      <c r="B38" s="388" t="s">
        <v>399</v>
      </c>
      <c r="C38" s="388" t="s">
        <v>45</v>
      </c>
      <c r="D38" s="388" t="s">
        <v>400</v>
      </c>
      <c r="E38" s="387">
        <f t="shared" ref="E38:E39" si="20">F38</f>
        <v>120100</v>
      </c>
      <c r="F38" s="405">
        <v>120100</v>
      </c>
      <c r="G38" s="405"/>
      <c r="H38" s="405"/>
      <c r="I38" s="405"/>
      <c r="J38" s="387">
        <f>L38+O38</f>
        <v>0</v>
      </c>
      <c r="K38" s="405"/>
      <c r="L38" s="405"/>
      <c r="M38" s="405"/>
      <c r="N38" s="405"/>
      <c r="O38" s="386">
        <f>K38</f>
        <v>0</v>
      </c>
      <c r="P38" s="387">
        <f>E38+J38</f>
        <v>120100</v>
      </c>
      <c r="Q38" s="288"/>
      <c r="R38" s="288"/>
    </row>
    <row r="39" spans="1:20" s="741" customFormat="1" ht="271.5" thickTop="1" thickBot="1" x14ac:dyDescent="0.25">
      <c r="A39" s="506" t="s">
        <v>572</v>
      </c>
      <c r="B39" s="506" t="s">
        <v>573</v>
      </c>
      <c r="C39" s="506" t="s">
        <v>45</v>
      </c>
      <c r="D39" s="506" t="s">
        <v>574</v>
      </c>
      <c r="E39" s="465">
        <f t="shared" si="20"/>
        <v>2700000</v>
      </c>
      <c r="F39" s="465">
        <f>500000+400000+80000+400000+80000+60000+200000+80000+300000+500000+100000</f>
        <v>2700000</v>
      </c>
      <c r="G39" s="465"/>
      <c r="H39" s="465"/>
      <c r="I39" s="465"/>
      <c r="J39" s="465">
        <f>L39+O39</f>
        <v>960000</v>
      </c>
      <c r="K39" s="401">
        <f>80000+300000+500000+80000</f>
        <v>960000</v>
      </c>
      <c r="L39" s="465"/>
      <c r="M39" s="465"/>
      <c r="N39" s="465"/>
      <c r="O39" s="465">
        <f>K39</f>
        <v>960000</v>
      </c>
      <c r="P39" s="465">
        <f>E39+J39</f>
        <v>3660000</v>
      </c>
      <c r="Q39" s="750"/>
      <c r="R39" s="180" t="b">
        <f>K39='d6'!J17+'d6'!J16</f>
        <v>1</v>
      </c>
    </row>
    <row r="40" spans="1:20" ht="136.5" thickTop="1" thickBot="1" x14ac:dyDescent="0.25">
      <c r="A40" s="680" t="s">
        <v>173</v>
      </c>
      <c r="B40" s="680"/>
      <c r="C40" s="680"/>
      <c r="D40" s="681" t="s">
        <v>0</v>
      </c>
      <c r="E40" s="682">
        <f>E41</f>
        <v>1576262554.1299999</v>
      </c>
      <c r="F40" s="683">
        <f t="shared" ref="F40" si="21">F41</f>
        <v>1576262554.1299999</v>
      </c>
      <c r="G40" s="683">
        <f>G41</f>
        <v>1110859566.47</v>
      </c>
      <c r="H40" s="683">
        <f>H41</f>
        <v>88639939.789999992</v>
      </c>
      <c r="I40" s="683">
        <f t="shared" ref="I40" si="22">I41</f>
        <v>0</v>
      </c>
      <c r="J40" s="682">
        <f>J41</f>
        <v>185294120.25</v>
      </c>
      <c r="K40" s="683">
        <f>K41</f>
        <v>41396880.250000007</v>
      </c>
      <c r="L40" s="683">
        <f>L41</f>
        <v>142092020</v>
      </c>
      <c r="M40" s="683">
        <f t="shared" ref="M40" si="23">M41</f>
        <v>41217060</v>
      </c>
      <c r="N40" s="682">
        <f>N41</f>
        <v>8654190</v>
      </c>
      <c r="O40" s="682">
        <f>O41</f>
        <v>43202100.250000007</v>
      </c>
      <c r="P40" s="683">
        <f t="shared" ref="P40" si="24">P41</f>
        <v>1761556674.3799999</v>
      </c>
    </row>
    <row r="41" spans="1:20" ht="136.5" thickTop="1" thickBot="1" x14ac:dyDescent="0.25">
      <c r="A41" s="684" t="s">
        <v>174</v>
      </c>
      <c r="B41" s="684"/>
      <c r="C41" s="684"/>
      <c r="D41" s="685" t="s">
        <v>1</v>
      </c>
      <c r="E41" s="686">
        <f>E42+E66</f>
        <v>1576262554.1299999</v>
      </c>
      <c r="F41" s="686">
        <f t="shared" ref="F41:I41" si="25">F42+F66</f>
        <v>1576262554.1299999</v>
      </c>
      <c r="G41" s="686">
        <f t="shared" si="25"/>
        <v>1110859566.47</v>
      </c>
      <c r="H41" s="686">
        <f t="shared" si="25"/>
        <v>88639939.789999992</v>
      </c>
      <c r="I41" s="686">
        <f t="shared" si="25"/>
        <v>0</v>
      </c>
      <c r="J41" s="686">
        <f>L41+O41</f>
        <v>185294120.25</v>
      </c>
      <c r="K41" s="686">
        <f t="shared" ref="K41:O41" si="26">K42+K66</f>
        <v>41396880.250000007</v>
      </c>
      <c r="L41" s="686">
        <f t="shared" si="26"/>
        <v>142092020</v>
      </c>
      <c r="M41" s="686">
        <f t="shared" si="26"/>
        <v>41217060</v>
      </c>
      <c r="N41" s="686">
        <f t="shared" si="26"/>
        <v>8654190</v>
      </c>
      <c r="O41" s="686">
        <f t="shared" si="26"/>
        <v>43202100.250000007</v>
      </c>
      <c r="P41" s="687">
        <f>E41+J41</f>
        <v>1761556674.3799999</v>
      </c>
      <c r="Q41" s="180" t="b">
        <f>P41=P43+P45+P46+P48+P52+P54+P55+P57+P58+P60+P61+P62+P64+P65+P67+P51</f>
        <v>1</v>
      </c>
      <c r="R41" s="180" t="b">
        <f>K41='d6'!J19</f>
        <v>1</v>
      </c>
    </row>
    <row r="42" spans="1:20" s="484" customFormat="1" ht="47.25" thickTop="1" thickBot="1" x14ac:dyDescent="0.25">
      <c r="A42" s="562" t="s">
        <v>903</v>
      </c>
      <c r="B42" s="562" t="s">
        <v>904</v>
      </c>
      <c r="C42" s="562"/>
      <c r="D42" s="562" t="s">
        <v>905</v>
      </c>
      <c r="E42" s="491">
        <f>E43+E44+E47+E52+E53+E56+E59+E62+E63+E65+E49</f>
        <v>1576262554.1299999</v>
      </c>
      <c r="F42" s="732">
        <f t="shared" ref="F42:P42" si="27">F43+F44+F47+F52+F53+F56+F59+F62+F63+F65+F49</f>
        <v>1576262554.1299999</v>
      </c>
      <c r="G42" s="732">
        <f t="shared" si="27"/>
        <v>1110859566.47</v>
      </c>
      <c r="H42" s="732">
        <f t="shared" si="27"/>
        <v>88639939.789999992</v>
      </c>
      <c r="I42" s="732">
        <f t="shared" si="27"/>
        <v>0</v>
      </c>
      <c r="J42" s="732">
        <f t="shared" si="27"/>
        <v>185294120.25</v>
      </c>
      <c r="K42" s="732">
        <f t="shared" si="27"/>
        <v>41396880.250000007</v>
      </c>
      <c r="L42" s="732">
        <f t="shared" si="27"/>
        <v>142092020</v>
      </c>
      <c r="M42" s="732">
        <f t="shared" si="27"/>
        <v>41217060</v>
      </c>
      <c r="N42" s="732">
        <f t="shared" si="27"/>
        <v>8654190</v>
      </c>
      <c r="O42" s="732">
        <f t="shared" si="27"/>
        <v>43202100.250000007</v>
      </c>
      <c r="P42" s="732">
        <f t="shared" si="27"/>
        <v>1761556674.3800001</v>
      </c>
      <c r="Q42" s="180"/>
      <c r="R42" s="180"/>
    </row>
    <row r="43" spans="1:20" ht="99" customHeight="1" thickTop="1" thickBot="1" x14ac:dyDescent="0.6">
      <c r="A43" s="441" t="s">
        <v>223</v>
      </c>
      <c r="B43" s="441" t="s">
        <v>224</v>
      </c>
      <c r="C43" s="441" t="s">
        <v>226</v>
      </c>
      <c r="D43" s="441" t="s">
        <v>227</v>
      </c>
      <c r="E43" s="442">
        <f>F43</f>
        <v>464539579</v>
      </c>
      <c r="F43" s="405">
        <f>(372491460+6155150+631440+29930200+2557000+20309300+734740+914480+6850060+1542435+90625+530000+37683.94+102316.06+90274+29393+150000+101020+33980+1000000+18794374+1868908)-1600000-400000+14500+180000+1400000-19760+20000</f>
        <v>464539579</v>
      </c>
      <c r="G43" s="405">
        <f>(305204300+12733230+1420850)-1600000</f>
        <v>317758380</v>
      </c>
      <c r="H43" s="405">
        <f>(20309300+734740+914480+6850060+1542435+1159227+80427)+1400000-19760</f>
        <v>32970909</v>
      </c>
      <c r="I43" s="405"/>
      <c r="J43" s="442">
        <f t="shared" ref="J43:J64" si="28">L43+O43</f>
        <v>71919748.370000005</v>
      </c>
      <c r="K43" s="405">
        <f>(800000+3100000+160000+440000+130000+30333+15000+300000+1172122-1172122)+48000+542134.23+700000+500000+500000+59561.14+49000</f>
        <v>7374028.3700000001</v>
      </c>
      <c r="L43" s="405">
        <f>(12568180+2758370+5329340+76070+37006700+2376280+17030+812980+26200+2000+18400+2848150)</f>
        <v>63839700</v>
      </c>
      <c r="M43" s="405">
        <f>(12568180+803420)</f>
        <v>13371600</v>
      </c>
      <c r="N43" s="405">
        <f>(222380+222120+356490+1320+10670+30130)</f>
        <v>843110</v>
      </c>
      <c r="O43" s="440">
        <f>K43+667020+39000</f>
        <v>8080048.3700000001</v>
      </c>
      <c r="P43" s="442">
        <f t="shared" ref="P43:P64" si="29">E43+J43</f>
        <v>536459327.37</v>
      </c>
      <c r="Q43" s="274"/>
      <c r="R43" s="180" t="b">
        <f>K43='d6'!J20+'d6'!J21+'d6'!J22+'d6'!J23+'d6'!J24+'d6'!J25+'d6'!J26+'d6'!J27+'d6'!J28+'d6'!J29+'d6'!J30</f>
        <v>1</v>
      </c>
    </row>
    <row r="44" spans="1:20" s="132" customFormat="1" ht="138.75" thickTop="1" thickBot="1" x14ac:dyDescent="0.6">
      <c r="A44" s="464" t="s">
        <v>228</v>
      </c>
      <c r="B44" s="464" t="s">
        <v>225</v>
      </c>
      <c r="C44" s="464"/>
      <c r="D44" s="464" t="s">
        <v>839</v>
      </c>
      <c r="E44" s="466">
        <f>E45+E46</f>
        <v>310309616.13999999</v>
      </c>
      <c r="F44" s="466">
        <f>F45+F46</f>
        <v>310309616.13999999</v>
      </c>
      <c r="G44" s="466">
        <f t="shared" ref="G44:O44" si="30">G45+G46</f>
        <v>173699335</v>
      </c>
      <c r="H44" s="466">
        <f t="shared" si="30"/>
        <v>42162660.789999999</v>
      </c>
      <c r="I44" s="466">
        <f t="shared" si="30"/>
        <v>0</v>
      </c>
      <c r="J44" s="466">
        <f t="shared" si="30"/>
        <v>71271731.890000001</v>
      </c>
      <c r="K44" s="466">
        <f t="shared" si="30"/>
        <v>18662781.890000004</v>
      </c>
      <c r="L44" s="466">
        <f t="shared" si="30"/>
        <v>51790750</v>
      </c>
      <c r="M44" s="466">
        <f t="shared" si="30"/>
        <v>19457250</v>
      </c>
      <c r="N44" s="466">
        <f t="shared" si="30"/>
        <v>945120</v>
      </c>
      <c r="O44" s="467">
        <f t="shared" si="30"/>
        <v>19480981.890000004</v>
      </c>
      <c r="P44" s="466">
        <f t="shared" si="29"/>
        <v>381581348.02999997</v>
      </c>
      <c r="Q44" s="274"/>
      <c r="R44" s="96"/>
    </row>
    <row r="45" spans="1:20" ht="138.75" thickTop="1" thickBot="1" x14ac:dyDescent="0.6">
      <c r="A45" s="472" t="s">
        <v>836</v>
      </c>
      <c r="B45" s="472" t="s">
        <v>837</v>
      </c>
      <c r="C45" s="472" t="s">
        <v>229</v>
      </c>
      <c r="D45" s="472" t="s">
        <v>838</v>
      </c>
      <c r="E45" s="470">
        <f t="shared" ref="E45:E54" si="31">F45</f>
        <v>288359034.13999999</v>
      </c>
      <c r="F45" s="405">
        <f>(293431677)+314737.33-3489794.54-2700000-2424285.65+35000+199620+70000+155500+5000+5000+85000+126230+99400+45000+150000+50000+20000+40000+49900+662500+80000+34010+1101400+17170-165000-635000+200000+795970</f>
        <v>288359034.13999999</v>
      </c>
      <c r="G45" s="405">
        <f>(665932900-12733230-496181500)</f>
        <v>157018170</v>
      </c>
      <c r="H45" s="405">
        <f>(28409070+505115+696000+1555400+9873130+1177895-1159227+6058967)+314737.33-3489794.54-2700000+662500-165000-635000+200000</f>
        <v>41303792.789999999</v>
      </c>
      <c r="I45" s="405"/>
      <c r="J45" s="470">
        <f t="shared" si="28"/>
        <v>70270690.890000001</v>
      </c>
      <c r="K45" s="405">
        <f>(548818+750000+750000+1000000+200000+750000+400000+2000000+3000000+1970000+500000+500000+50000+50000+300000+92450+1224076-1224076-1970000)+400000+17500+75000+42000+48000+1738790+1007090+500000+292490.88+49000+110000+78000+220000+250000+250000+49000+49000+1261682+92850.01+291970</f>
        <v>17713640.890000004</v>
      </c>
      <c r="L45" s="405">
        <f>(20260670+4446400+3714280+69930+22978640+1904840+107920+944650+28110+4600+143360-2848150)-16400</f>
        <v>51738850</v>
      </c>
      <c r="M45" s="405">
        <f>(20260670-803420)</f>
        <v>19457250</v>
      </c>
      <c r="N45" s="405">
        <f>(315710+155250+435040+38650-30130)</f>
        <v>914520</v>
      </c>
      <c r="O45" s="471">
        <f>(K45+840800-39000)+16400</f>
        <v>18531840.890000004</v>
      </c>
      <c r="P45" s="470">
        <f t="shared" si="29"/>
        <v>358629725.02999997</v>
      </c>
      <c r="Q45" s="274"/>
      <c r="R45" s="468" t="b">
        <f>K45='d6'!J31+'d6'!J32+'d6'!J33+'d6'!J34+'d6'!J35+'d6'!J36+'d6'!J37+'d6'!J38+'d6'!J39+'d6'!J40+'d6'!J41+'d6'!J42+'d6'!J43+'d6'!J44+'d6'!J45+'d6'!J46+'d6'!J47+'d6'!J48+'d6'!J49+'d6'!J50+'d6'!J51+'d6'!J52+'d6'!J53+'d6'!J54</f>
        <v>1</v>
      </c>
      <c r="T45" s="315"/>
    </row>
    <row r="46" spans="1:20" ht="276" thickTop="1" thickBot="1" x14ac:dyDescent="0.25">
      <c r="A46" s="472" t="s">
        <v>846</v>
      </c>
      <c r="B46" s="472" t="s">
        <v>847</v>
      </c>
      <c r="C46" s="472" t="s">
        <v>232</v>
      </c>
      <c r="D46" s="472" t="s">
        <v>555</v>
      </c>
      <c r="E46" s="470">
        <f t="shared" si="31"/>
        <v>21950582</v>
      </c>
      <c r="F46" s="405">
        <f>(21983082)+14000-38115-8385</f>
        <v>21950582</v>
      </c>
      <c r="G46" s="405">
        <f>(18140130-1420850)-38115</f>
        <v>16681165</v>
      </c>
      <c r="H46" s="405">
        <f>(779700+14900+108615+22080-80427)+14000</f>
        <v>858868</v>
      </c>
      <c r="I46" s="405"/>
      <c r="J46" s="470">
        <f t="shared" si="28"/>
        <v>1001041</v>
      </c>
      <c r="K46" s="405">
        <f>(300000+100000+120000+38430+59425+30000-30000)+16386+314900</f>
        <v>949141</v>
      </c>
      <c r="L46" s="405">
        <f>(10100+6900+2500+30600+1800)</f>
        <v>51900</v>
      </c>
      <c r="M46" s="405"/>
      <c r="N46" s="405">
        <f>(18600+800+10600+600)</f>
        <v>30600</v>
      </c>
      <c r="O46" s="471">
        <f>K46</f>
        <v>949141</v>
      </c>
      <c r="P46" s="470">
        <f t="shared" si="29"/>
        <v>22951623</v>
      </c>
      <c r="R46" s="468" t="b">
        <f>K46='d6'!J56+'d6'!J55</f>
        <v>1</v>
      </c>
    </row>
    <row r="47" spans="1:20" s="132" customFormat="1" ht="138.75" thickTop="1" thickBot="1" x14ac:dyDescent="0.25">
      <c r="A47" s="464" t="s">
        <v>556</v>
      </c>
      <c r="B47" s="464" t="s">
        <v>230</v>
      </c>
      <c r="C47" s="464"/>
      <c r="D47" s="464" t="s">
        <v>854</v>
      </c>
      <c r="E47" s="466">
        <f>E48</f>
        <v>608795058</v>
      </c>
      <c r="F47" s="466">
        <f>F48</f>
        <v>608795058</v>
      </c>
      <c r="G47" s="466">
        <f t="shared" ref="G47:P47" si="32">G48</f>
        <v>496181500</v>
      </c>
      <c r="H47" s="466">
        <f t="shared" si="32"/>
        <v>0</v>
      </c>
      <c r="I47" s="466">
        <f t="shared" si="32"/>
        <v>0</v>
      </c>
      <c r="J47" s="466">
        <f t="shared" si="32"/>
        <v>0</v>
      </c>
      <c r="K47" s="466">
        <f t="shared" si="32"/>
        <v>0</v>
      </c>
      <c r="L47" s="466">
        <f t="shared" si="32"/>
        <v>0</v>
      </c>
      <c r="M47" s="466">
        <f t="shared" si="32"/>
        <v>0</v>
      </c>
      <c r="N47" s="466">
        <f t="shared" si="32"/>
        <v>0</v>
      </c>
      <c r="O47" s="466">
        <f t="shared" si="32"/>
        <v>0</v>
      </c>
      <c r="P47" s="466">
        <f t="shared" si="32"/>
        <v>608795058</v>
      </c>
      <c r="Q47" s="489"/>
      <c r="R47" s="511"/>
    </row>
    <row r="48" spans="1:20" s="444" customFormat="1" ht="138.75" thickTop="1" thickBot="1" x14ac:dyDescent="0.25">
      <c r="A48" s="472" t="s">
        <v>855</v>
      </c>
      <c r="B48" s="472" t="s">
        <v>856</v>
      </c>
      <c r="C48" s="472" t="s">
        <v>229</v>
      </c>
      <c r="D48" s="731" t="s">
        <v>838</v>
      </c>
      <c r="E48" s="470">
        <f t="shared" ref="E48" si="33">F48</f>
        <v>608795058</v>
      </c>
      <c r="F48" s="405">
        <v>608795058</v>
      </c>
      <c r="G48" s="405">
        <v>496181500</v>
      </c>
      <c r="H48" s="405"/>
      <c r="I48" s="405"/>
      <c r="J48" s="470">
        <f t="shared" ref="J48" si="34">L48+O48</f>
        <v>0</v>
      </c>
      <c r="K48" s="405"/>
      <c r="L48" s="405"/>
      <c r="M48" s="405"/>
      <c r="N48" s="405"/>
      <c r="O48" s="471">
        <f>K48</f>
        <v>0</v>
      </c>
      <c r="P48" s="470">
        <f t="shared" ref="P48:P51" si="35">E48+J48</f>
        <v>608795058</v>
      </c>
      <c r="Q48" s="450"/>
      <c r="R48" s="270"/>
    </row>
    <row r="49" spans="1:18" s="725" customFormat="1" ht="409.6" thickTop="1" x14ac:dyDescent="0.65">
      <c r="A49" s="874" t="s">
        <v>1226</v>
      </c>
      <c r="B49" s="874" t="s">
        <v>52</v>
      </c>
      <c r="C49" s="874"/>
      <c r="D49" s="738" t="s">
        <v>1229</v>
      </c>
      <c r="E49" s="872">
        <f t="shared" ref="E49:O49" si="36">E51</f>
        <v>0</v>
      </c>
      <c r="F49" s="872">
        <f t="shared" si="36"/>
        <v>0</v>
      </c>
      <c r="G49" s="872">
        <f t="shared" si="36"/>
        <v>0</v>
      </c>
      <c r="H49" s="872">
        <f t="shared" si="36"/>
        <v>0</v>
      </c>
      <c r="I49" s="872">
        <f t="shared" si="36"/>
        <v>0</v>
      </c>
      <c r="J49" s="872">
        <f t="shared" si="36"/>
        <v>6197509.9900000002</v>
      </c>
      <c r="K49" s="872">
        <f t="shared" si="36"/>
        <v>6197509.9900000002</v>
      </c>
      <c r="L49" s="872">
        <f t="shared" si="36"/>
        <v>0</v>
      </c>
      <c r="M49" s="872">
        <f t="shared" si="36"/>
        <v>0</v>
      </c>
      <c r="N49" s="872">
        <f t="shared" si="36"/>
        <v>0</v>
      </c>
      <c r="O49" s="872">
        <f t="shared" si="36"/>
        <v>6197509.9900000002</v>
      </c>
      <c r="P49" s="872">
        <f>E49+J49</f>
        <v>6197509.9900000002</v>
      </c>
      <c r="Q49" s="737"/>
      <c r="R49" s="270"/>
    </row>
    <row r="50" spans="1:18" s="725" customFormat="1" ht="183.75" thickBot="1" x14ac:dyDescent="0.25">
      <c r="A50" s="873"/>
      <c r="B50" s="873"/>
      <c r="C50" s="873"/>
      <c r="D50" s="739" t="s">
        <v>1230</v>
      </c>
      <c r="E50" s="873"/>
      <c r="F50" s="873"/>
      <c r="G50" s="873"/>
      <c r="H50" s="873"/>
      <c r="I50" s="873"/>
      <c r="J50" s="873"/>
      <c r="K50" s="873"/>
      <c r="L50" s="873"/>
      <c r="M50" s="873"/>
      <c r="N50" s="873"/>
      <c r="O50" s="873"/>
      <c r="P50" s="873"/>
      <c r="Q50" s="737"/>
      <c r="R50" s="270"/>
    </row>
    <row r="51" spans="1:18" s="725" customFormat="1" ht="138.75" thickTop="1" thickBot="1" x14ac:dyDescent="0.25">
      <c r="A51" s="731" t="s">
        <v>1227</v>
      </c>
      <c r="B51" s="731" t="s">
        <v>1228</v>
      </c>
      <c r="C51" s="731" t="s">
        <v>229</v>
      </c>
      <c r="D51" s="731" t="s">
        <v>1231</v>
      </c>
      <c r="E51" s="732">
        <f t="shared" ref="E51" si="37">F51</f>
        <v>0</v>
      </c>
      <c r="F51" s="405"/>
      <c r="G51" s="405"/>
      <c r="H51" s="405"/>
      <c r="I51" s="405"/>
      <c r="J51" s="732">
        <f t="shared" ref="J51" si="38">L51+O51</f>
        <v>6197509.9900000002</v>
      </c>
      <c r="K51" s="405">
        <f>700000+700000+2000000+700000+500000+107149.99+400000+400000+690360</f>
        <v>6197509.9900000002</v>
      </c>
      <c r="L51" s="405"/>
      <c r="M51" s="405"/>
      <c r="N51" s="405"/>
      <c r="O51" s="729">
        <f>K51</f>
        <v>6197509.9900000002</v>
      </c>
      <c r="P51" s="732">
        <f t="shared" si="35"/>
        <v>6197509.9900000002</v>
      </c>
      <c r="Q51" s="737"/>
      <c r="R51" s="180" t="b">
        <f>K51='d6'!J65+'d6'!J64+'d6'!J63+'d6'!J62+'d6'!J61+'d6'!J60+'d6'!J59+'d6'!J58+'d6'!J57</f>
        <v>1</v>
      </c>
    </row>
    <row r="52" spans="1:18" ht="184.5" thickTop="1" thickBot="1" x14ac:dyDescent="0.25">
      <c r="A52" s="447" t="s">
        <v>857</v>
      </c>
      <c r="B52" s="447" t="s">
        <v>231</v>
      </c>
      <c r="C52" s="447" t="s">
        <v>206</v>
      </c>
      <c r="D52" s="447" t="s">
        <v>557</v>
      </c>
      <c r="E52" s="445">
        <f t="shared" si="31"/>
        <v>33802238</v>
      </c>
      <c r="F52" s="405">
        <f>(27590745+205730+10500+221500+130820+1620460+33365+388480+37100+8875+121133)+56500+75000+918750+1201665+264366+22418+49800+391485+31000+93850+328696</f>
        <v>33802238</v>
      </c>
      <c r="G52" s="405">
        <f>(22671115)+1201665</f>
        <v>23872780</v>
      </c>
      <c r="H52" s="405">
        <f>(1620460+33365+388480+37100)+56500</f>
        <v>2135905</v>
      </c>
      <c r="I52" s="405"/>
      <c r="J52" s="445">
        <f t="shared" si="28"/>
        <v>8537695</v>
      </c>
      <c r="K52" s="405">
        <f>(761045)+177100+2000000</f>
        <v>2938145</v>
      </c>
      <c r="L52" s="405">
        <f>(1398310+307720+983700+48960+1732500+659140+33260+245150+4900+64910)</f>
        <v>5478550</v>
      </c>
      <c r="M52" s="405">
        <v>1398310</v>
      </c>
      <c r="N52" s="405">
        <f>(14930+1030+228040+1150)</f>
        <v>245150</v>
      </c>
      <c r="O52" s="446">
        <f>K52+121000</f>
        <v>3059145</v>
      </c>
      <c r="P52" s="445">
        <f t="shared" si="29"/>
        <v>42339933</v>
      </c>
      <c r="R52" s="180" t="b">
        <f>K52='d6'!J67+'d6'!J66</f>
        <v>1</v>
      </c>
    </row>
    <row r="53" spans="1:18" s="132" customFormat="1" ht="184.5" thickTop="1" thickBot="1" x14ac:dyDescent="0.25">
      <c r="A53" s="464" t="s">
        <v>233</v>
      </c>
      <c r="B53" s="464" t="s">
        <v>216</v>
      </c>
      <c r="C53" s="464"/>
      <c r="D53" s="464" t="s">
        <v>559</v>
      </c>
      <c r="E53" s="466">
        <f>E54+E55</f>
        <v>116067578.98999999</v>
      </c>
      <c r="F53" s="466">
        <f t="shared" ref="F53:O53" si="39">F54+F55</f>
        <v>116067578.98999999</v>
      </c>
      <c r="G53" s="466">
        <f t="shared" si="39"/>
        <v>69630895.469999999</v>
      </c>
      <c r="H53" s="466">
        <f t="shared" si="39"/>
        <v>10459845</v>
      </c>
      <c r="I53" s="466">
        <f t="shared" si="39"/>
        <v>0</v>
      </c>
      <c r="J53" s="466">
        <f t="shared" si="39"/>
        <v>22456637</v>
      </c>
      <c r="K53" s="466">
        <f t="shared" si="39"/>
        <v>1728217</v>
      </c>
      <c r="L53" s="466">
        <f t="shared" si="39"/>
        <v>20568420</v>
      </c>
      <c r="M53" s="466">
        <f t="shared" si="39"/>
        <v>6797480</v>
      </c>
      <c r="N53" s="466">
        <f t="shared" si="39"/>
        <v>6568900</v>
      </c>
      <c r="O53" s="466">
        <f t="shared" si="39"/>
        <v>1888217</v>
      </c>
      <c r="P53" s="466">
        <f t="shared" si="29"/>
        <v>138524215.99000001</v>
      </c>
      <c r="Q53" s="489"/>
      <c r="R53" s="511"/>
    </row>
    <row r="54" spans="1:18" ht="230.25" thickTop="1" thickBot="1" x14ac:dyDescent="0.25">
      <c r="A54" s="472" t="s">
        <v>858</v>
      </c>
      <c r="B54" s="472" t="s">
        <v>859</v>
      </c>
      <c r="C54" s="472" t="s">
        <v>234</v>
      </c>
      <c r="D54" s="472" t="s">
        <v>860</v>
      </c>
      <c r="E54" s="470">
        <f t="shared" si="31"/>
        <v>98296478.989999995</v>
      </c>
      <c r="F54" s="405">
        <f>(99149586)+227750+30185+47050+160945+1806575+765263-2155895.53-398189.48-455467-6740-34278-840305</f>
        <v>98296478.989999995</v>
      </c>
      <c r="G54" s="405">
        <f>(71786791-14686900)-2155895.53</f>
        <v>54943995.469999999</v>
      </c>
      <c r="H54" s="405">
        <f>(6850730+76600+19000+3448900+561100)-455467-6740-34278</f>
        <v>10459845</v>
      </c>
      <c r="I54" s="405"/>
      <c r="J54" s="470">
        <f>L54+O54</f>
        <v>22456637</v>
      </c>
      <c r="K54" s="405">
        <f>1170637+15000+542580</f>
        <v>1728217</v>
      </c>
      <c r="L54" s="405">
        <f>(6797480+1421290+1203730+12000+1235200+849000+70500+6568900+81500+2101880+60940+71000)+95000</f>
        <v>20568420</v>
      </c>
      <c r="M54" s="405">
        <v>6797480</v>
      </c>
      <c r="N54" s="405">
        <f>(3761200+749500+1883100+35000+140100)</f>
        <v>6568900</v>
      </c>
      <c r="O54" s="471">
        <f>K54+160000</f>
        <v>1888217</v>
      </c>
      <c r="P54" s="470">
        <f t="shared" si="29"/>
        <v>120753115.98999999</v>
      </c>
      <c r="R54" s="180" t="b">
        <f>K54='d6'!J70+'d6'!J69+'d6'!J68</f>
        <v>1</v>
      </c>
    </row>
    <row r="55" spans="1:18" s="444" customFormat="1" ht="230.25" thickTop="1" thickBot="1" x14ac:dyDescent="0.25">
      <c r="A55" s="472" t="s">
        <v>862</v>
      </c>
      <c r="B55" s="472" t="s">
        <v>861</v>
      </c>
      <c r="C55" s="472" t="s">
        <v>234</v>
      </c>
      <c r="D55" s="472" t="s">
        <v>863</v>
      </c>
      <c r="E55" s="470">
        <f t="shared" ref="E55" si="40">F55</f>
        <v>17771100</v>
      </c>
      <c r="F55" s="405">
        <v>17771100</v>
      </c>
      <c r="G55" s="405">
        <v>14686900</v>
      </c>
      <c r="H55" s="405"/>
      <c r="I55" s="405"/>
      <c r="J55" s="470">
        <f>L55+O55</f>
        <v>0</v>
      </c>
      <c r="K55" s="405"/>
      <c r="L55" s="405"/>
      <c r="M55" s="405"/>
      <c r="N55" s="405"/>
      <c r="O55" s="471"/>
      <c r="P55" s="470">
        <f t="shared" ref="P55" si="41">E55+J55</f>
        <v>17771100</v>
      </c>
      <c r="Q55" s="450"/>
      <c r="R55" s="270"/>
    </row>
    <row r="56" spans="1:18" s="132" customFormat="1" ht="93" thickTop="1" thickBot="1" x14ac:dyDescent="0.25">
      <c r="A56" s="464" t="s">
        <v>865</v>
      </c>
      <c r="B56" s="464" t="s">
        <v>864</v>
      </c>
      <c r="C56" s="464"/>
      <c r="D56" s="464" t="s">
        <v>866</v>
      </c>
      <c r="E56" s="466">
        <f>E57+E58</f>
        <v>28031600</v>
      </c>
      <c r="F56" s="466">
        <f t="shared" ref="F56:O56" si="42">F57+F58</f>
        <v>28031600</v>
      </c>
      <c r="G56" s="466">
        <f t="shared" si="42"/>
        <v>20668662</v>
      </c>
      <c r="H56" s="466">
        <f t="shared" si="42"/>
        <v>740115</v>
      </c>
      <c r="I56" s="466">
        <f t="shared" si="42"/>
        <v>0</v>
      </c>
      <c r="J56" s="466">
        <f t="shared" si="42"/>
        <v>414600</v>
      </c>
      <c r="K56" s="466">
        <f t="shared" si="42"/>
        <v>0</v>
      </c>
      <c r="L56" s="466">
        <f t="shared" si="42"/>
        <v>414600</v>
      </c>
      <c r="M56" s="466">
        <f t="shared" si="42"/>
        <v>192420</v>
      </c>
      <c r="N56" s="466">
        <f t="shared" si="42"/>
        <v>51910</v>
      </c>
      <c r="O56" s="466">
        <f t="shared" si="42"/>
        <v>0</v>
      </c>
      <c r="P56" s="466">
        <f>E56+J56</f>
        <v>28446200</v>
      </c>
      <c r="Q56" s="489"/>
      <c r="R56" s="511"/>
    </row>
    <row r="57" spans="1:18" s="444" customFormat="1" ht="93" thickTop="1" thickBot="1" x14ac:dyDescent="0.25">
      <c r="A57" s="472" t="s">
        <v>867</v>
      </c>
      <c r="B57" s="472" t="s">
        <v>868</v>
      </c>
      <c r="C57" s="472" t="s">
        <v>235</v>
      </c>
      <c r="D57" s="472" t="s">
        <v>560</v>
      </c>
      <c r="E57" s="470">
        <f>F57</f>
        <v>27831600</v>
      </c>
      <c r="F57" s="405">
        <f>(27876650+503000+1370+1193900+45500+638560+11800+2700+192610+15890+5070+2700+300+50000-2996350)+53000+151800+63100+20000</f>
        <v>27831600</v>
      </c>
      <c r="G57" s="405">
        <f>(22849710-2181048)</f>
        <v>20668662</v>
      </c>
      <c r="H57" s="405">
        <f>(638560+11800+2700+192610+15890-174445)+53000</f>
        <v>740115</v>
      </c>
      <c r="I57" s="405"/>
      <c r="J57" s="470">
        <f>L57+O57</f>
        <v>414600</v>
      </c>
      <c r="K57" s="405"/>
      <c r="L57" s="405">
        <f>(192420+42340+66010+2500+46010+1210+51910+3000+9200)</f>
        <v>414600</v>
      </c>
      <c r="M57" s="405">
        <v>192420</v>
      </c>
      <c r="N57" s="405">
        <f>(45600+2540+3440+330)</f>
        <v>51910</v>
      </c>
      <c r="O57" s="471">
        <f>K57</f>
        <v>0</v>
      </c>
      <c r="P57" s="470">
        <f>E57+J57</f>
        <v>28246200</v>
      </c>
      <c r="Q57" s="450"/>
      <c r="R57" s="270"/>
    </row>
    <row r="58" spans="1:18" s="444" customFormat="1" ht="93" thickTop="1" thickBot="1" x14ac:dyDescent="0.25">
      <c r="A58" s="472" t="s">
        <v>869</v>
      </c>
      <c r="B58" s="472" t="s">
        <v>870</v>
      </c>
      <c r="C58" s="472" t="s">
        <v>235</v>
      </c>
      <c r="D58" s="472" t="s">
        <v>370</v>
      </c>
      <c r="E58" s="470">
        <f>F58</f>
        <v>200000</v>
      </c>
      <c r="F58" s="405">
        <v>200000</v>
      </c>
      <c r="G58" s="405"/>
      <c r="H58" s="405"/>
      <c r="I58" s="405"/>
      <c r="J58" s="470">
        <f>L58+O58</f>
        <v>0</v>
      </c>
      <c r="K58" s="405"/>
      <c r="L58" s="405"/>
      <c r="M58" s="405"/>
      <c r="N58" s="405"/>
      <c r="O58" s="471">
        <f>K58</f>
        <v>0</v>
      </c>
      <c r="P58" s="470">
        <f>E58+J58</f>
        <v>200000</v>
      </c>
      <c r="Q58" s="450"/>
      <c r="R58" s="270"/>
    </row>
    <row r="59" spans="1:18" s="132" customFormat="1" ht="93" thickTop="1" thickBot="1" x14ac:dyDescent="0.25">
      <c r="A59" s="464" t="s">
        <v>871</v>
      </c>
      <c r="B59" s="464" t="s">
        <v>872</v>
      </c>
      <c r="C59" s="464"/>
      <c r="D59" s="464" t="s">
        <v>469</v>
      </c>
      <c r="E59" s="466">
        <f>E60+E61</f>
        <v>5034485</v>
      </c>
      <c r="F59" s="466">
        <f>F60+F61</f>
        <v>5034485</v>
      </c>
      <c r="G59" s="466">
        <f t="shared" ref="G59:O59" si="43">G60+G61</f>
        <v>3766490</v>
      </c>
      <c r="H59" s="466">
        <f t="shared" si="43"/>
        <v>87755</v>
      </c>
      <c r="I59" s="466">
        <f t="shared" si="43"/>
        <v>0</v>
      </c>
      <c r="J59" s="466">
        <f t="shared" si="43"/>
        <v>50000</v>
      </c>
      <c r="K59" s="466">
        <f t="shared" si="43"/>
        <v>50000</v>
      </c>
      <c r="L59" s="466">
        <f t="shared" si="43"/>
        <v>0</v>
      </c>
      <c r="M59" s="466">
        <f t="shared" si="43"/>
        <v>0</v>
      </c>
      <c r="N59" s="466">
        <f t="shared" si="43"/>
        <v>0</v>
      </c>
      <c r="O59" s="466">
        <f t="shared" si="43"/>
        <v>50000</v>
      </c>
      <c r="P59" s="466">
        <f>E59+J59</f>
        <v>5084485</v>
      </c>
      <c r="Q59" s="489"/>
      <c r="R59" s="511"/>
    </row>
    <row r="60" spans="1:18" s="444" customFormat="1" ht="184.5" thickTop="1" thickBot="1" x14ac:dyDescent="0.25">
      <c r="A60" s="472" t="s">
        <v>873</v>
      </c>
      <c r="B60" s="472" t="s">
        <v>874</v>
      </c>
      <c r="C60" s="472" t="s">
        <v>235</v>
      </c>
      <c r="D60" s="472" t="s">
        <v>875</v>
      </c>
      <c r="E60" s="470">
        <f>F60</f>
        <v>1147685</v>
      </c>
      <c r="F60" s="405">
        <f>(708190+179200+39200+15020+76200+1430+6000+4125+2320)+116000</f>
        <v>1147685</v>
      </c>
      <c r="G60" s="405">
        <f>(580490)</f>
        <v>580490</v>
      </c>
      <c r="H60" s="405">
        <f>(76200+1430+6000+4125)</f>
        <v>87755</v>
      </c>
      <c r="I60" s="405"/>
      <c r="J60" s="470">
        <f>L60+O60</f>
        <v>50000</v>
      </c>
      <c r="K60" s="405">
        <v>50000</v>
      </c>
      <c r="L60" s="405"/>
      <c r="M60" s="405"/>
      <c r="N60" s="405"/>
      <c r="O60" s="471">
        <f>K60</f>
        <v>50000</v>
      </c>
      <c r="P60" s="470">
        <f>E60+J60</f>
        <v>1197685</v>
      </c>
      <c r="Q60" s="450"/>
      <c r="R60" s="180" t="b">
        <f>K60='d6'!J71</f>
        <v>1</v>
      </c>
    </row>
    <row r="61" spans="1:18" s="444" customFormat="1" ht="138.75" thickTop="1" thickBot="1" x14ac:dyDescent="0.25">
      <c r="A61" s="472" t="s">
        <v>876</v>
      </c>
      <c r="B61" s="472" t="s">
        <v>877</v>
      </c>
      <c r="C61" s="472" t="s">
        <v>235</v>
      </c>
      <c r="D61" s="472" t="s">
        <v>878</v>
      </c>
      <c r="E61" s="470">
        <f>F61</f>
        <v>3886800</v>
      </c>
      <c r="F61" s="405">
        <f>(3886800)</f>
        <v>3886800</v>
      </c>
      <c r="G61" s="405">
        <f>(3186000)</f>
        <v>3186000</v>
      </c>
      <c r="H61" s="405"/>
      <c r="I61" s="405"/>
      <c r="J61" s="470">
        <f t="shared" ref="J61" si="44">L61+O61</f>
        <v>0</v>
      </c>
      <c r="K61" s="405"/>
      <c r="L61" s="405"/>
      <c r="M61" s="405"/>
      <c r="N61" s="405"/>
      <c r="O61" s="471">
        <f t="shared" ref="O61" si="45">K61</f>
        <v>0</v>
      </c>
      <c r="P61" s="470">
        <f t="shared" ref="P61" si="46">E61+J61</f>
        <v>3886800</v>
      </c>
      <c r="Q61" s="450"/>
      <c r="R61" s="270"/>
    </row>
    <row r="62" spans="1:18" s="438" customFormat="1" ht="138.75" thickTop="1" thickBot="1" x14ac:dyDescent="0.25">
      <c r="A62" s="441" t="s">
        <v>843</v>
      </c>
      <c r="B62" s="441" t="s">
        <v>844</v>
      </c>
      <c r="C62" s="441" t="s">
        <v>235</v>
      </c>
      <c r="D62" s="441" t="s">
        <v>845</v>
      </c>
      <c r="E62" s="442">
        <f t="shared" ref="E62" si="47">F62</f>
        <v>2060415</v>
      </c>
      <c r="F62" s="405">
        <f>(2996350)-692000-152240-80795-2000-8900</f>
        <v>2060415</v>
      </c>
      <c r="G62" s="405">
        <f>(2181048)-692000</f>
        <v>1489048</v>
      </c>
      <c r="H62" s="405">
        <f>(174445)-80795-2000-8900</f>
        <v>82750</v>
      </c>
      <c r="I62" s="405"/>
      <c r="J62" s="442">
        <f t="shared" ref="J62" si="48">L62+O62</f>
        <v>50000</v>
      </c>
      <c r="K62" s="405">
        <v>50000</v>
      </c>
      <c r="L62" s="405"/>
      <c r="M62" s="405"/>
      <c r="N62" s="405"/>
      <c r="O62" s="440">
        <f t="shared" ref="O62" si="49">K62</f>
        <v>50000</v>
      </c>
      <c r="P62" s="442">
        <f t="shared" ref="P62" si="50">E62+J62</f>
        <v>2110415</v>
      </c>
      <c r="Q62" s="443"/>
      <c r="R62" s="180" t="b">
        <f>K62='d6'!J72</f>
        <v>1</v>
      </c>
    </row>
    <row r="63" spans="1:18" s="85" customFormat="1" ht="230.25" thickTop="1" thickBot="1" x14ac:dyDescent="0.25">
      <c r="A63" s="464" t="s">
        <v>848</v>
      </c>
      <c r="B63" s="464" t="s">
        <v>849</v>
      </c>
      <c r="C63" s="464"/>
      <c r="D63" s="464" t="s">
        <v>850</v>
      </c>
      <c r="E63" s="466">
        <f t="shared" ref="E63:E67" si="51">F63</f>
        <v>2900000</v>
      </c>
      <c r="F63" s="466">
        <f>F64</f>
        <v>2900000</v>
      </c>
      <c r="G63" s="466">
        <f t="shared" ref="G63:I63" si="52">G64</f>
        <v>0</v>
      </c>
      <c r="H63" s="466">
        <f t="shared" si="52"/>
        <v>0</v>
      </c>
      <c r="I63" s="466">
        <f t="shared" si="52"/>
        <v>0</v>
      </c>
      <c r="J63" s="466">
        <f t="shared" si="28"/>
        <v>2000000</v>
      </c>
      <c r="K63" s="466">
        <f>K64</f>
        <v>2000000</v>
      </c>
      <c r="L63" s="466">
        <f t="shared" ref="L63:N63" si="53">L64</f>
        <v>0</v>
      </c>
      <c r="M63" s="466">
        <f t="shared" si="53"/>
        <v>0</v>
      </c>
      <c r="N63" s="466">
        <f t="shared" si="53"/>
        <v>0</v>
      </c>
      <c r="O63" s="466">
        <f>O64</f>
        <v>2000000</v>
      </c>
      <c r="P63" s="466">
        <f t="shared" si="29"/>
        <v>4900000</v>
      </c>
      <c r="Q63" s="273"/>
      <c r="R63" s="96"/>
    </row>
    <row r="64" spans="1:18" s="85" customFormat="1" ht="367.5" thickTop="1" thickBot="1" x14ac:dyDescent="0.25">
      <c r="A64" s="472" t="s">
        <v>851</v>
      </c>
      <c r="B64" s="472" t="s">
        <v>852</v>
      </c>
      <c r="C64" s="472" t="s">
        <v>235</v>
      </c>
      <c r="D64" s="472" t="s">
        <v>853</v>
      </c>
      <c r="E64" s="470">
        <f t="shared" si="51"/>
        <v>2900000</v>
      </c>
      <c r="F64" s="405">
        <f>(2300000+600000)</f>
        <v>2900000</v>
      </c>
      <c r="G64" s="405"/>
      <c r="H64" s="405"/>
      <c r="I64" s="405"/>
      <c r="J64" s="470">
        <f t="shared" si="28"/>
        <v>2000000</v>
      </c>
      <c r="K64" s="405">
        <v>2000000</v>
      </c>
      <c r="L64" s="405"/>
      <c r="M64" s="405"/>
      <c r="N64" s="405"/>
      <c r="O64" s="471">
        <f t="shared" ref="O64" si="54">K64</f>
        <v>2000000</v>
      </c>
      <c r="P64" s="470">
        <f t="shared" si="29"/>
        <v>4900000</v>
      </c>
      <c r="Q64" s="273"/>
      <c r="R64" s="180" t="b">
        <f>'d6'!J73=K64</f>
        <v>1</v>
      </c>
    </row>
    <row r="65" spans="1:18" s="85" customFormat="1" ht="321.75" thickTop="1" thickBot="1" x14ac:dyDescent="0.25">
      <c r="A65" s="441" t="s">
        <v>840</v>
      </c>
      <c r="B65" s="441" t="s">
        <v>841</v>
      </c>
      <c r="C65" s="441" t="s">
        <v>235</v>
      </c>
      <c r="D65" s="441" t="s">
        <v>842</v>
      </c>
      <c r="E65" s="442">
        <f t="shared" si="51"/>
        <v>4721984</v>
      </c>
      <c r="F65" s="405">
        <f>4721984</f>
        <v>4721984</v>
      </c>
      <c r="G65" s="405">
        <f>(1855198+1937278)</f>
        <v>3792476</v>
      </c>
      <c r="H65" s="405"/>
      <c r="I65" s="405"/>
      <c r="J65" s="442">
        <f t="shared" ref="J65" si="55">L65+O65</f>
        <v>2396198</v>
      </c>
      <c r="K65" s="405">
        <v>2396198</v>
      </c>
      <c r="L65" s="405"/>
      <c r="M65" s="405"/>
      <c r="N65" s="405"/>
      <c r="O65" s="440">
        <f t="shared" ref="O65" si="56">K65</f>
        <v>2396198</v>
      </c>
      <c r="P65" s="442">
        <f t="shared" ref="P65" si="57">E65+J65</f>
        <v>7118182</v>
      </c>
      <c r="Q65" s="273"/>
      <c r="R65" s="180" t="b">
        <f>K65='d6'!J74</f>
        <v>1</v>
      </c>
    </row>
    <row r="66" spans="1:18" s="85" customFormat="1" ht="91.5" hidden="1" thickTop="1" thickBot="1" x14ac:dyDescent="0.25">
      <c r="A66" s="562" t="s">
        <v>906</v>
      </c>
      <c r="B66" s="562" t="s">
        <v>907</v>
      </c>
      <c r="C66" s="562"/>
      <c r="D66" s="562" t="s">
        <v>908</v>
      </c>
      <c r="E66" s="491">
        <f>SUM(E67)</f>
        <v>0</v>
      </c>
      <c r="F66" s="491">
        <f t="shared" ref="F66:O66" si="58">SUM(F67)</f>
        <v>0</v>
      </c>
      <c r="G66" s="491">
        <f t="shared" si="58"/>
        <v>0</v>
      </c>
      <c r="H66" s="491">
        <f t="shared" si="58"/>
        <v>0</v>
      </c>
      <c r="I66" s="491">
        <f t="shared" si="58"/>
        <v>0</v>
      </c>
      <c r="J66" s="491">
        <f t="shared" si="58"/>
        <v>0</v>
      </c>
      <c r="K66" s="491">
        <f t="shared" si="58"/>
        <v>0</v>
      </c>
      <c r="L66" s="491">
        <f t="shared" si="58"/>
        <v>0</v>
      </c>
      <c r="M66" s="491">
        <f t="shared" si="58"/>
        <v>0</v>
      </c>
      <c r="N66" s="491">
        <f t="shared" si="58"/>
        <v>0</v>
      </c>
      <c r="O66" s="491">
        <f t="shared" si="58"/>
        <v>0</v>
      </c>
      <c r="P66" s="491">
        <f>SUM(P67)</f>
        <v>0</v>
      </c>
      <c r="Q66" s="273"/>
      <c r="R66" s="180"/>
    </row>
    <row r="67" spans="1:18" s="85" customFormat="1" ht="367.5" hidden="1" thickTop="1" thickBot="1" x14ac:dyDescent="0.25">
      <c r="A67" s="447" t="s">
        <v>471</v>
      </c>
      <c r="B67" s="447" t="s">
        <v>472</v>
      </c>
      <c r="C67" s="447" t="s">
        <v>210</v>
      </c>
      <c r="D67" s="447" t="s">
        <v>470</v>
      </c>
      <c r="E67" s="445">
        <f t="shared" si="51"/>
        <v>0</v>
      </c>
      <c r="F67" s="405">
        <f>(2688000)-2688000</f>
        <v>0</v>
      </c>
      <c r="G67" s="405"/>
      <c r="H67" s="405"/>
      <c r="I67" s="405"/>
      <c r="J67" s="445">
        <f>L67+O67</f>
        <v>0</v>
      </c>
      <c r="K67" s="405"/>
      <c r="L67" s="405"/>
      <c r="M67" s="405"/>
      <c r="N67" s="405"/>
      <c r="O67" s="446">
        <f>K67</f>
        <v>0</v>
      </c>
      <c r="P67" s="445">
        <f>E67+J67</f>
        <v>0</v>
      </c>
      <c r="Q67" s="273"/>
      <c r="R67" s="275"/>
    </row>
    <row r="68" spans="1:18" ht="136.5" thickTop="1" thickBot="1" x14ac:dyDescent="0.25">
      <c r="A68" s="680" t="s">
        <v>175</v>
      </c>
      <c r="B68" s="680"/>
      <c r="C68" s="680"/>
      <c r="D68" s="681" t="s">
        <v>18</v>
      </c>
      <c r="E68" s="682">
        <f>E69</f>
        <v>73735074</v>
      </c>
      <c r="F68" s="683">
        <f t="shared" ref="F68:G68" si="59">F69</f>
        <v>73735074</v>
      </c>
      <c r="G68" s="683">
        <f t="shared" si="59"/>
        <v>4186600</v>
      </c>
      <c r="H68" s="683">
        <f>H69</f>
        <v>201540</v>
      </c>
      <c r="I68" s="683">
        <f t="shared" ref="I68" si="60">I69</f>
        <v>0</v>
      </c>
      <c r="J68" s="682">
        <f>J69</f>
        <v>16253823</v>
      </c>
      <c r="K68" s="683">
        <f>K69</f>
        <v>16231823</v>
      </c>
      <c r="L68" s="683">
        <f>L69</f>
        <v>22000</v>
      </c>
      <c r="M68" s="683">
        <f t="shared" ref="M68" si="61">M69</f>
        <v>0</v>
      </c>
      <c r="N68" s="682">
        <f>N69</f>
        <v>0</v>
      </c>
      <c r="O68" s="682">
        <f>O69</f>
        <v>16231823</v>
      </c>
      <c r="P68" s="683">
        <f>P69</f>
        <v>89988897</v>
      </c>
    </row>
    <row r="69" spans="1:18" ht="136.5" thickTop="1" thickBot="1" x14ac:dyDescent="0.25">
      <c r="A69" s="684" t="s">
        <v>176</v>
      </c>
      <c r="B69" s="684"/>
      <c r="C69" s="684"/>
      <c r="D69" s="685" t="s">
        <v>38</v>
      </c>
      <c r="E69" s="686">
        <f>E70+E72+E85</f>
        <v>73735074</v>
      </c>
      <c r="F69" s="686">
        <f t="shared" ref="F69:I69" si="62">F70+F72+F85</f>
        <v>73735074</v>
      </c>
      <c r="G69" s="686">
        <f t="shared" si="62"/>
        <v>4186600</v>
      </c>
      <c r="H69" s="686">
        <f t="shared" si="62"/>
        <v>201540</v>
      </c>
      <c r="I69" s="686">
        <f t="shared" si="62"/>
        <v>0</v>
      </c>
      <c r="J69" s="686">
        <f>L69+O69</f>
        <v>16253823</v>
      </c>
      <c r="K69" s="686">
        <f t="shared" ref="K69:O69" si="63">K70+K72+K85</f>
        <v>16231823</v>
      </c>
      <c r="L69" s="686">
        <f t="shared" si="63"/>
        <v>22000</v>
      </c>
      <c r="M69" s="686">
        <f t="shared" si="63"/>
        <v>0</v>
      </c>
      <c r="N69" s="686">
        <f t="shared" si="63"/>
        <v>0</v>
      </c>
      <c r="O69" s="686">
        <f t="shared" si="63"/>
        <v>16231823</v>
      </c>
      <c r="P69" s="687">
        <f t="shared" ref="P69:P88" si="64">E69+J69</f>
        <v>89988897</v>
      </c>
      <c r="Q69" s="180" t="b">
        <f>P69=P71+P73+P74+P75+P76+P77+P79+P81+P83+P84+P87</f>
        <v>1</v>
      </c>
      <c r="R69" s="180" t="b">
        <f>K69='d6'!J75</f>
        <v>1</v>
      </c>
    </row>
    <row r="70" spans="1:18" s="484" customFormat="1" ht="47.25" thickTop="1" thickBot="1" x14ac:dyDescent="0.25">
      <c r="A70" s="562" t="s">
        <v>909</v>
      </c>
      <c r="B70" s="562" t="s">
        <v>880</v>
      </c>
      <c r="C70" s="562"/>
      <c r="D70" s="562" t="s">
        <v>881</v>
      </c>
      <c r="E70" s="491">
        <f>SUM(E71)</f>
        <v>2447825</v>
      </c>
      <c r="F70" s="491">
        <f t="shared" ref="F70:O70" si="65">SUM(F71)</f>
        <v>2447825</v>
      </c>
      <c r="G70" s="491">
        <f t="shared" si="65"/>
        <v>1821600</v>
      </c>
      <c r="H70" s="491">
        <f t="shared" si="65"/>
        <v>110635</v>
      </c>
      <c r="I70" s="491">
        <f t="shared" si="65"/>
        <v>0</v>
      </c>
      <c r="J70" s="491">
        <f t="shared" si="65"/>
        <v>0</v>
      </c>
      <c r="K70" s="491">
        <f t="shared" si="65"/>
        <v>0</v>
      </c>
      <c r="L70" s="491">
        <f t="shared" si="65"/>
        <v>0</v>
      </c>
      <c r="M70" s="491">
        <f t="shared" si="65"/>
        <v>0</v>
      </c>
      <c r="N70" s="491">
        <f t="shared" si="65"/>
        <v>0</v>
      </c>
      <c r="O70" s="491">
        <f t="shared" si="65"/>
        <v>0</v>
      </c>
      <c r="P70" s="491">
        <f>SUM(P71)</f>
        <v>2447825</v>
      </c>
      <c r="Q70" s="180"/>
      <c r="R70" s="180"/>
    </row>
    <row r="71" spans="1:18" ht="230.25" thickTop="1" thickBot="1" x14ac:dyDescent="0.25">
      <c r="A71" s="428" t="s">
        <v>454</v>
      </c>
      <c r="B71" s="428" t="s">
        <v>261</v>
      </c>
      <c r="C71" s="428" t="s">
        <v>259</v>
      </c>
      <c r="D71" s="428" t="s">
        <v>260</v>
      </c>
      <c r="E71" s="426">
        <f>F71</f>
        <v>2447825</v>
      </c>
      <c r="F71" s="405">
        <f>(1821600+400750+56870+45495+11375+110635+1100)</f>
        <v>2447825</v>
      </c>
      <c r="G71" s="405">
        <f>(1821600)</f>
        <v>1821600</v>
      </c>
      <c r="H71" s="405">
        <f>(1900+27000+81735)</f>
        <v>110635</v>
      </c>
      <c r="I71" s="405"/>
      <c r="J71" s="426">
        <f t="shared" ref="J71:J88" si="66">L71+O71</f>
        <v>0</v>
      </c>
      <c r="K71" s="426"/>
      <c r="L71" s="426"/>
      <c r="M71" s="426"/>
      <c r="N71" s="426"/>
      <c r="O71" s="427">
        <f>K71</f>
        <v>0</v>
      </c>
      <c r="P71" s="426">
        <f t="shared" si="64"/>
        <v>2447825</v>
      </c>
      <c r="Q71" s="275"/>
      <c r="R71" s="275"/>
    </row>
    <row r="72" spans="1:18" s="484" customFormat="1" ht="47.25" thickTop="1" thickBot="1" x14ac:dyDescent="0.25">
      <c r="A72" s="562" t="s">
        <v>910</v>
      </c>
      <c r="B72" s="562" t="s">
        <v>911</v>
      </c>
      <c r="C72" s="562"/>
      <c r="D72" s="562" t="s">
        <v>912</v>
      </c>
      <c r="E72" s="491">
        <f>SUM(E73:E84)-E78-E80-E82</f>
        <v>71287249</v>
      </c>
      <c r="F72" s="491">
        <f t="shared" ref="F72:P72" si="67">SUM(F73:F84)-F78-F80-F82</f>
        <v>71287249</v>
      </c>
      <c r="G72" s="491">
        <f t="shared" si="67"/>
        <v>2365000</v>
      </c>
      <c r="H72" s="491">
        <f t="shared" si="67"/>
        <v>90905</v>
      </c>
      <c r="I72" s="491">
        <f t="shared" si="67"/>
        <v>0</v>
      </c>
      <c r="J72" s="491">
        <f t="shared" si="67"/>
        <v>22000</v>
      </c>
      <c r="K72" s="491">
        <f t="shared" si="67"/>
        <v>0</v>
      </c>
      <c r="L72" s="491">
        <f t="shared" si="67"/>
        <v>22000</v>
      </c>
      <c r="M72" s="491">
        <f t="shared" si="67"/>
        <v>0</v>
      </c>
      <c r="N72" s="491">
        <f t="shared" si="67"/>
        <v>0</v>
      </c>
      <c r="O72" s="491">
        <f t="shared" si="67"/>
        <v>0</v>
      </c>
      <c r="P72" s="491">
        <f t="shared" si="67"/>
        <v>71309249</v>
      </c>
      <c r="Q72" s="275"/>
      <c r="R72" s="275"/>
    </row>
    <row r="73" spans="1:18" ht="93" thickTop="1" thickBot="1" x14ac:dyDescent="0.25">
      <c r="A73" s="428" t="s">
        <v>239</v>
      </c>
      <c r="B73" s="428" t="s">
        <v>236</v>
      </c>
      <c r="C73" s="428" t="s">
        <v>240</v>
      </c>
      <c r="D73" s="428" t="s">
        <v>19</v>
      </c>
      <c r="E73" s="426">
        <f>F73</f>
        <v>15249455</v>
      </c>
      <c r="F73" s="405">
        <f>(14263455+200000+78000)+508000+200000</f>
        <v>15249455</v>
      </c>
      <c r="G73" s="405"/>
      <c r="H73" s="405"/>
      <c r="I73" s="405"/>
      <c r="J73" s="426">
        <f t="shared" si="66"/>
        <v>0</v>
      </c>
      <c r="K73" s="405"/>
      <c r="L73" s="405"/>
      <c r="M73" s="405"/>
      <c r="N73" s="405"/>
      <c r="O73" s="427">
        <f>K73</f>
        <v>0</v>
      </c>
      <c r="P73" s="426">
        <f t="shared" si="64"/>
        <v>15249455</v>
      </c>
      <c r="R73" s="270"/>
    </row>
    <row r="74" spans="1:18" ht="93" thickTop="1" thickBot="1" x14ac:dyDescent="0.25">
      <c r="A74" s="428" t="s">
        <v>564</v>
      </c>
      <c r="B74" s="428" t="s">
        <v>567</v>
      </c>
      <c r="C74" s="428" t="s">
        <v>566</v>
      </c>
      <c r="D74" s="428" t="s">
        <v>565</v>
      </c>
      <c r="E74" s="426">
        <f>F74</f>
        <v>7638429</v>
      </c>
      <c r="F74" s="405">
        <f>(6277220+100000+165100)+122207+973902</f>
        <v>7638429</v>
      </c>
      <c r="G74" s="405"/>
      <c r="H74" s="405"/>
      <c r="I74" s="405"/>
      <c r="J74" s="426">
        <f t="shared" si="66"/>
        <v>0</v>
      </c>
      <c r="K74" s="405"/>
      <c r="L74" s="405"/>
      <c r="M74" s="405"/>
      <c r="N74" s="405"/>
      <c r="O74" s="427"/>
      <c r="P74" s="426">
        <f t="shared" si="64"/>
        <v>7638429</v>
      </c>
      <c r="R74" s="275"/>
    </row>
    <row r="75" spans="1:18" ht="138.75" thickTop="1" thickBot="1" x14ac:dyDescent="0.25">
      <c r="A75" s="428" t="s">
        <v>241</v>
      </c>
      <c r="B75" s="428" t="s">
        <v>242</v>
      </c>
      <c r="C75" s="428" t="s">
        <v>243</v>
      </c>
      <c r="D75" s="428" t="s">
        <v>244</v>
      </c>
      <c r="E75" s="426">
        <f t="shared" ref="E75:E88" si="68">F75</f>
        <v>5291200</v>
      </c>
      <c r="F75" s="405">
        <f>(4320000+100000+31200)+840000</f>
        <v>5291200</v>
      </c>
      <c r="G75" s="405"/>
      <c r="H75" s="405"/>
      <c r="I75" s="405"/>
      <c r="J75" s="426">
        <f t="shared" si="66"/>
        <v>0</v>
      </c>
      <c r="K75" s="405"/>
      <c r="L75" s="405"/>
      <c r="M75" s="405"/>
      <c r="N75" s="405"/>
      <c r="O75" s="427">
        <f>K75</f>
        <v>0</v>
      </c>
      <c r="P75" s="426">
        <f t="shared" si="64"/>
        <v>5291200</v>
      </c>
      <c r="R75" s="275"/>
    </row>
    <row r="76" spans="1:18" ht="138.75" thickTop="1" thickBot="1" x14ac:dyDescent="0.25">
      <c r="A76" s="428" t="s">
        <v>245</v>
      </c>
      <c r="B76" s="428" t="s">
        <v>246</v>
      </c>
      <c r="C76" s="428" t="s">
        <v>247</v>
      </c>
      <c r="D76" s="428" t="s">
        <v>379</v>
      </c>
      <c r="E76" s="426">
        <f t="shared" si="68"/>
        <v>9696090</v>
      </c>
      <c r="F76" s="405">
        <f>(7180650+300000+100000+9100)+748920+336950+50000+265000+705470</f>
        <v>9696090</v>
      </c>
      <c r="G76" s="405"/>
      <c r="H76" s="405"/>
      <c r="I76" s="405"/>
      <c r="J76" s="426">
        <f t="shared" si="66"/>
        <v>0</v>
      </c>
      <c r="K76" s="405"/>
      <c r="L76" s="405"/>
      <c r="M76" s="405"/>
      <c r="N76" s="405"/>
      <c r="O76" s="427">
        <f>K76</f>
        <v>0</v>
      </c>
      <c r="P76" s="426">
        <f t="shared" si="64"/>
        <v>9696090</v>
      </c>
      <c r="R76" s="275"/>
    </row>
    <row r="77" spans="1:18" ht="93" thickTop="1" thickBot="1" x14ac:dyDescent="0.25">
      <c r="A77" s="428" t="s">
        <v>248</v>
      </c>
      <c r="B77" s="428" t="s">
        <v>249</v>
      </c>
      <c r="C77" s="428" t="s">
        <v>250</v>
      </c>
      <c r="D77" s="428" t="s">
        <v>251</v>
      </c>
      <c r="E77" s="426">
        <f t="shared" si="68"/>
        <v>6881935</v>
      </c>
      <c r="F77" s="405">
        <v>6881935</v>
      </c>
      <c r="G77" s="405"/>
      <c r="H77" s="405"/>
      <c r="I77" s="405"/>
      <c r="J77" s="426">
        <f t="shared" si="66"/>
        <v>0</v>
      </c>
      <c r="K77" s="405"/>
      <c r="L77" s="405"/>
      <c r="M77" s="405"/>
      <c r="N77" s="405"/>
      <c r="O77" s="427">
        <f>K77</f>
        <v>0</v>
      </c>
      <c r="P77" s="426">
        <f t="shared" si="64"/>
        <v>6881935</v>
      </c>
      <c r="R77" s="275"/>
    </row>
    <row r="78" spans="1:18" s="484" customFormat="1" ht="93" thickTop="1" thickBot="1" x14ac:dyDescent="0.25">
      <c r="A78" s="487" t="s">
        <v>913</v>
      </c>
      <c r="B78" s="487" t="s">
        <v>914</v>
      </c>
      <c r="C78" s="487"/>
      <c r="D78" s="487" t="s">
        <v>915</v>
      </c>
      <c r="E78" s="466">
        <f>E79</f>
        <v>11147515</v>
      </c>
      <c r="F78" s="466">
        <f t="shared" ref="F78:P78" si="69">F79</f>
        <v>11147515</v>
      </c>
      <c r="G78" s="466">
        <f t="shared" si="69"/>
        <v>0</v>
      </c>
      <c r="H78" s="466">
        <f t="shared" si="69"/>
        <v>0</v>
      </c>
      <c r="I78" s="466">
        <f t="shared" si="69"/>
        <v>0</v>
      </c>
      <c r="J78" s="466">
        <f t="shared" si="69"/>
        <v>0</v>
      </c>
      <c r="K78" s="466">
        <f t="shared" si="69"/>
        <v>0</v>
      </c>
      <c r="L78" s="466">
        <f t="shared" si="69"/>
        <v>0</v>
      </c>
      <c r="M78" s="466">
        <f t="shared" si="69"/>
        <v>0</v>
      </c>
      <c r="N78" s="466">
        <f t="shared" si="69"/>
        <v>0</v>
      </c>
      <c r="O78" s="466">
        <f t="shared" si="69"/>
        <v>0</v>
      </c>
      <c r="P78" s="466">
        <f t="shared" si="69"/>
        <v>11147515</v>
      </c>
      <c r="Q78" s="489"/>
      <c r="R78" s="275"/>
    </row>
    <row r="79" spans="1:18" ht="184.5" thickTop="1" thickBot="1" x14ac:dyDescent="0.25">
      <c r="A79" s="428" t="s">
        <v>252</v>
      </c>
      <c r="B79" s="428" t="s">
        <v>253</v>
      </c>
      <c r="C79" s="428" t="s">
        <v>380</v>
      </c>
      <c r="D79" s="428" t="s">
        <v>254</v>
      </c>
      <c r="E79" s="426">
        <f t="shared" si="68"/>
        <v>11147515</v>
      </c>
      <c r="F79" s="405">
        <f>(10788065+359450)</f>
        <v>11147515</v>
      </c>
      <c r="G79" s="405"/>
      <c r="H79" s="405"/>
      <c r="I79" s="405"/>
      <c r="J79" s="426">
        <f t="shared" si="66"/>
        <v>0</v>
      </c>
      <c r="K79" s="405"/>
      <c r="L79" s="405"/>
      <c r="M79" s="405"/>
      <c r="N79" s="405"/>
      <c r="O79" s="427">
        <f t="shared" ref="O79:O88" si="70">K79</f>
        <v>0</v>
      </c>
      <c r="P79" s="426">
        <f t="shared" si="64"/>
        <v>11147515</v>
      </c>
      <c r="R79" s="275"/>
    </row>
    <row r="80" spans="1:18" s="484" customFormat="1" ht="138.75" thickTop="1" thickBot="1" x14ac:dyDescent="0.25">
      <c r="A80" s="464" t="s">
        <v>916</v>
      </c>
      <c r="B80" s="464" t="s">
        <v>917</v>
      </c>
      <c r="C80" s="464"/>
      <c r="D80" s="464" t="s">
        <v>918</v>
      </c>
      <c r="E80" s="466">
        <f>E81</f>
        <v>9137200</v>
      </c>
      <c r="F80" s="466">
        <f t="shared" ref="F80:P80" si="71">F81</f>
        <v>9137200</v>
      </c>
      <c r="G80" s="466">
        <f t="shared" si="71"/>
        <v>0</v>
      </c>
      <c r="H80" s="466">
        <f t="shared" si="71"/>
        <v>0</v>
      </c>
      <c r="I80" s="466">
        <f t="shared" si="71"/>
        <v>0</v>
      </c>
      <c r="J80" s="466">
        <f t="shared" si="71"/>
        <v>0</v>
      </c>
      <c r="K80" s="466">
        <f t="shared" si="71"/>
        <v>0</v>
      </c>
      <c r="L80" s="466">
        <f t="shared" si="71"/>
        <v>0</v>
      </c>
      <c r="M80" s="466">
        <f t="shared" si="71"/>
        <v>0</v>
      </c>
      <c r="N80" s="466">
        <f t="shared" si="71"/>
        <v>0</v>
      </c>
      <c r="O80" s="466">
        <f t="shared" si="71"/>
        <v>0</v>
      </c>
      <c r="P80" s="466">
        <f t="shared" si="71"/>
        <v>9137200</v>
      </c>
      <c r="Q80" s="489"/>
      <c r="R80" s="275"/>
    </row>
    <row r="81" spans="1:20" ht="138.75" thickTop="1" thickBot="1" x14ac:dyDescent="0.25">
      <c r="A81" s="428" t="s">
        <v>530</v>
      </c>
      <c r="B81" s="428" t="s">
        <v>531</v>
      </c>
      <c r="C81" s="428" t="s">
        <v>255</v>
      </c>
      <c r="D81" s="428" t="s">
        <v>532</v>
      </c>
      <c r="E81" s="426">
        <f t="shared" si="68"/>
        <v>9137200</v>
      </c>
      <c r="F81" s="405">
        <v>9137200</v>
      </c>
      <c r="G81" s="405"/>
      <c r="H81" s="405"/>
      <c r="I81" s="405"/>
      <c r="J81" s="426">
        <f t="shared" si="66"/>
        <v>0</v>
      </c>
      <c r="K81" s="405"/>
      <c r="L81" s="405"/>
      <c r="M81" s="405"/>
      <c r="N81" s="405"/>
      <c r="O81" s="427">
        <f t="shared" si="70"/>
        <v>0</v>
      </c>
      <c r="P81" s="426">
        <f t="shared" si="64"/>
        <v>9137200</v>
      </c>
      <c r="R81" s="275"/>
    </row>
    <row r="82" spans="1:20" s="484" customFormat="1" ht="138.75" thickTop="1" thickBot="1" x14ac:dyDescent="0.25">
      <c r="A82" s="487" t="s">
        <v>919</v>
      </c>
      <c r="B82" s="487" t="s">
        <v>920</v>
      </c>
      <c r="C82" s="487"/>
      <c r="D82" s="487" t="s">
        <v>921</v>
      </c>
      <c r="E82" s="466">
        <f>SUM(E83:E84)</f>
        <v>6245425</v>
      </c>
      <c r="F82" s="466">
        <f t="shared" ref="F82:P82" si="72">SUM(F83:F84)</f>
        <v>6245425</v>
      </c>
      <c r="G82" s="466">
        <f t="shared" si="72"/>
        <v>2365000</v>
      </c>
      <c r="H82" s="466">
        <f t="shared" si="72"/>
        <v>90905</v>
      </c>
      <c r="I82" s="466">
        <f t="shared" si="72"/>
        <v>0</v>
      </c>
      <c r="J82" s="466">
        <f t="shared" si="72"/>
        <v>22000</v>
      </c>
      <c r="K82" s="466">
        <f t="shared" si="72"/>
        <v>0</v>
      </c>
      <c r="L82" s="466">
        <f t="shared" si="72"/>
        <v>22000</v>
      </c>
      <c r="M82" s="466">
        <f t="shared" si="72"/>
        <v>0</v>
      </c>
      <c r="N82" s="466">
        <f t="shared" si="72"/>
        <v>0</v>
      </c>
      <c r="O82" s="466">
        <f t="shared" si="72"/>
        <v>0</v>
      </c>
      <c r="P82" s="466">
        <f t="shared" si="72"/>
        <v>6267425</v>
      </c>
      <c r="Q82" s="489"/>
      <c r="R82" s="275"/>
    </row>
    <row r="83" spans="1:20" s="85" customFormat="1" ht="138.75" thickTop="1" thickBot="1" x14ac:dyDescent="0.25">
      <c r="A83" s="428" t="s">
        <v>354</v>
      </c>
      <c r="B83" s="428" t="s">
        <v>356</v>
      </c>
      <c r="C83" s="428" t="s">
        <v>255</v>
      </c>
      <c r="D83" s="434" t="s">
        <v>352</v>
      </c>
      <c r="E83" s="426">
        <f t="shared" si="68"/>
        <v>3229425</v>
      </c>
      <c r="F83" s="405">
        <f>(2365000+520300+93000+157000+3220+90905)</f>
        <v>3229425</v>
      </c>
      <c r="G83" s="405">
        <f>(2365000)</f>
        <v>2365000</v>
      </c>
      <c r="H83" s="405">
        <f>(1900+22650+55260+11095)</f>
        <v>90905</v>
      </c>
      <c r="I83" s="405"/>
      <c r="J83" s="426">
        <f t="shared" si="66"/>
        <v>22000</v>
      </c>
      <c r="K83" s="405"/>
      <c r="L83" s="405">
        <v>22000</v>
      </c>
      <c r="M83" s="405"/>
      <c r="N83" s="405"/>
      <c r="O83" s="427">
        <f t="shared" si="70"/>
        <v>0</v>
      </c>
      <c r="P83" s="426">
        <f t="shared" si="64"/>
        <v>3251425</v>
      </c>
      <c r="Q83" s="273"/>
      <c r="R83" s="275"/>
    </row>
    <row r="84" spans="1:20" s="85" customFormat="1" ht="93" thickTop="1" thickBot="1" x14ac:dyDescent="0.25">
      <c r="A84" s="428" t="s">
        <v>355</v>
      </c>
      <c r="B84" s="428" t="s">
        <v>357</v>
      </c>
      <c r="C84" s="428" t="s">
        <v>255</v>
      </c>
      <c r="D84" s="434" t="s">
        <v>353</v>
      </c>
      <c r="E84" s="426">
        <f t="shared" si="68"/>
        <v>3016000</v>
      </c>
      <c r="F84" s="405">
        <f>(3016000)</f>
        <v>3016000</v>
      </c>
      <c r="G84" s="405"/>
      <c r="H84" s="405"/>
      <c r="I84" s="405"/>
      <c r="J84" s="426">
        <f t="shared" si="66"/>
        <v>0</v>
      </c>
      <c r="K84" s="405"/>
      <c r="L84" s="405"/>
      <c r="M84" s="405"/>
      <c r="N84" s="405"/>
      <c r="O84" s="427">
        <f t="shared" si="70"/>
        <v>0</v>
      </c>
      <c r="P84" s="426">
        <f t="shared" si="64"/>
        <v>3016000</v>
      </c>
      <c r="Q84" s="273"/>
      <c r="R84" s="275"/>
    </row>
    <row r="85" spans="1:20" s="85" customFormat="1" ht="47.25" thickTop="1" thickBot="1" x14ac:dyDescent="0.25">
      <c r="A85" s="562" t="s">
        <v>950</v>
      </c>
      <c r="B85" s="561" t="s">
        <v>948</v>
      </c>
      <c r="C85" s="561"/>
      <c r="D85" s="561" t="s">
        <v>949</v>
      </c>
      <c r="E85" s="491">
        <f>SUM(E86)</f>
        <v>0</v>
      </c>
      <c r="F85" s="491">
        <f t="shared" ref="F85:P85" si="73">SUM(F86)</f>
        <v>0</v>
      </c>
      <c r="G85" s="491">
        <f t="shared" si="73"/>
        <v>0</v>
      </c>
      <c r="H85" s="491">
        <f t="shared" si="73"/>
        <v>0</v>
      </c>
      <c r="I85" s="491">
        <f t="shared" si="73"/>
        <v>0</v>
      </c>
      <c r="J85" s="491">
        <f t="shared" si="73"/>
        <v>16231823</v>
      </c>
      <c r="K85" s="491">
        <f t="shared" si="73"/>
        <v>16231823</v>
      </c>
      <c r="L85" s="491">
        <f t="shared" si="73"/>
        <v>0</v>
      </c>
      <c r="M85" s="491">
        <f t="shared" si="73"/>
        <v>0</v>
      </c>
      <c r="N85" s="491">
        <f t="shared" si="73"/>
        <v>0</v>
      </c>
      <c r="O85" s="491">
        <f t="shared" si="73"/>
        <v>16231823</v>
      </c>
      <c r="P85" s="491">
        <f t="shared" si="73"/>
        <v>16231823</v>
      </c>
      <c r="Q85" s="273"/>
      <c r="R85" s="275"/>
    </row>
    <row r="86" spans="1:20" s="504" customFormat="1" ht="136.5" thickTop="1" thickBot="1" x14ac:dyDescent="0.25">
      <c r="A86" s="506" t="s">
        <v>922</v>
      </c>
      <c r="B86" s="506" t="s">
        <v>887</v>
      </c>
      <c r="C86" s="506"/>
      <c r="D86" s="506" t="s">
        <v>885</v>
      </c>
      <c r="E86" s="465">
        <f>SUM(E87)</f>
        <v>0</v>
      </c>
      <c r="F86" s="465">
        <f t="shared" ref="F86:P86" si="74">SUM(F87)</f>
        <v>0</v>
      </c>
      <c r="G86" s="465">
        <f t="shared" si="74"/>
        <v>0</v>
      </c>
      <c r="H86" s="465">
        <f t="shared" si="74"/>
        <v>0</v>
      </c>
      <c r="I86" s="465">
        <f t="shared" si="74"/>
        <v>0</v>
      </c>
      <c r="J86" s="465">
        <f t="shared" si="74"/>
        <v>16231823</v>
      </c>
      <c r="K86" s="465">
        <f t="shared" si="74"/>
        <v>16231823</v>
      </c>
      <c r="L86" s="465">
        <f t="shared" si="74"/>
        <v>0</v>
      </c>
      <c r="M86" s="465">
        <f t="shared" si="74"/>
        <v>0</v>
      </c>
      <c r="N86" s="465">
        <f t="shared" si="74"/>
        <v>0</v>
      </c>
      <c r="O86" s="465">
        <f t="shared" si="74"/>
        <v>16231823</v>
      </c>
      <c r="P86" s="465">
        <f t="shared" si="74"/>
        <v>16231823</v>
      </c>
      <c r="Q86" s="509"/>
      <c r="R86" s="512"/>
    </row>
    <row r="87" spans="1:20" s="85" customFormat="1" ht="93" thickTop="1" thickBot="1" x14ac:dyDescent="0.25">
      <c r="A87" s="428" t="s">
        <v>476</v>
      </c>
      <c r="B87" s="428" t="s">
        <v>222</v>
      </c>
      <c r="C87" s="428" t="s">
        <v>191</v>
      </c>
      <c r="D87" s="428" t="s">
        <v>36</v>
      </c>
      <c r="E87" s="426">
        <f t="shared" si="68"/>
        <v>0</v>
      </c>
      <c r="F87" s="405"/>
      <c r="G87" s="405"/>
      <c r="H87" s="405"/>
      <c r="I87" s="405"/>
      <c r="J87" s="426">
        <f t="shared" si="66"/>
        <v>16231823</v>
      </c>
      <c r="K87" s="405">
        <f>(5413599+372664+500000+500000+201012+437500)+800000+355048+952000-100000+6800000</f>
        <v>16231823</v>
      </c>
      <c r="L87" s="405"/>
      <c r="M87" s="405"/>
      <c r="N87" s="405"/>
      <c r="O87" s="427">
        <f t="shared" si="70"/>
        <v>16231823</v>
      </c>
      <c r="P87" s="426">
        <f t="shared" si="64"/>
        <v>16231823</v>
      </c>
      <c r="Q87" s="273"/>
      <c r="R87" s="180" t="b">
        <f>K87='d6'!J88+'d6'!J87+'d6'!J86+'d6'!J85+'d6'!J84+'d6'!J83+'d6'!J82+'d6'!J81+'d6'!J80+'d6'!J79+'d6'!J78+'d6'!J77+'d6'!J89</f>
        <v>1</v>
      </c>
    </row>
    <row r="88" spans="1:20" s="85" customFormat="1" ht="93" hidden="1" thickTop="1" thickBot="1" x14ac:dyDescent="0.25">
      <c r="A88" s="232" t="s">
        <v>568</v>
      </c>
      <c r="B88" s="232" t="s">
        <v>399</v>
      </c>
      <c r="C88" s="232" t="s">
        <v>45</v>
      </c>
      <c r="D88" s="232" t="s">
        <v>400</v>
      </c>
      <c r="E88" s="231">
        <f t="shared" si="68"/>
        <v>0</v>
      </c>
      <c r="F88" s="233"/>
      <c r="G88" s="233"/>
      <c r="H88" s="233"/>
      <c r="I88" s="233"/>
      <c r="J88" s="231">
        <f t="shared" si="66"/>
        <v>0</v>
      </c>
      <c r="K88" s="233"/>
      <c r="L88" s="233"/>
      <c r="M88" s="233"/>
      <c r="N88" s="233"/>
      <c r="O88" s="234">
        <f t="shared" si="70"/>
        <v>0</v>
      </c>
      <c r="P88" s="231">
        <f t="shared" si="64"/>
        <v>0</v>
      </c>
      <c r="Q88" s="273"/>
      <c r="R88" s="270"/>
    </row>
    <row r="89" spans="1:20" ht="226.5" thickTop="1" thickBot="1" x14ac:dyDescent="0.25">
      <c r="A89" s="680" t="s">
        <v>177</v>
      </c>
      <c r="B89" s="680"/>
      <c r="C89" s="680"/>
      <c r="D89" s="681" t="s">
        <v>39</v>
      </c>
      <c r="E89" s="682">
        <f>E90</f>
        <v>218329629</v>
      </c>
      <c r="F89" s="683">
        <f t="shared" ref="F89:G89" si="75">F90</f>
        <v>218329629</v>
      </c>
      <c r="G89" s="683">
        <f t="shared" si="75"/>
        <v>68381820</v>
      </c>
      <c r="H89" s="683">
        <f>H90</f>
        <v>2088707</v>
      </c>
      <c r="I89" s="683">
        <f t="shared" ref="I89" si="76">I90</f>
        <v>0</v>
      </c>
      <c r="J89" s="682">
        <f>J90</f>
        <v>6906780</v>
      </c>
      <c r="K89" s="683">
        <f>K90</f>
        <v>6289780</v>
      </c>
      <c r="L89" s="683">
        <f>L90</f>
        <v>617000</v>
      </c>
      <c r="M89" s="683">
        <f t="shared" ref="M89" si="77">M90</f>
        <v>104000</v>
      </c>
      <c r="N89" s="682">
        <f>N90</f>
        <v>137000</v>
      </c>
      <c r="O89" s="682">
        <f>O90</f>
        <v>6289780</v>
      </c>
      <c r="P89" s="683">
        <f>P90</f>
        <v>225236409</v>
      </c>
    </row>
    <row r="90" spans="1:20" ht="226.5" thickTop="1" thickBot="1" x14ac:dyDescent="0.25">
      <c r="A90" s="684" t="s">
        <v>178</v>
      </c>
      <c r="B90" s="684"/>
      <c r="C90" s="684"/>
      <c r="D90" s="685" t="s">
        <v>40</v>
      </c>
      <c r="E90" s="686">
        <f>E91+E95+E119+E122</f>
        <v>218329629</v>
      </c>
      <c r="F90" s="686">
        <f t="shared" ref="F90:I90" si="78">F91+F95+F119+F122</f>
        <v>218329629</v>
      </c>
      <c r="G90" s="686">
        <f t="shared" si="78"/>
        <v>68381820</v>
      </c>
      <c r="H90" s="686">
        <f t="shared" si="78"/>
        <v>2088707</v>
      </c>
      <c r="I90" s="686">
        <f t="shared" si="78"/>
        <v>0</v>
      </c>
      <c r="J90" s="686">
        <f t="shared" ref="J90:J115" si="79">L90+O90</f>
        <v>6906780</v>
      </c>
      <c r="K90" s="686">
        <f t="shared" ref="K90:O90" si="80">K91+K95+K119+K122</f>
        <v>6289780</v>
      </c>
      <c r="L90" s="686">
        <f t="shared" si="80"/>
        <v>617000</v>
      </c>
      <c r="M90" s="686">
        <f t="shared" si="80"/>
        <v>104000</v>
      </c>
      <c r="N90" s="686">
        <f t="shared" si="80"/>
        <v>137000</v>
      </c>
      <c r="O90" s="686">
        <f t="shared" si="80"/>
        <v>6289780</v>
      </c>
      <c r="P90" s="687">
        <f t="shared" ref="P90:P107" si="81">E90+J90</f>
        <v>225236409</v>
      </c>
      <c r="Q90" s="181" t="b">
        <f>P90=P92+P93+P97+P98+P99+P100+P101+P106+P107+P108+P111+P113+P115+P117+P118+P121+P128+P102+P104+P110+P94+P103+P125</f>
        <v>1</v>
      </c>
      <c r="R90" s="317" t="b">
        <f>K90='d6'!J91</f>
        <v>1</v>
      </c>
      <c r="S90" s="317" t="b">
        <f>P90=P91+P95+P119+P122</f>
        <v>1</v>
      </c>
      <c r="T90" s="181"/>
    </row>
    <row r="91" spans="1:20" s="490" customFormat="1" ht="47.25" thickTop="1" thickBot="1" x14ac:dyDescent="0.25">
      <c r="A91" s="562" t="s">
        <v>924</v>
      </c>
      <c r="B91" s="562" t="s">
        <v>880</v>
      </c>
      <c r="C91" s="562"/>
      <c r="D91" s="562" t="s">
        <v>881</v>
      </c>
      <c r="E91" s="491">
        <f t="shared" ref="E91:P91" si="82">SUM(E92:E94)</f>
        <v>52532540</v>
      </c>
      <c r="F91" s="716">
        <f t="shared" si="82"/>
        <v>52532540</v>
      </c>
      <c r="G91" s="716">
        <f t="shared" si="82"/>
        <v>38906520</v>
      </c>
      <c r="H91" s="716">
        <f t="shared" si="82"/>
        <v>856085</v>
      </c>
      <c r="I91" s="716">
        <f t="shared" si="82"/>
        <v>0</v>
      </c>
      <c r="J91" s="716">
        <f t="shared" si="82"/>
        <v>1161000</v>
      </c>
      <c r="K91" s="716">
        <f t="shared" si="82"/>
        <v>1161000</v>
      </c>
      <c r="L91" s="716">
        <f t="shared" si="82"/>
        <v>0</v>
      </c>
      <c r="M91" s="716">
        <f t="shared" si="82"/>
        <v>0</v>
      </c>
      <c r="N91" s="716">
        <f t="shared" si="82"/>
        <v>0</v>
      </c>
      <c r="O91" s="716">
        <f t="shared" si="82"/>
        <v>1161000</v>
      </c>
      <c r="P91" s="716">
        <f t="shared" si="82"/>
        <v>53693540</v>
      </c>
      <c r="Q91" s="181"/>
      <c r="R91" s="317"/>
      <c r="T91" s="181"/>
    </row>
    <row r="92" spans="1:20" ht="230.25" thickTop="1" thickBot="1" x14ac:dyDescent="0.25">
      <c r="A92" s="360" t="s">
        <v>453</v>
      </c>
      <c r="B92" s="360" t="s">
        <v>261</v>
      </c>
      <c r="C92" s="360" t="s">
        <v>259</v>
      </c>
      <c r="D92" s="360" t="s">
        <v>260</v>
      </c>
      <c r="E92" s="415">
        <f t="shared" ref="E92" si="83">F92</f>
        <v>52492540</v>
      </c>
      <c r="F92" s="416">
        <f>(51797540-10000)+205000+300000+200000</f>
        <v>52492540</v>
      </c>
      <c r="G92" s="416">
        <v>38906520</v>
      </c>
      <c r="H92" s="416">
        <f>(511665+29000+284370+31050)</f>
        <v>856085</v>
      </c>
      <c r="I92" s="416"/>
      <c r="J92" s="415">
        <f t="shared" si="79"/>
        <v>1161000</v>
      </c>
      <c r="K92" s="416">
        <f>(911000)+250000</f>
        <v>1161000</v>
      </c>
      <c r="L92" s="416"/>
      <c r="M92" s="416"/>
      <c r="N92" s="416"/>
      <c r="O92" s="417">
        <f>K92</f>
        <v>1161000</v>
      </c>
      <c r="P92" s="415">
        <f t="shared" si="81"/>
        <v>53653540</v>
      </c>
      <c r="Q92" s="276"/>
      <c r="R92" s="317" t="b">
        <f>K92='d6'!J92+'d6'!J93</f>
        <v>1</v>
      </c>
      <c r="T92" s="181"/>
    </row>
    <row r="93" spans="1:20" s="412" customFormat="1" ht="184.5" thickTop="1" thickBot="1" x14ac:dyDescent="0.25">
      <c r="A93" s="419" t="s">
        <v>823</v>
      </c>
      <c r="B93" s="419" t="s">
        <v>398</v>
      </c>
      <c r="C93" s="419" t="s">
        <v>815</v>
      </c>
      <c r="D93" s="419" t="s">
        <v>816</v>
      </c>
      <c r="E93" s="415">
        <f t="shared" ref="E93:E94" si="84">F93</f>
        <v>10000</v>
      </c>
      <c r="F93" s="416">
        <v>10000</v>
      </c>
      <c r="G93" s="416"/>
      <c r="H93" s="416"/>
      <c r="I93" s="416"/>
      <c r="J93" s="415">
        <f t="shared" ref="J93:J94" si="85">L93+O93</f>
        <v>0</v>
      </c>
      <c r="K93" s="416"/>
      <c r="L93" s="416"/>
      <c r="M93" s="416"/>
      <c r="N93" s="416"/>
      <c r="O93" s="417">
        <f>K93</f>
        <v>0</v>
      </c>
      <c r="P93" s="415">
        <f t="shared" ref="P93:P94" si="86">E93+J93</f>
        <v>10000</v>
      </c>
      <c r="Q93" s="276"/>
      <c r="R93" s="317"/>
      <c r="T93" s="181"/>
    </row>
    <row r="94" spans="1:20" s="711" customFormat="1" ht="93" thickTop="1" thickBot="1" x14ac:dyDescent="0.25">
      <c r="A94" s="717" t="s">
        <v>1187</v>
      </c>
      <c r="B94" s="717" t="s">
        <v>45</v>
      </c>
      <c r="C94" s="717" t="s">
        <v>44</v>
      </c>
      <c r="D94" s="717" t="s">
        <v>273</v>
      </c>
      <c r="E94" s="714">
        <f t="shared" si="84"/>
        <v>30000</v>
      </c>
      <c r="F94" s="416">
        <v>30000</v>
      </c>
      <c r="G94" s="416"/>
      <c r="H94" s="416"/>
      <c r="I94" s="416"/>
      <c r="J94" s="714">
        <f t="shared" si="85"/>
        <v>0</v>
      </c>
      <c r="K94" s="416"/>
      <c r="L94" s="416"/>
      <c r="M94" s="416"/>
      <c r="N94" s="416"/>
      <c r="O94" s="715"/>
      <c r="P94" s="714">
        <f t="shared" si="86"/>
        <v>30000</v>
      </c>
      <c r="Q94" s="276"/>
      <c r="R94" s="317"/>
      <c r="T94" s="181"/>
    </row>
    <row r="95" spans="1:20" s="490" customFormat="1" ht="91.5" thickTop="1" thickBot="1" x14ac:dyDescent="0.25">
      <c r="A95" s="562" t="s">
        <v>925</v>
      </c>
      <c r="B95" s="562" t="s">
        <v>907</v>
      </c>
      <c r="C95" s="562"/>
      <c r="D95" s="562" t="s">
        <v>908</v>
      </c>
      <c r="E95" s="493">
        <f>SUM(E96:E118)-E96-E105-E112-E114-E116-E109</f>
        <v>165797089</v>
      </c>
      <c r="F95" s="493">
        <f>SUM(F96:F118)-F96-F105-F112-F114-F116-F109</f>
        <v>165797089</v>
      </c>
      <c r="G95" s="493">
        <f>SUM(G96:G118)-G96-G105-G112-G114-G116-G109</f>
        <v>29475300</v>
      </c>
      <c r="H95" s="493">
        <f>SUM(H96:H118)-H96-H105-H112-H114-H116-H109</f>
        <v>1232622</v>
      </c>
      <c r="I95" s="493">
        <f>SUM(I96:I118)-I96-I105-I112-I114-I116-I110</f>
        <v>0</v>
      </c>
      <c r="J95" s="493">
        <f>SUM(J96:J118)-J96-J105-J112-J114-J116-J109</f>
        <v>1203780</v>
      </c>
      <c r="K95" s="493">
        <f>SUM(K96:K118)-K96-K105-K112-K114-K116-K110</f>
        <v>908780</v>
      </c>
      <c r="L95" s="493">
        <f>SUM(L96:L118)-L96-L105-L112-L114-L116-L110</f>
        <v>295000</v>
      </c>
      <c r="M95" s="493">
        <f>SUM(M96:M118)-M96-M105-M112-M114-M116-M110</f>
        <v>104000</v>
      </c>
      <c r="N95" s="493">
        <f>SUM(N96:N118)-N96-N105-N112-N114-N116-N110</f>
        <v>137000</v>
      </c>
      <c r="O95" s="493">
        <f>SUM(O96:O118)-O96-O105-O112-O114-O116-O109</f>
        <v>908780</v>
      </c>
      <c r="P95" s="493">
        <f>SUM(P96:P118)-P96-P105-P112-P114-P116-P109</f>
        <v>167000869</v>
      </c>
      <c r="Q95" s="276"/>
      <c r="R95" s="317"/>
      <c r="T95" s="181"/>
    </row>
    <row r="96" spans="1:20" s="132" customFormat="1" ht="276" thickTop="1" thickBot="1" x14ac:dyDescent="0.25">
      <c r="A96" s="552" t="s">
        <v>926</v>
      </c>
      <c r="B96" s="464" t="s">
        <v>927</v>
      </c>
      <c r="C96" s="464"/>
      <c r="D96" s="464" t="s">
        <v>928</v>
      </c>
      <c r="E96" s="553">
        <f>SUM(E97:E101)</f>
        <v>88312240</v>
      </c>
      <c r="F96" s="553">
        <f t="shared" ref="F96:P96" si="87">SUM(F97:F101)</f>
        <v>88312240</v>
      </c>
      <c r="G96" s="553">
        <f t="shared" si="87"/>
        <v>0</v>
      </c>
      <c r="H96" s="553">
        <f t="shared" si="87"/>
        <v>0</v>
      </c>
      <c r="I96" s="553">
        <f t="shared" si="87"/>
        <v>0</v>
      </c>
      <c r="J96" s="553">
        <f t="shared" si="87"/>
        <v>199000</v>
      </c>
      <c r="K96" s="553">
        <f t="shared" si="87"/>
        <v>199000</v>
      </c>
      <c r="L96" s="553">
        <f t="shared" si="87"/>
        <v>0</v>
      </c>
      <c r="M96" s="553">
        <f t="shared" si="87"/>
        <v>0</v>
      </c>
      <c r="N96" s="553">
        <f t="shared" si="87"/>
        <v>0</v>
      </c>
      <c r="O96" s="553">
        <f t="shared" si="87"/>
        <v>199000</v>
      </c>
      <c r="P96" s="553">
        <f t="shared" si="87"/>
        <v>88511240</v>
      </c>
      <c r="Q96" s="302"/>
      <c r="R96" s="550"/>
      <c r="T96" s="551"/>
    </row>
    <row r="97" spans="1:18" s="85" customFormat="1" ht="138.75" thickTop="1" thickBot="1" x14ac:dyDescent="0.25">
      <c r="A97" s="360" t="s">
        <v>294</v>
      </c>
      <c r="B97" s="360" t="s">
        <v>295</v>
      </c>
      <c r="C97" s="360" t="s">
        <v>230</v>
      </c>
      <c r="D97" s="361" t="s">
        <v>296</v>
      </c>
      <c r="E97" s="415">
        <f>F97</f>
        <v>270000</v>
      </c>
      <c r="F97" s="416">
        <f>(570000)-300000</f>
        <v>270000</v>
      </c>
      <c r="G97" s="416"/>
      <c r="H97" s="416"/>
      <c r="I97" s="416"/>
      <c r="J97" s="415">
        <f t="shared" si="79"/>
        <v>199000</v>
      </c>
      <c r="K97" s="416">
        <v>199000</v>
      </c>
      <c r="L97" s="416"/>
      <c r="M97" s="416"/>
      <c r="N97" s="416"/>
      <c r="O97" s="417">
        <f t="shared" ref="O97:O115" si="88">K97</f>
        <v>199000</v>
      </c>
      <c r="P97" s="415">
        <f t="shared" si="81"/>
        <v>469000</v>
      </c>
      <c r="Q97" s="273"/>
      <c r="R97" s="317" t="b">
        <f>K97='d6'!J94</f>
        <v>1</v>
      </c>
    </row>
    <row r="98" spans="1:18" s="85" customFormat="1" ht="138.75" thickTop="1" thickBot="1" x14ac:dyDescent="0.25">
      <c r="A98" s="360" t="s">
        <v>297</v>
      </c>
      <c r="B98" s="360" t="s">
        <v>298</v>
      </c>
      <c r="C98" s="360" t="s">
        <v>231</v>
      </c>
      <c r="D98" s="360" t="s">
        <v>6</v>
      </c>
      <c r="E98" s="415">
        <f t="shared" ref="E98:E128" si="89">F98</f>
        <v>1350000</v>
      </c>
      <c r="F98" s="416">
        <v>1350000</v>
      </c>
      <c r="G98" s="416"/>
      <c r="H98" s="416"/>
      <c r="I98" s="416"/>
      <c r="J98" s="415">
        <f t="shared" si="79"/>
        <v>0</v>
      </c>
      <c r="K98" s="416"/>
      <c r="L98" s="416"/>
      <c r="M98" s="416"/>
      <c r="N98" s="416"/>
      <c r="O98" s="417">
        <f t="shared" si="88"/>
        <v>0</v>
      </c>
      <c r="P98" s="415">
        <f t="shared" si="81"/>
        <v>1350000</v>
      </c>
      <c r="Q98" s="273"/>
      <c r="R98" s="277"/>
    </row>
    <row r="99" spans="1:18" s="85" customFormat="1" ht="184.5" thickTop="1" thickBot="1" x14ac:dyDescent="0.25">
      <c r="A99" s="360" t="s">
        <v>300</v>
      </c>
      <c r="B99" s="360" t="s">
        <v>301</v>
      </c>
      <c r="C99" s="360" t="s">
        <v>231</v>
      </c>
      <c r="D99" s="360" t="s">
        <v>7</v>
      </c>
      <c r="E99" s="415">
        <f t="shared" si="89"/>
        <v>11250000</v>
      </c>
      <c r="F99" s="416">
        <v>11250000</v>
      </c>
      <c r="G99" s="416"/>
      <c r="H99" s="416"/>
      <c r="I99" s="416"/>
      <c r="J99" s="415">
        <f t="shared" si="79"/>
        <v>0</v>
      </c>
      <c r="K99" s="416"/>
      <c r="L99" s="416"/>
      <c r="M99" s="416"/>
      <c r="N99" s="416"/>
      <c r="O99" s="417">
        <f t="shared" si="88"/>
        <v>0</v>
      </c>
      <c r="P99" s="415">
        <f t="shared" si="81"/>
        <v>11250000</v>
      </c>
      <c r="Q99" s="273"/>
      <c r="R99" s="277"/>
    </row>
    <row r="100" spans="1:18" s="85" customFormat="1" ht="184.5" thickTop="1" thickBot="1" x14ac:dyDescent="0.25">
      <c r="A100" s="360" t="s">
        <v>302</v>
      </c>
      <c r="B100" s="360" t="s">
        <v>299</v>
      </c>
      <c r="C100" s="360" t="s">
        <v>231</v>
      </c>
      <c r="D100" s="360" t="s">
        <v>8</v>
      </c>
      <c r="E100" s="415">
        <f t="shared" si="89"/>
        <v>500000</v>
      </c>
      <c r="F100" s="416">
        <v>500000</v>
      </c>
      <c r="G100" s="416"/>
      <c r="H100" s="416"/>
      <c r="I100" s="416"/>
      <c r="J100" s="415">
        <f t="shared" si="79"/>
        <v>0</v>
      </c>
      <c r="K100" s="416"/>
      <c r="L100" s="416"/>
      <c r="M100" s="416"/>
      <c r="N100" s="416"/>
      <c r="O100" s="417">
        <f t="shared" si="88"/>
        <v>0</v>
      </c>
      <c r="P100" s="415">
        <f t="shared" si="81"/>
        <v>500000</v>
      </c>
      <c r="Q100" s="273"/>
      <c r="R100" s="277"/>
    </row>
    <row r="101" spans="1:18" s="85" customFormat="1" ht="184.5" thickTop="1" thickBot="1" x14ac:dyDescent="0.25">
      <c r="A101" s="360" t="s">
        <v>303</v>
      </c>
      <c r="B101" s="360" t="s">
        <v>304</v>
      </c>
      <c r="C101" s="360" t="s">
        <v>231</v>
      </c>
      <c r="D101" s="360" t="s">
        <v>9</v>
      </c>
      <c r="E101" s="415">
        <f t="shared" si="89"/>
        <v>74942240</v>
      </c>
      <c r="F101" s="416">
        <f>74942240</f>
        <v>74942240</v>
      </c>
      <c r="G101" s="416"/>
      <c r="H101" s="416"/>
      <c r="I101" s="416"/>
      <c r="J101" s="415">
        <f t="shared" si="79"/>
        <v>0</v>
      </c>
      <c r="K101" s="416"/>
      <c r="L101" s="416"/>
      <c r="M101" s="416"/>
      <c r="N101" s="416"/>
      <c r="O101" s="417">
        <f t="shared" si="88"/>
        <v>0</v>
      </c>
      <c r="P101" s="415">
        <f t="shared" si="81"/>
        <v>74942240</v>
      </c>
      <c r="Q101" s="273"/>
      <c r="R101" s="277"/>
    </row>
    <row r="102" spans="1:18" s="85" customFormat="1" ht="184.5" thickTop="1" thickBot="1" x14ac:dyDescent="0.25">
      <c r="A102" s="607" t="s">
        <v>533</v>
      </c>
      <c r="B102" s="607" t="s">
        <v>534</v>
      </c>
      <c r="C102" s="607" t="s">
        <v>231</v>
      </c>
      <c r="D102" s="607" t="s">
        <v>535</v>
      </c>
      <c r="E102" s="608">
        <f t="shared" si="89"/>
        <v>206796</v>
      </c>
      <c r="F102" s="416">
        <v>206796</v>
      </c>
      <c r="G102" s="416"/>
      <c r="H102" s="416"/>
      <c r="I102" s="416"/>
      <c r="J102" s="608">
        <f t="shared" si="79"/>
        <v>0</v>
      </c>
      <c r="K102" s="416"/>
      <c r="L102" s="416"/>
      <c r="M102" s="416"/>
      <c r="N102" s="416"/>
      <c r="O102" s="609">
        <f t="shared" si="88"/>
        <v>0</v>
      </c>
      <c r="P102" s="608">
        <f t="shared" si="81"/>
        <v>206796</v>
      </c>
      <c r="Q102" s="273"/>
      <c r="R102" s="277"/>
    </row>
    <row r="103" spans="1:18" s="85" customFormat="1" ht="138.75" thickTop="1" thickBot="1" x14ac:dyDescent="0.25">
      <c r="A103" s="713" t="s">
        <v>1189</v>
      </c>
      <c r="B103" s="713" t="s">
        <v>1190</v>
      </c>
      <c r="C103" s="713" t="s">
        <v>231</v>
      </c>
      <c r="D103" s="713" t="s">
        <v>1191</v>
      </c>
      <c r="E103" s="714">
        <f t="shared" ref="E103" si="90">F103</f>
        <v>180000</v>
      </c>
      <c r="F103" s="416">
        <v>180000</v>
      </c>
      <c r="G103" s="416"/>
      <c r="H103" s="416"/>
      <c r="I103" s="416"/>
      <c r="J103" s="714">
        <f t="shared" ref="J103" si="91">L103+O103</f>
        <v>0</v>
      </c>
      <c r="K103" s="416"/>
      <c r="L103" s="416"/>
      <c r="M103" s="416"/>
      <c r="N103" s="416"/>
      <c r="O103" s="715">
        <f t="shared" ref="O103" si="92">K103</f>
        <v>0</v>
      </c>
      <c r="P103" s="714">
        <f t="shared" ref="P103" si="93">E103+J103</f>
        <v>180000</v>
      </c>
      <c r="Q103" s="273"/>
      <c r="R103" s="277"/>
    </row>
    <row r="104" spans="1:18" ht="138.75" thickTop="1" thickBot="1" x14ac:dyDescent="0.25">
      <c r="A104" s="607" t="s">
        <v>536</v>
      </c>
      <c r="B104" s="607" t="s">
        <v>537</v>
      </c>
      <c r="C104" s="607" t="s">
        <v>230</v>
      </c>
      <c r="D104" s="607" t="s">
        <v>538</v>
      </c>
      <c r="E104" s="608">
        <f t="shared" si="89"/>
        <v>353047</v>
      </c>
      <c r="F104" s="416">
        <v>353047</v>
      </c>
      <c r="G104" s="416"/>
      <c r="H104" s="416"/>
      <c r="I104" s="416"/>
      <c r="J104" s="608">
        <f t="shared" si="79"/>
        <v>0</v>
      </c>
      <c r="K104" s="416"/>
      <c r="L104" s="416"/>
      <c r="M104" s="416"/>
      <c r="N104" s="416"/>
      <c r="O104" s="609">
        <f>K104</f>
        <v>0</v>
      </c>
      <c r="P104" s="608">
        <f t="shared" si="81"/>
        <v>353047</v>
      </c>
      <c r="R104" s="277"/>
    </row>
    <row r="105" spans="1:18" s="85" customFormat="1" ht="276" thickTop="1" thickBot="1" x14ac:dyDescent="0.25">
      <c r="A105" s="552" t="s">
        <v>929</v>
      </c>
      <c r="B105" s="552" t="s">
        <v>930</v>
      </c>
      <c r="C105" s="552"/>
      <c r="D105" s="552" t="s">
        <v>931</v>
      </c>
      <c r="E105" s="553">
        <f>SUM(E106:E107)</f>
        <v>35503210</v>
      </c>
      <c r="F105" s="553">
        <f t="shared" ref="F105:P105" si="94">SUM(F106:F107)</f>
        <v>35503210</v>
      </c>
      <c r="G105" s="553">
        <f t="shared" si="94"/>
        <v>25148685</v>
      </c>
      <c r="H105" s="553">
        <f t="shared" si="94"/>
        <v>742295</v>
      </c>
      <c r="I105" s="553">
        <f t="shared" si="94"/>
        <v>0</v>
      </c>
      <c r="J105" s="553">
        <f t="shared" si="94"/>
        <v>321440</v>
      </c>
      <c r="K105" s="553">
        <f t="shared" si="94"/>
        <v>171440</v>
      </c>
      <c r="L105" s="553">
        <f t="shared" si="94"/>
        <v>150000</v>
      </c>
      <c r="M105" s="553">
        <f t="shared" si="94"/>
        <v>100000</v>
      </c>
      <c r="N105" s="553">
        <f t="shared" si="94"/>
        <v>3000</v>
      </c>
      <c r="O105" s="553">
        <f t="shared" si="94"/>
        <v>171440</v>
      </c>
      <c r="P105" s="553">
        <f t="shared" si="94"/>
        <v>35824650</v>
      </c>
      <c r="Q105" s="273"/>
      <c r="R105" s="554"/>
    </row>
    <row r="106" spans="1:18" ht="276" thickTop="1" thickBot="1" x14ac:dyDescent="0.25">
      <c r="A106" s="360" t="s">
        <v>292</v>
      </c>
      <c r="B106" s="360" t="s">
        <v>290</v>
      </c>
      <c r="C106" s="360" t="s">
        <v>225</v>
      </c>
      <c r="D106" s="360" t="s">
        <v>17</v>
      </c>
      <c r="E106" s="415">
        <f t="shared" si="89"/>
        <v>27961120</v>
      </c>
      <c r="F106" s="416">
        <f>(27960820)-25000+2060+10800+12440</f>
        <v>27961120</v>
      </c>
      <c r="G106" s="416">
        <v>19746545</v>
      </c>
      <c r="H106" s="416">
        <f>(266000+30800+72660+10800)+2060+10800+12440</f>
        <v>405560</v>
      </c>
      <c r="I106" s="416"/>
      <c r="J106" s="415">
        <f t="shared" si="79"/>
        <v>278000</v>
      </c>
      <c r="K106" s="416">
        <f>58000+15000+25000+30000</f>
        <v>128000</v>
      </c>
      <c r="L106" s="416">
        <f>(100000+22000+15000+4000+6000+1500+500+1000)</f>
        <v>150000</v>
      </c>
      <c r="M106" s="416">
        <v>100000</v>
      </c>
      <c r="N106" s="416">
        <f>(1500+500+1000)</f>
        <v>3000</v>
      </c>
      <c r="O106" s="417">
        <f t="shared" si="88"/>
        <v>128000</v>
      </c>
      <c r="P106" s="415">
        <f t="shared" si="81"/>
        <v>28239120</v>
      </c>
      <c r="R106" s="317" t="b">
        <f>K106='d6'!J95</f>
        <v>1</v>
      </c>
    </row>
    <row r="107" spans="1:18" ht="138.75" thickTop="1" thickBot="1" x14ac:dyDescent="0.25">
      <c r="A107" s="360" t="s">
        <v>293</v>
      </c>
      <c r="B107" s="360" t="s">
        <v>291</v>
      </c>
      <c r="C107" s="360" t="s">
        <v>224</v>
      </c>
      <c r="D107" s="360" t="s">
        <v>501</v>
      </c>
      <c r="E107" s="415">
        <f t="shared" si="89"/>
        <v>7542090</v>
      </c>
      <c r="F107" s="416">
        <f>(7298180)+112800+1570+107500+19900+2140</f>
        <v>7542090</v>
      </c>
      <c r="G107" s="416">
        <f>(3013390+2388750)</f>
        <v>5402140</v>
      </c>
      <c r="H107" s="416">
        <f>(133610+1950+28250+148195+4870+19620+240)</f>
        <v>336735</v>
      </c>
      <c r="I107" s="416"/>
      <c r="J107" s="415">
        <f t="shared" si="79"/>
        <v>43440</v>
      </c>
      <c r="K107" s="416">
        <v>43440</v>
      </c>
      <c r="L107" s="416"/>
      <c r="M107" s="416"/>
      <c r="N107" s="416"/>
      <c r="O107" s="417">
        <f t="shared" si="88"/>
        <v>43440</v>
      </c>
      <c r="P107" s="415">
        <f t="shared" si="81"/>
        <v>7585530</v>
      </c>
      <c r="R107" s="317" t="b">
        <f>K107='d6'!J96</f>
        <v>1</v>
      </c>
    </row>
    <row r="108" spans="1:18" ht="409.6" thickTop="1" thickBot="1" x14ac:dyDescent="0.25">
      <c r="A108" s="360" t="s">
        <v>288</v>
      </c>
      <c r="B108" s="360" t="s">
        <v>289</v>
      </c>
      <c r="C108" s="360" t="s">
        <v>224</v>
      </c>
      <c r="D108" s="360" t="s">
        <v>499</v>
      </c>
      <c r="E108" s="415">
        <f t="shared" si="89"/>
        <v>2242695</v>
      </c>
      <c r="F108" s="405">
        <f>(1242695)+1000000</f>
        <v>2242695</v>
      </c>
      <c r="G108" s="416"/>
      <c r="H108" s="416"/>
      <c r="I108" s="416"/>
      <c r="J108" s="415">
        <f t="shared" si="79"/>
        <v>0</v>
      </c>
      <c r="K108" s="415"/>
      <c r="L108" s="416"/>
      <c r="M108" s="416"/>
      <c r="N108" s="416"/>
      <c r="O108" s="417">
        <f t="shared" si="88"/>
        <v>0</v>
      </c>
      <c r="P108" s="415">
        <f>+J108+E108</f>
        <v>2242695</v>
      </c>
      <c r="R108" s="277"/>
    </row>
    <row r="109" spans="1:18" s="617" customFormat="1" ht="138.75" thickTop="1" thickBot="1" x14ac:dyDescent="0.25">
      <c r="A109" s="552" t="s">
        <v>1098</v>
      </c>
      <c r="B109" s="552" t="s">
        <v>1099</v>
      </c>
      <c r="C109" s="552"/>
      <c r="D109" s="552" t="s">
        <v>1100</v>
      </c>
      <c r="E109" s="553">
        <f t="shared" si="89"/>
        <v>147491</v>
      </c>
      <c r="F109" s="553">
        <f>F110</f>
        <v>147491</v>
      </c>
      <c r="G109" s="553">
        <f t="shared" ref="G109:I109" si="95">G110</f>
        <v>0</v>
      </c>
      <c r="H109" s="553">
        <f t="shared" si="95"/>
        <v>0</v>
      </c>
      <c r="I109" s="553">
        <f t="shared" si="95"/>
        <v>0</v>
      </c>
      <c r="J109" s="553">
        <f t="shared" si="79"/>
        <v>0</v>
      </c>
      <c r="K109" s="553">
        <f t="shared" ref="K109:N109" si="96">K110</f>
        <v>0</v>
      </c>
      <c r="L109" s="553">
        <f t="shared" si="96"/>
        <v>0</v>
      </c>
      <c r="M109" s="553">
        <f t="shared" si="96"/>
        <v>0</v>
      </c>
      <c r="N109" s="553">
        <f t="shared" si="96"/>
        <v>0</v>
      </c>
      <c r="O109" s="553">
        <f t="shared" si="88"/>
        <v>0</v>
      </c>
      <c r="P109" s="553">
        <f>+J109+E109</f>
        <v>147491</v>
      </c>
      <c r="Q109" s="622"/>
      <c r="R109" s="277"/>
    </row>
    <row r="110" spans="1:18" ht="276" thickTop="1" thickBot="1" x14ac:dyDescent="0.25">
      <c r="A110" s="621" t="s">
        <v>539</v>
      </c>
      <c r="B110" s="621" t="s">
        <v>540</v>
      </c>
      <c r="C110" s="621" t="s">
        <v>224</v>
      </c>
      <c r="D110" s="621" t="s">
        <v>541</v>
      </c>
      <c r="E110" s="618">
        <f t="shared" si="89"/>
        <v>147491</v>
      </c>
      <c r="F110" s="416">
        <v>147491</v>
      </c>
      <c r="G110" s="416"/>
      <c r="H110" s="416"/>
      <c r="I110" s="416"/>
      <c r="J110" s="618">
        <f t="shared" si="79"/>
        <v>0</v>
      </c>
      <c r="K110" s="618"/>
      <c r="L110" s="416"/>
      <c r="M110" s="416"/>
      <c r="N110" s="416"/>
      <c r="O110" s="620">
        <f t="shared" si="88"/>
        <v>0</v>
      </c>
      <c r="P110" s="618">
        <f>+J110+E110</f>
        <v>147491</v>
      </c>
      <c r="R110" s="277"/>
    </row>
    <row r="111" spans="1:18" ht="367.5" thickTop="1" thickBot="1" x14ac:dyDescent="0.25">
      <c r="A111" s="360" t="s">
        <v>382</v>
      </c>
      <c r="B111" s="360" t="s">
        <v>381</v>
      </c>
      <c r="C111" s="360" t="s">
        <v>52</v>
      </c>
      <c r="D111" s="360" t="s">
        <v>500</v>
      </c>
      <c r="E111" s="415">
        <f t="shared" si="89"/>
        <v>2625425</v>
      </c>
      <c r="F111" s="416">
        <v>2625425</v>
      </c>
      <c r="G111" s="416"/>
      <c r="H111" s="416"/>
      <c r="I111" s="416"/>
      <c r="J111" s="415">
        <f t="shared" si="79"/>
        <v>0</v>
      </c>
      <c r="K111" s="415"/>
      <c r="L111" s="416"/>
      <c r="M111" s="416"/>
      <c r="N111" s="416"/>
      <c r="O111" s="417">
        <f t="shared" si="88"/>
        <v>0</v>
      </c>
      <c r="P111" s="415">
        <f>E111+J111</f>
        <v>2625425</v>
      </c>
      <c r="R111" s="277"/>
    </row>
    <row r="112" spans="1:18" s="85" customFormat="1" ht="93" thickTop="1" thickBot="1" x14ac:dyDescent="0.25">
      <c r="A112" s="552" t="s">
        <v>932</v>
      </c>
      <c r="B112" s="552" t="s">
        <v>933</v>
      </c>
      <c r="C112" s="552"/>
      <c r="D112" s="552" t="s">
        <v>934</v>
      </c>
      <c r="E112" s="553">
        <f>E113</f>
        <v>500000</v>
      </c>
      <c r="F112" s="553">
        <f t="shared" ref="F112:P112" si="97">F113</f>
        <v>500000</v>
      </c>
      <c r="G112" s="553">
        <f t="shared" si="97"/>
        <v>0</v>
      </c>
      <c r="H112" s="553">
        <f t="shared" si="97"/>
        <v>0</v>
      </c>
      <c r="I112" s="553">
        <f t="shared" si="97"/>
        <v>0</v>
      </c>
      <c r="J112" s="553">
        <f t="shared" si="97"/>
        <v>0</v>
      </c>
      <c r="K112" s="553">
        <f t="shared" si="97"/>
        <v>0</v>
      </c>
      <c r="L112" s="553">
        <f t="shared" si="97"/>
        <v>0</v>
      </c>
      <c r="M112" s="553">
        <f t="shared" si="97"/>
        <v>0</v>
      </c>
      <c r="N112" s="553">
        <f t="shared" si="97"/>
        <v>0</v>
      </c>
      <c r="O112" s="553">
        <f t="shared" si="97"/>
        <v>0</v>
      </c>
      <c r="P112" s="553">
        <f t="shared" si="97"/>
        <v>500000</v>
      </c>
      <c r="Q112" s="273"/>
      <c r="R112" s="554"/>
    </row>
    <row r="113" spans="1:18" ht="230.25" thickTop="1" thickBot="1" x14ac:dyDescent="0.25">
      <c r="A113" s="360" t="s">
        <v>358</v>
      </c>
      <c r="B113" s="360" t="s">
        <v>359</v>
      </c>
      <c r="C113" s="360" t="s">
        <v>230</v>
      </c>
      <c r="D113" s="360" t="s">
        <v>830</v>
      </c>
      <c r="E113" s="415">
        <f t="shared" si="89"/>
        <v>500000</v>
      </c>
      <c r="F113" s="416">
        <f>(500000)</f>
        <v>500000</v>
      </c>
      <c r="G113" s="416"/>
      <c r="H113" s="416"/>
      <c r="I113" s="416"/>
      <c r="J113" s="415">
        <f t="shared" si="79"/>
        <v>0</v>
      </c>
      <c r="K113" s="416"/>
      <c r="L113" s="416"/>
      <c r="M113" s="416"/>
      <c r="N113" s="416"/>
      <c r="O113" s="417">
        <f t="shared" si="88"/>
        <v>0</v>
      </c>
      <c r="P113" s="415">
        <f>E113+J113</f>
        <v>500000</v>
      </c>
      <c r="R113" s="277"/>
    </row>
    <row r="114" spans="1:18" s="85" customFormat="1" ht="184.5" thickTop="1" thickBot="1" x14ac:dyDescent="0.25">
      <c r="A114" s="552" t="s">
        <v>935</v>
      </c>
      <c r="B114" s="552" t="s">
        <v>936</v>
      </c>
      <c r="C114" s="552"/>
      <c r="D114" s="552" t="s">
        <v>937</v>
      </c>
      <c r="E114" s="553">
        <f t="shared" ref="E114:P114" si="98">E115</f>
        <v>100040</v>
      </c>
      <c r="F114" s="553">
        <f t="shared" si="98"/>
        <v>100040</v>
      </c>
      <c r="G114" s="553">
        <f t="shared" si="98"/>
        <v>82000</v>
      </c>
      <c r="H114" s="553">
        <f t="shared" si="98"/>
        <v>0</v>
      </c>
      <c r="I114" s="553">
        <f t="shared" si="98"/>
        <v>0</v>
      </c>
      <c r="J114" s="553">
        <f t="shared" si="98"/>
        <v>0</v>
      </c>
      <c r="K114" s="553">
        <f t="shared" si="98"/>
        <v>0</v>
      </c>
      <c r="L114" s="553">
        <f t="shared" si="98"/>
        <v>0</v>
      </c>
      <c r="M114" s="553">
        <f t="shared" si="98"/>
        <v>0</v>
      </c>
      <c r="N114" s="553">
        <f t="shared" si="98"/>
        <v>0</v>
      </c>
      <c r="O114" s="553">
        <f t="shared" si="98"/>
        <v>0</v>
      </c>
      <c r="P114" s="553">
        <f t="shared" si="98"/>
        <v>100040</v>
      </c>
      <c r="Q114" s="273"/>
      <c r="R114" s="554"/>
    </row>
    <row r="115" spans="1:18" ht="93" thickTop="1" thickBot="1" x14ac:dyDescent="0.25">
      <c r="A115" s="360" t="s">
        <v>466</v>
      </c>
      <c r="B115" s="360" t="s">
        <v>408</v>
      </c>
      <c r="C115" s="360" t="s">
        <v>409</v>
      </c>
      <c r="D115" s="360" t="s">
        <v>407</v>
      </c>
      <c r="E115" s="435">
        <f t="shared" si="89"/>
        <v>100040</v>
      </c>
      <c r="F115" s="416">
        <v>100040</v>
      </c>
      <c r="G115" s="416">
        <v>82000</v>
      </c>
      <c r="H115" s="416"/>
      <c r="I115" s="416"/>
      <c r="J115" s="415">
        <f t="shared" si="79"/>
        <v>0</v>
      </c>
      <c r="K115" s="416"/>
      <c r="L115" s="416"/>
      <c r="M115" s="416"/>
      <c r="N115" s="416"/>
      <c r="O115" s="417">
        <f t="shared" si="88"/>
        <v>0</v>
      </c>
      <c r="P115" s="415">
        <f>E115+J115</f>
        <v>100040</v>
      </c>
      <c r="R115" s="277"/>
    </row>
    <row r="116" spans="1:18" s="85" customFormat="1" ht="48" thickTop="1" thickBot="1" x14ac:dyDescent="0.25">
      <c r="A116" s="552" t="s">
        <v>938</v>
      </c>
      <c r="B116" s="552" t="s">
        <v>939</v>
      </c>
      <c r="C116" s="552"/>
      <c r="D116" s="552" t="s">
        <v>940</v>
      </c>
      <c r="E116" s="553">
        <f>SUM(E117:E118)</f>
        <v>35626145</v>
      </c>
      <c r="F116" s="553">
        <f t="shared" ref="F116:P116" si="99">SUM(F117:F118)</f>
        <v>35626145</v>
      </c>
      <c r="G116" s="553">
        <f t="shared" si="99"/>
        <v>4244615</v>
      </c>
      <c r="H116" s="553">
        <f t="shared" si="99"/>
        <v>490327</v>
      </c>
      <c r="I116" s="553">
        <f t="shared" si="99"/>
        <v>0</v>
      </c>
      <c r="J116" s="553">
        <f t="shared" si="99"/>
        <v>683340</v>
      </c>
      <c r="K116" s="553">
        <f t="shared" si="99"/>
        <v>538340</v>
      </c>
      <c r="L116" s="553">
        <f t="shared" si="99"/>
        <v>145000</v>
      </c>
      <c r="M116" s="553">
        <f t="shared" si="99"/>
        <v>4000</v>
      </c>
      <c r="N116" s="553">
        <f t="shared" si="99"/>
        <v>134000</v>
      </c>
      <c r="O116" s="553">
        <f t="shared" si="99"/>
        <v>538340</v>
      </c>
      <c r="P116" s="553">
        <f t="shared" si="99"/>
        <v>36309485</v>
      </c>
      <c r="Q116" s="273"/>
      <c r="R116" s="554"/>
    </row>
    <row r="117" spans="1:18" ht="184.5" thickTop="1" thickBot="1" x14ac:dyDescent="0.25">
      <c r="A117" s="360" t="s">
        <v>360</v>
      </c>
      <c r="B117" s="360" t="s">
        <v>362</v>
      </c>
      <c r="C117" s="360" t="s">
        <v>216</v>
      </c>
      <c r="D117" s="434" t="s">
        <v>364</v>
      </c>
      <c r="E117" s="426">
        <f t="shared" si="89"/>
        <v>7847022</v>
      </c>
      <c r="F117" s="416">
        <f>(8173362-388340)+17000+45000</f>
        <v>7847022</v>
      </c>
      <c r="G117" s="247">
        <f>(1948670+2295945)</f>
        <v>4244615</v>
      </c>
      <c r="H117" s="247">
        <f>(245557+131600+6000+27000+40000+39000+1170)</f>
        <v>490327</v>
      </c>
      <c r="I117" s="416"/>
      <c r="J117" s="415">
        <f t="shared" ref="J117:J128" si="100">L117+O117</f>
        <v>533340</v>
      </c>
      <c r="K117" s="416">
        <f>(72894+138259+40788+136399)</f>
        <v>388340</v>
      </c>
      <c r="L117" s="416">
        <f>(4000+900+6100+23000+65000+45000+1000)</f>
        <v>145000</v>
      </c>
      <c r="M117" s="416">
        <v>4000</v>
      </c>
      <c r="N117" s="416">
        <f>(23000+65000+45000+1000)</f>
        <v>134000</v>
      </c>
      <c r="O117" s="417">
        <f t="shared" ref="O117:O128" si="101">K117</f>
        <v>388340</v>
      </c>
      <c r="P117" s="415">
        <f t="shared" ref="P117:P128" si="102">E117+J117</f>
        <v>8380362</v>
      </c>
      <c r="R117" s="317" t="b">
        <f>K117='d6'!J97</f>
        <v>1</v>
      </c>
    </row>
    <row r="118" spans="1:18" ht="138.75" thickTop="1" thickBot="1" x14ac:dyDescent="0.25">
      <c r="A118" s="360" t="s">
        <v>361</v>
      </c>
      <c r="B118" s="360" t="s">
        <v>363</v>
      </c>
      <c r="C118" s="360" t="s">
        <v>216</v>
      </c>
      <c r="D118" s="434" t="s">
        <v>365</v>
      </c>
      <c r="E118" s="415">
        <f t="shared" si="89"/>
        <v>27779123</v>
      </c>
      <c r="F118" s="416">
        <f>(27403151)+44000+81972+200000+50000</f>
        <v>27779123</v>
      </c>
      <c r="G118" s="416"/>
      <c r="H118" s="416"/>
      <c r="I118" s="416"/>
      <c r="J118" s="415">
        <f t="shared" si="100"/>
        <v>150000</v>
      </c>
      <c r="K118" s="416">
        <v>150000</v>
      </c>
      <c r="L118" s="416"/>
      <c r="M118" s="416"/>
      <c r="N118" s="416"/>
      <c r="O118" s="417">
        <f t="shared" si="101"/>
        <v>150000</v>
      </c>
      <c r="P118" s="415">
        <f t="shared" si="102"/>
        <v>27929123</v>
      </c>
      <c r="R118" s="317" t="b">
        <f>K118='d6'!J98</f>
        <v>1</v>
      </c>
    </row>
    <row r="119" spans="1:18" s="490" customFormat="1" ht="91.5" thickTop="1" thickBot="1" x14ac:dyDescent="0.25">
      <c r="A119" s="251" t="s">
        <v>941</v>
      </c>
      <c r="B119" s="251" t="s">
        <v>942</v>
      </c>
      <c r="C119" s="251"/>
      <c r="D119" s="556" t="s">
        <v>943</v>
      </c>
      <c r="E119" s="493">
        <f>SUM(E120)</f>
        <v>0</v>
      </c>
      <c r="F119" s="493">
        <f t="shared" ref="F119:P120" si="103">SUM(F120)</f>
        <v>0</v>
      </c>
      <c r="G119" s="493">
        <f t="shared" si="103"/>
        <v>0</v>
      </c>
      <c r="H119" s="493">
        <f t="shared" si="103"/>
        <v>0</v>
      </c>
      <c r="I119" s="493">
        <f t="shared" si="103"/>
        <v>0</v>
      </c>
      <c r="J119" s="493">
        <f t="shared" si="103"/>
        <v>4000000</v>
      </c>
      <c r="K119" s="493">
        <f t="shared" si="103"/>
        <v>4000000</v>
      </c>
      <c r="L119" s="493">
        <f t="shared" si="103"/>
        <v>0</v>
      </c>
      <c r="M119" s="493">
        <f t="shared" si="103"/>
        <v>0</v>
      </c>
      <c r="N119" s="493">
        <f t="shared" si="103"/>
        <v>0</v>
      </c>
      <c r="O119" s="493">
        <f t="shared" si="103"/>
        <v>4000000</v>
      </c>
      <c r="P119" s="493">
        <f t="shared" si="103"/>
        <v>4000000</v>
      </c>
      <c r="Q119" s="495"/>
      <c r="R119" s="317"/>
    </row>
    <row r="120" spans="1:18" s="85" customFormat="1" ht="93" thickTop="1" thickBot="1" x14ac:dyDescent="0.25">
      <c r="A120" s="552" t="s">
        <v>944</v>
      </c>
      <c r="B120" s="552" t="s">
        <v>945</v>
      </c>
      <c r="C120" s="552"/>
      <c r="D120" s="558" t="s">
        <v>946</v>
      </c>
      <c r="E120" s="553">
        <f>SUM(E121)</f>
        <v>0</v>
      </c>
      <c r="F120" s="553">
        <f t="shared" si="103"/>
        <v>0</v>
      </c>
      <c r="G120" s="553">
        <f t="shared" si="103"/>
        <v>0</v>
      </c>
      <c r="H120" s="553">
        <f t="shared" si="103"/>
        <v>0</v>
      </c>
      <c r="I120" s="553">
        <f t="shared" si="103"/>
        <v>0</v>
      </c>
      <c r="J120" s="553">
        <f t="shared" si="103"/>
        <v>4000000</v>
      </c>
      <c r="K120" s="553">
        <f t="shared" si="103"/>
        <v>4000000</v>
      </c>
      <c r="L120" s="553">
        <f t="shared" si="103"/>
        <v>0</v>
      </c>
      <c r="M120" s="553">
        <f t="shared" si="103"/>
        <v>0</v>
      </c>
      <c r="N120" s="553">
        <f t="shared" si="103"/>
        <v>0</v>
      </c>
      <c r="O120" s="553">
        <f t="shared" si="103"/>
        <v>4000000</v>
      </c>
      <c r="P120" s="553">
        <f t="shared" si="103"/>
        <v>4000000</v>
      </c>
      <c r="Q120" s="273"/>
      <c r="R120" s="560"/>
    </row>
    <row r="121" spans="1:18" ht="138.75" thickTop="1" thickBot="1" x14ac:dyDescent="0.25">
      <c r="A121" s="360" t="s">
        <v>403</v>
      </c>
      <c r="B121" s="360" t="s">
        <v>401</v>
      </c>
      <c r="C121" s="360" t="s">
        <v>373</v>
      </c>
      <c r="D121" s="434" t="s">
        <v>402</v>
      </c>
      <c r="E121" s="415">
        <f t="shared" si="89"/>
        <v>0</v>
      </c>
      <c r="F121" s="416"/>
      <c r="G121" s="416"/>
      <c r="H121" s="416"/>
      <c r="I121" s="416"/>
      <c r="J121" s="415">
        <f t="shared" si="100"/>
        <v>4000000</v>
      </c>
      <c r="K121" s="416">
        <v>4000000</v>
      </c>
      <c r="L121" s="416"/>
      <c r="M121" s="416"/>
      <c r="N121" s="416"/>
      <c r="O121" s="417">
        <f t="shared" si="101"/>
        <v>4000000</v>
      </c>
      <c r="P121" s="415">
        <f t="shared" si="102"/>
        <v>4000000</v>
      </c>
      <c r="R121" s="317" t="b">
        <f>K121='d6'!J99</f>
        <v>1</v>
      </c>
    </row>
    <row r="122" spans="1:18" s="490" customFormat="1" ht="47.25" thickTop="1" thickBot="1" x14ac:dyDescent="0.25">
      <c r="A122" s="562" t="s">
        <v>951</v>
      </c>
      <c r="B122" s="561" t="s">
        <v>948</v>
      </c>
      <c r="C122" s="561"/>
      <c r="D122" s="561" t="s">
        <v>949</v>
      </c>
      <c r="E122" s="493">
        <f t="shared" ref="E122:P122" si="104">E126+E123</f>
        <v>0</v>
      </c>
      <c r="F122" s="728">
        <f t="shared" si="104"/>
        <v>0</v>
      </c>
      <c r="G122" s="728">
        <f t="shared" si="104"/>
        <v>0</v>
      </c>
      <c r="H122" s="728">
        <f t="shared" si="104"/>
        <v>0</v>
      </c>
      <c r="I122" s="728">
        <f t="shared" si="104"/>
        <v>0</v>
      </c>
      <c r="J122" s="728">
        <f t="shared" si="104"/>
        <v>542000</v>
      </c>
      <c r="K122" s="728">
        <f t="shared" si="104"/>
        <v>220000</v>
      </c>
      <c r="L122" s="728">
        <f t="shared" si="104"/>
        <v>322000</v>
      </c>
      <c r="M122" s="728">
        <f t="shared" si="104"/>
        <v>0</v>
      </c>
      <c r="N122" s="728">
        <f t="shared" si="104"/>
        <v>0</v>
      </c>
      <c r="O122" s="728">
        <f t="shared" si="104"/>
        <v>220000</v>
      </c>
      <c r="P122" s="728">
        <f t="shared" si="104"/>
        <v>542000</v>
      </c>
      <c r="Q122" s="495"/>
      <c r="R122" s="317"/>
    </row>
    <row r="123" spans="1:18" s="725" customFormat="1" ht="91.5" thickTop="1" thickBot="1" x14ac:dyDescent="0.25">
      <c r="A123" s="506" t="s">
        <v>1198</v>
      </c>
      <c r="B123" s="507" t="s">
        <v>1004</v>
      </c>
      <c r="C123" s="507"/>
      <c r="D123" s="507" t="s">
        <v>1005</v>
      </c>
      <c r="E123" s="555">
        <f>E124</f>
        <v>0</v>
      </c>
      <c r="F123" s="555">
        <f t="shared" ref="F123:P127" si="105">F124</f>
        <v>0</v>
      </c>
      <c r="G123" s="555">
        <f t="shared" si="105"/>
        <v>0</v>
      </c>
      <c r="H123" s="555">
        <f t="shared" si="105"/>
        <v>0</v>
      </c>
      <c r="I123" s="555">
        <f t="shared" si="105"/>
        <v>0</v>
      </c>
      <c r="J123" s="555">
        <f t="shared" si="105"/>
        <v>220000</v>
      </c>
      <c r="K123" s="555">
        <f t="shared" si="105"/>
        <v>220000</v>
      </c>
      <c r="L123" s="555">
        <f t="shared" si="105"/>
        <v>0</v>
      </c>
      <c r="M123" s="555">
        <f t="shared" si="105"/>
        <v>0</v>
      </c>
      <c r="N123" s="555">
        <f t="shared" si="105"/>
        <v>0</v>
      </c>
      <c r="O123" s="555">
        <f t="shared" si="105"/>
        <v>220000</v>
      </c>
      <c r="P123" s="555">
        <f t="shared" si="105"/>
        <v>220000</v>
      </c>
      <c r="Q123" s="737"/>
      <c r="R123" s="317"/>
    </row>
    <row r="124" spans="1:18" s="725" customFormat="1" ht="146.25" thickTop="1" thickBot="1" x14ac:dyDescent="0.25">
      <c r="A124" s="464" t="s">
        <v>1194</v>
      </c>
      <c r="B124" s="464" t="s">
        <v>1023</v>
      </c>
      <c r="C124" s="464"/>
      <c r="D124" s="464" t="s">
        <v>1024</v>
      </c>
      <c r="E124" s="466">
        <f>E125</f>
        <v>0</v>
      </c>
      <c r="F124" s="466">
        <f t="shared" si="105"/>
        <v>0</v>
      </c>
      <c r="G124" s="466">
        <f t="shared" si="105"/>
        <v>0</v>
      </c>
      <c r="H124" s="466">
        <f t="shared" si="105"/>
        <v>0</v>
      </c>
      <c r="I124" s="466">
        <f t="shared" si="105"/>
        <v>0</v>
      </c>
      <c r="J124" s="466">
        <f t="shared" si="105"/>
        <v>220000</v>
      </c>
      <c r="K124" s="466">
        <f t="shared" si="105"/>
        <v>220000</v>
      </c>
      <c r="L124" s="466">
        <f t="shared" si="105"/>
        <v>0</v>
      </c>
      <c r="M124" s="466">
        <f t="shared" si="105"/>
        <v>0</v>
      </c>
      <c r="N124" s="466">
        <f t="shared" si="105"/>
        <v>0</v>
      </c>
      <c r="O124" s="466">
        <f t="shared" si="105"/>
        <v>220000</v>
      </c>
      <c r="P124" s="466">
        <f t="shared" si="105"/>
        <v>220000</v>
      </c>
      <c r="Q124" s="737"/>
      <c r="R124" s="317"/>
    </row>
    <row r="125" spans="1:18" s="725" customFormat="1" ht="99.75" thickTop="1" thickBot="1" x14ac:dyDescent="0.25">
      <c r="A125" s="731" t="s">
        <v>1195</v>
      </c>
      <c r="B125" s="731" t="s">
        <v>1196</v>
      </c>
      <c r="C125" s="731" t="s">
        <v>330</v>
      </c>
      <c r="D125" s="731" t="s">
        <v>1197</v>
      </c>
      <c r="E125" s="732">
        <f>E126</f>
        <v>0</v>
      </c>
      <c r="F125" s="405"/>
      <c r="G125" s="405"/>
      <c r="H125" s="405"/>
      <c r="I125" s="405"/>
      <c r="J125" s="732">
        <f>L125+O125</f>
        <v>220000</v>
      </c>
      <c r="K125" s="405">
        <f>180000+40000</f>
        <v>220000</v>
      </c>
      <c r="L125" s="405"/>
      <c r="M125" s="405"/>
      <c r="N125" s="405"/>
      <c r="O125" s="729">
        <f>K125</f>
        <v>220000</v>
      </c>
      <c r="P125" s="732">
        <f>E125+J125</f>
        <v>220000</v>
      </c>
      <c r="Q125" s="737"/>
      <c r="R125" s="317" t="b">
        <f>K125='d6'!J100</f>
        <v>1</v>
      </c>
    </row>
    <row r="126" spans="1:18" s="490" customFormat="1" ht="136.5" thickTop="1" thickBot="1" x14ac:dyDescent="0.25">
      <c r="A126" s="506" t="s">
        <v>953</v>
      </c>
      <c r="B126" s="507" t="s">
        <v>887</v>
      </c>
      <c r="C126" s="507"/>
      <c r="D126" s="507" t="s">
        <v>885</v>
      </c>
      <c r="E126" s="555">
        <f>E127</f>
        <v>0</v>
      </c>
      <c r="F126" s="555">
        <f t="shared" si="105"/>
        <v>0</v>
      </c>
      <c r="G126" s="555">
        <f t="shared" si="105"/>
        <v>0</v>
      </c>
      <c r="H126" s="555">
        <f t="shared" si="105"/>
        <v>0</v>
      </c>
      <c r="I126" s="555">
        <f t="shared" si="105"/>
        <v>0</v>
      </c>
      <c r="J126" s="555">
        <f t="shared" si="105"/>
        <v>322000</v>
      </c>
      <c r="K126" s="555">
        <f t="shared" si="105"/>
        <v>0</v>
      </c>
      <c r="L126" s="555">
        <f t="shared" si="105"/>
        <v>322000</v>
      </c>
      <c r="M126" s="555">
        <f t="shared" si="105"/>
        <v>0</v>
      </c>
      <c r="N126" s="555">
        <f t="shared" si="105"/>
        <v>0</v>
      </c>
      <c r="O126" s="555">
        <f t="shared" si="105"/>
        <v>0</v>
      </c>
      <c r="P126" s="555">
        <f t="shared" si="105"/>
        <v>322000</v>
      </c>
      <c r="Q126" s="495"/>
      <c r="R126" s="317"/>
    </row>
    <row r="127" spans="1:18" s="490" customFormat="1" ht="48" thickTop="1" thickBot="1" x14ac:dyDescent="0.25">
      <c r="A127" s="505" t="s">
        <v>952</v>
      </c>
      <c r="B127" s="505" t="s">
        <v>890</v>
      </c>
      <c r="C127" s="505"/>
      <c r="D127" s="558" t="s">
        <v>888</v>
      </c>
      <c r="E127" s="553">
        <f>E128</f>
        <v>0</v>
      </c>
      <c r="F127" s="553">
        <f t="shared" si="105"/>
        <v>0</v>
      </c>
      <c r="G127" s="553">
        <f t="shared" si="105"/>
        <v>0</v>
      </c>
      <c r="H127" s="553">
        <f t="shared" si="105"/>
        <v>0</v>
      </c>
      <c r="I127" s="553">
        <f t="shared" si="105"/>
        <v>0</v>
      </c>
      <c r="J127" s="553">
        <f t="shared" si="105"/>
        <v>322000</v>
      </c>
      <c r="K127" s="553">
        <f t="shared" si="105"/>
        <v>0</v>
      </c>
      <c r="L127" s="553">
        <f t="shared" si="105"/>
        <v>322000</v>
      </c>
      <c r="M127" s="553">
        <f t="shared" si="105"/>
        <v>0</v>
      </c>
      <c r="N127" s="553">
        <f t="shared" si="105"/>
        <v>0</v>
      </c>
      <c r="O127" s="553">
        <f t="shared" si="105"/>
        <v>0</v>
      </c>
      <c r="P127" s="553">
        <f t="shared" si="105"/>
        <v>322000</v>
      </c>
      <c r="Q127" s="495"/>
      <c r="R127" s="317"/>
    </row>
    <row r="128" spans="1:18" ht="409.6" thickTop="1" thickBot="1" x14ac:dyDescent="0.7">
      <c r="A128" s="875" t="s">
        <v>461</v>
      </c>
      <c r="B128" s="875" t="s">
        <v>371</v>
      </c>
      <c r="C128" s="875" t="s">
        <v>191</v>
      </c>
      <c r="D128" s="420" t="s">
        <v>483</v>
      </c>
      <c r="E128" s="864">
        <f t="shared" si="89"/>
        <v>0</v>
      </c>
      <c r="F128" s="866"/>
      <c r="G128" s="866"/>
      <c r="H128" s="866"/>
      <c r="I128" s="866"/>
      <c r="J128" s="864">
        <f t="shared" si="100"/>
        <v>322000</v>
      </c>
      <c r="K128" s="866"/>
      <c r="L128" s="866">
        <v>322000</v>
      </c>
      <c r="M128" s="866"/>
      <c r="N128" s="866"/>
      <c r="O128" s="868">
        <f t="shared" si="101"/>
        <v>0</v>
      </c>
      <c r="P128" s="870">
        <f t="shared" si="102"/>
        <v>322000</v>
      </c>
      <c r="R128" s="277"/>
    </row>
    <row r="129" spans="1:18" ht="184.5" thickTop="1" thickBot="1" x14ac:dyDescent="0.25">
      <c r="A129" s="865"/>
      <c r="B129" s="876"/>
      <c r="C129" s="865"/>
      <c r="D129" s="424" t="s">
        <v>484</v>
      </c>
      <c r="E129" s="865"/>
      <c r="F129" s="867"/>
      <c r="G129" s="867"/>
      <c r="H129" s="867"/>
      <c r="I129" s="867"/>
      <c r="J129" s="865"/>
      <c r="K129" s="865"/>
      <c r="L129" s="867"/>
      <c r="M129" s="867"/>
      <c r="N129" s="867"/>
      <c r="O129" s="869"/>
      <c r="P129" s="871"/>
      <c r="R129" s="277"/>
    </row>
    <row r="130" spans="1:18" ht="181.5" thickTop="1" thickBot="1" x14ac:dyDescent="0.25">
      <c r="A130" s="680">
        <v>1000000</v>
      </c>
      <c r="B130" s="680"/>
      <c r="C130" s="680"/>
      <c r="D130" s="681" t="s">
        <v>24</v>
      </c>
      <c r="E130" s="682">
        <f>E131</f>
        <v>123163207</v>
      </c>
      <c r="F130" s="683">
        <f t="shared" ref="F130:G130" si="106">F131</f>
        <v>123163207</v>
      </c>
      <c r="G130" s="683">
        <f t="shared" si="106"/>
        <v>90402850</v>
      </c>
      <c r="H130" s="683">
        <f>H131</f>
        <v>3907125</v>
      </c>
      <c r="I130" s="683">
        <f>I131</f>
        <v>0</v>
      </c>
      <c r="J130" s="682">
        <f>J131</f>
        <v>17296400</v>
      </c>
      <c r="K130" s="683">
        <f>K131</f>
        <v>7466000</v>
      </c>
      <c r="L130" s="683">
        <f>L131</f>
        <v>9724400</v>
      </c>
      <c r="M130" s="683">
        <f t="shared" ref="M130" si="107">M131</f>
        <v>7345900</v>
      </c>
      <c r="N130" s="682">
        <f>N131</f>
        <v>257400</v>
      </c>
      <c r="O130" s="682">
        <f>O131</f>
        <v>7572000</v>
      </c>
      <c r="P130" s="683">
        <f t="shared" ref="P130" si="108">P131</f>
        <v>140459607</v>
      </c>
    </row>
    <row r="131" spans="1:18" ht="181.5" thickTop="1" thickBot="1" x14ac:dyDescent="0.25">
      <c r="A131" s="684">
        <v>1010000</v>
      </c>
      <c r="B131" s="684"/>
      <c r="C131" s="684"/>
      <c r="D131" s="685" t="s">
        <v>41</v>
      </c>
      <c r="E131" s="686">
        <f>E132+E134+E145+E142</f>
        <v>123163207</v>
      </c>
      <c r="F131" s="686">
        <f>F132+F134+F145+F142</f>
        <v>123163207</v>
      </c>
      <c r="G131" s="686">
        <f>G132+G134+G145+G142</f>
        <v>90402850</v>
      </c>
      <c r="H131" s="686">
        <f>H132+H134+H145+H142</f>
        <v>3907125</v>
      </c>
      <c r="I131" s="686">
        <f>I132+I134+I145+I142</f>
        <v>0</v>
      </c>
      <c r="J131" s="686">
        <f t="shared" ref="J131:J141" si="109">L131+O131</f>
        <v>17296400</v>
      </c>
      <c r="K131" s="686">
        <f>K132+K134+K145+K142</f>
        <v>7466000</v>
      </c>
      <c r="L131" s="686">
        <f>L132+L134+L145+L142</f>
        <v>9724400</v>
      </c>
      <c r="M131" s="686">
        <f>M132+M134+M145+M142</f>
        <v>7345900</v>
      </c>
      <c r="N131" s="686">
        <f>N132+N134+N145+N142</f>
        <v>257400</v>
      </c>
      <c r="O131" s="686">
        <f>O132+O134+O145+O142</f>
        <v>7572000</v>
      </c>
      <c r="P131" s="687">
        <f t="shared" ref="P131:P141" si="110">E131+J131</f>
        <v>140459607</v>
      </c>
      <c r="Q131" s="181" t="b">
        <f>P131=P133+P135+P136+P137+P138+P140+P141+P147+P144</f>
        <v>1</v>
      </c>
      <c r="R131" s="317" t="b">
        <f>K131='d6'!J102</f>
        <v>1</v>
      </c>
    </row>
    <row r="132" spans="1:18" s="490" customFormat="1" ht="47.25" thickTop="1" thickBot="1" x14ac:dyDescent="0.25">
      <c r="A132" s="562" t="s">
        <v>954</v>
      </c>
      <c r="B132" s="562" t="s">
        <v>904</v>
      </c>
      <c r="C132" s="562"/>
      <c r="D132" s="562" t="s">
        <v>905</v>
      </c>
      <c r="E132" s="491">
        <f>E133</f>
        <v>68969585</v>
      </c>
      <c r="F132" s="491">
        <f t="shared" ref="F132:P132" si="111">F133</f>
        <v>68969585</v>
      </c>
      <c r="G132" s="491">
        <f t="shared" si="111"/>
        <v>54164900</v>
      </c>
      <c r="H132" s="491">
        <f t="shared" si="111"/>
        <v>2247815</v>
      </c>
      <c r="I132" s="491">
        <f t="shared" si="111"/>
        <v>0</v>
      </c>
      <c r="J132" s="491">
        <f t="shared" si="111"/>
        <v>10062100</v>
      </c>
      <c r="K132" s="491">
        <f t="shared" si="111"/>
        <v>1000000</v>
      </c>
      <c r="L132" s="491">
        <f t="shared" si="111"/>
        <v>9029100</v>
      </c>
      <c r="M132" s="491">
        <f t="shared" si="111"/>
        <v>6977500</v>
      </c>
      <c r="N132" s="491">
        <f t="shared" si="111"/>
        <v>190100</v>
      </c>
      <c r="O132" s="491">
        <f t="shared" si="111"/>
        <v>1033000</v>
      </c>
      <c r="P132" s="491">
        <f t="shared" si="111"/>
        <v>79031685</v>
      </c>
      <c r="Q132" s="181"/>
      <c r="R132" s="317"/>
    </row>
    <row r="133" spans="1:18" ht="93" thickTop="1" thickBot="1" x14ac:dyDescent="0.25">
      <c r="A133" s="428" t="s">
        <v>831</v>
      </c>
      <c r="B133" s="428" t="s">
        <v>832</v>
      </c>
      <c r="C133" s="428" t="s">
        <v>206</v>
      </c>
      <c r="D133" s="428" t="s">
        <v>558</v>
      </c>
      <c r="E133" s="426">
        <f>F133</f>
        <v>68969585</v>
      </c>
      <c r="F133" s="405">
        <f>(54164900+11916270+176295+394855+51550+1849900+30235+235500+100600+31580+17900)</f>
        <v>68969585</v>
      </c>
      <c r="G133" s="405">
        <f>(54164900)</f>
        <v>54164900</v>
      </c>
      <c r="H133" s="405">
        <f>(1849900+30235+235500+100600+31580)</f>
        <v>2247815</v>
      </c>
      <c r="I133" s="405"/>
      <c r="J133" s="426">
        <f t="shared" si="109"/>
        <v>10062100</v>
      </c>
      <c r="K133" s="405">
        <v>1000000</v>
      </c>
      <c r="L133" s="405">
        <f>(6977500+1530200+218650+101550+5500+190100+4000+1600)</f>
        <v>9029100</v>
      </c>
      <c r="M133" s="405">
        <v>6977500</v>
      </c>
      <c r="N133" s="405">
        <f>(160400+4900+18800+6000)</f>
        <v>190100</v>
      </c>
      <c r="O133" s="427">
        <f>K133+33000</f>
        <v>1033000</v>
      </c>
      <c r="P133" s="426">
        <f t="shared" si="110"/>
        <v>79031685</v>
      </c>
      <c r="R133" s="317" t="b">
        <f>K133='d6'!J103</f>
        <v>1</v>
      </c>
    </row>
    <row r="134" spans="1:18" s="2" customFormat="1" ht="47.25" thickTop="1" thickBot="1" x14ac:dyDescent="0.25">
      <c r="A134" s="562" t="s">
        <v>955</v>
      </c>
      <c r="B134" s="562" t="s">
        <v>956</v>
      </c>
      <c r="C134" s="562"/>
      <c r="D134" s="562" t="s">
        <v>957</v>
      </c>
      <c r="E134" s="491">
        <f>SUM(E135:E141)-E139</f>
        <v>53635485</v>
      </c>
      <c r="F134" s="491">
        <f t="shared" ref="F134:P134" si="112">SUM(F135:F141)-F139</f>
        <v>53635485</v>
      </c>
      <c r="G134" s="491">
        <f t="shared" si="112"/>
        <v>36237950</v>
      </c>
      <c r="H134" s="491">
        <f t="shared" si="112"/>
        <v>1659310</v>
      </c>
      <c r="I134" s="491">
        <f t="shared" si="112"/>
        <v>0</v>
      </c>
      <c r="J134" s="491">
        <f t="shared" si="112"/>
        <v>7034300</v>
      </c>
      <c r="K134" s="491">
        <f t="shared" si="112"/>
        <v>6266000</v>
      </c>
      <c r="L134" s="491">
        <f t="shared" si="112"/>
        <v>695300</v>
      </c>
      <c r="M134" s="491">
        <f t="shared" si="112"/>
        <v>368400</v>
      </c>
      <c r="N134" s="491">
        <f t="shared" si="112"/>
        <v>67300</v>
      </c>
      <c r="O134" s="491">
        <f t="shared" si="112"/>
        <v>6339000</v>
      </c>
      <c r="P134" s="491">
        <f t="shared" si="112"/>
        <v>60669785</v>
      </c>
      <c r="Q134" s="269"/>
      <c r="R134" s="277"/>
    </row>
    <row r="135" spans="1:18" ht="48" thickTop="1" thickBot="1" x14ac:dyDescent="0.25">
      <c r="A135" s="428" t="s">
        <v>192</v>
      </c>
      <c r="B135" s="428" t="s">
        <v>193</v>
      </c>
      <c r="C135" s="428" t="s">
        <v>195</v>
      </c>
      <c r="D135" s="428" t="s">
        <v>196</v>
      </c>
      <c r="E135" s="426">
        <f t="shared" ref="E135:E138" si="113">F135</f>
        <v>1030790</v>
      </c>
      <c r="F135" s="405">
        <f>(964300)+66490</f>
        <v>1030790</v>
      </c>
      <c r="G135" s="405"/>
      <c r="H135" s="405"/>
      <c r="I135" s="405"/>
      <c r="J135" s="426">
        <f t="shared" si="109"/>
        <v>0</v>
      </c>
      <c r="K135" s="405"/>
      <c r="L135" s="405"/>
      <c r="M135" s="405"/>
      <c r="N135" s="405"/>
      <c r="O135" s="427">
        <f t="shared" ref="O135:O141" si="114">K135</f>
        <v>0</v>
      </c>
      <c r="P135" s="426">
        <f t="shared" si="110"/>
        <v>1030790</v>
      </c>
      <c r="R135" s="277"/>
    </row>
    <row r="136" spans="1:18" ht="93" thickTop="1" thickBot="1" x14ac:dyDescent="0.25">
      <c r="A136" s="428" t="s">
        <v>197</v>
      </c>
      <c r="B136" s="428" t="s">
        <v>198</v>
      </c>
      <c r="C136" s="428" t="s">
        <v>199</v>
      </c>
      <c r="D136" s="428" t="s">
        <v>200</v>
      </c>
      <c r="E136" s="426">
        <f t="shared" si="113"/>
        <v>13756395</v>
      </c>
      <c r="F136" s="405">
        <f>(10344300+2275745+143250+311400+5000+399000+9000+108420+19500+19280+56000+55000)+10500</f>
        <v>13756395</v>
      </c>
      <c r="G136" s="405">
        <v>10344300</v>
      </c>
      <c r="H136" s="405">
        <f>(399000+9000+108420+19500+19280)</f>
        <v>555200</v>
      </c>
      <c r="I136" s="405"/>
      <c r="J136" s="426">
        <f t="shared" si="109"/>
        <v>1050000</v>
      </c>
      <c r="K136" s="405">
        <f>(10000+84000+28000+67000)+766000</f>
        <v>955000</v>
      </c>
      <c r="L136" s="405">
        <f>(15600+4400+29500+26200+19000+300)</f>
        <v>95000</v>
      </c>
      <c r="M136" s="405">
        <v>15600</v>
      </c>
      <c r="N136" s="405">
        <f>(17500+500+1000)</f>
        <v>19000</v>
      </c>
      <c r="O136" s="427">
        <f t="shared" si="114"/>
        <v>955000</v>
      </c>
      <c r="P136" s="426">
        <f t="shared" si="110"/>
        <v>14806395</v>
      </c>
      <c r="R136" s="317" t="b">
        <f>K136='d6'!J104+'d6'!J105+'d6'!J106</f>
        <v>1</v>
      </c>
    </row>
    <row r="137" spans="1:18" ht="93" thickTop="1" thickBot="1" x14ac:dyDescent="0.25">
      <c r="A137" s="428" t="s">
        <v>201</v>
      </c>
      <c r="B137" s="428" t="s">
        <v>202</v>
      </c>
      <c r="C137" s="428" t="s">
        <v>199</v>
      </c>
      <c r="D137" s="428" t="s">
        <v>511</v>
      </c>
      <c r="E137" s="426">
        <f t="shared" si="113"/>
        <v>1856955</v>
      </c>
      <c r="F137" s="405">
        <f>(1328500+292270+14055+20330+139800+4305+53715+3980)</f>
        <v>1856955</v>
      </c>
      <c r="G137" s="405">
        <v>1328500</v>
      </c>
      <c r="H137" s="405">
        <f>(139800+4305+53715+3980)</f>
        <v>201800</v>
      </c>
      <c r="I137" s="405"/>
      <c r="J137" s="426">
        <f t="shared" si="109"/>
        <v>5245100</v>
      </c>
      <c r="K137" s="405">
        <f>(3000000)+2000000+14900+150000</f>
        <v>5164900</v>
      </c>
      <c r="L137" s="405">
        <f>(8100+1900+35800+27700+5700+1000)</f>
        <v>80200</v>
      </c>
      <c r="M137" s="405">
        <v>8100</v>
      </c>
      <c r="N137" s="405">
        <f>(3800+400+1500)</f>
        <v>5700</v>
      </c>
      <c r="O137" s="427">
        <f t="shared" si="114"/>
        <v>5164900</v>
      </c>
      <c r="P137" s="426">
        <f t="shared" si="110"/>
        <v>7102055</v>
      </c>
      <c r="R137" s="317" t="b">
        <f>K137='d6'!J108+'d6'!J107</f>
        <v>1</v>
      </c>
    </row>
    <row r="138" spans="1:18" ht="184.5" thickTop="1" thickBot="1" x14ac:dyDescent="0.25">
      <c r="A138" s="428" t="s">
        <v>203</v>
      </c>
      <c r="B138" s="428" t="s">
        <v>194</v>
      </c>
      <c r="C138" s="428" t="s">
        <v>204</v>
      </c>
      <c r="D138" s="428" t="s">
        <v>205</v>
      </c>
      <c r="E138" s="426">
        <f t="shared" si="113"/>
        <v>13492915</v>
      </c>
      <c r="F138" s="405">
        <f>(8640350+1900875+330000+342570+7900+428200+11375+288695+93120+37570+3760+24800)+7500+7000+1122300+246900</f>
        <v>13492915</v>
      </c>
      <c r="G138" s="405">
        <f>(8640350)+1122300</f>
        <v>9762650</v>
      </c>
      <c r="H138" s="405">
        <f>(428200+11375+288695+93120+37570)</f>
        <v>858960</v>
      </c>
      <c r="I138" s="405"/>
      <c r="J138" s="426">
        <f t="shared" si="109"/>
        <v>602200</v>
      </c>
      <c r="K138" s="405">
        <f>(124500)+16500+5100</f>
        <v>146100</v>
      </c>
      <c r="L138" s="405">
        <f>(334300+73600+5500+42600+100)</f>
        <v>456100</v>
      </c>
      <c r="M138" s="405">
        <v>334300</v>
      </c>
      <c r="N138" s="405">
        <f>(32600+800+9200)</f>
        <v>42600</v>
      </c>
      <c r="O138" s="427">
        <f>K138</f>
        <v>146100</v>
      </c>
      <c r="P138" s="426">
        <f t="shared" si="110"/>
        <v>14095115</v>
      </c>
      <c r="R138" s="317" t="b">
        <f>K138='d6'!J109</f>
        <v>1</v>
      </c>
    </row>
    <row r="139" spans="1:18" s="490" customFormat="1" ht="93" thickTop="1" thickBot="1" x14ac:dyDescent="0.25">
      <c r="A139" s="464" t="s">
        <v>958</v>
      </c>
      <c r="B139" s="464" t="s">
        <v>959</v>
      </c>
      <c r="C139" s="464"/>
      <c r="D139" s="464" t="s">
        <v>960</v>
      </c>
      <c r="E139" s="466">
        <f>SUM(E140:E141)</f>
        <v>23498430</v>
      </c>
      <c r="F139" s="466">
        <f t="shared" ref="F139:P139" si="115">SUM(F140:F141)</f>
        <v>23498430</v>
      </c>
      <c r="G139" s="466">
        <f t="shared" si="115"/>
        <v>14802500</v>
      </c>
      <c r="H139" s="466">
        <f t="shared" si="115"/>
        <v>43350</v>
      </c>
      <c r="I139" s="466">
        <f t="shared" si="115"/>
        <v>0</v>
      </c>
      <c r="J139" s="466">
        <f t="shared" si="115"/>
        <v>137000</v>
      </c>
      <c r="K139" s="466">
        <f t="shared" si="115"/>
        <v>0</v>
      </c>
      <c r="L139" s="466">
        <f t="shared" si="115"/>
        <v>64000</v>
      </c>
      <c r="M139" s="466">
        <f t="shared" si="115"/>
        <v>10400</v>
      </c>
      <c r="N139" s="466">
        <f t="shared" si="115"/>
        <v>0</v>
      </c>
      <c r="O139" s="466">
        <f t="shared" si="115"/>
        <v>73000</v>
      </c>
      <c r="P139" s="466">
        <f t="shared" si="115"/>
        <v>23635430</v>
      </c>
      <c r="Q139" s="495"/>
      <c r="R139" s="317"/>
    </row>
    <row r="140" spans="1:18" ht="138.75" thickTop="1" thickBot="1" x14ac:dyDescent="0.25">
      <c r="A140" s="428" t="s">
        <v>366</v>
      </c>
      <c r="B140" s="428" t="s">
        <v>367</v>
      </c>
      <c r="C140" s="428" t="s">
        <v>207</v>
      </c>
      <c r="D140" s="428" t="s">
        <v>512</v>
      </c>
      <c r="E140" s="426">
        <f>F140</f>
        <v>19182270</v>
      </c>
      <c r="F140" s="405">
        <f>(14802500+3256550+131640+99230+39000+3900+450+804000)+45000</f>
        <v>19182270</v>
      </c>
      <c r="G140" s="405">
        <v>14802500</v>
      </c>
      <c r="H140" s="405">
        <f>(39000+3900+450)</f>
        <v>43350</v>
      </c>
      <c r="I140" s="405"/>
      <c r="J140" s="426">
        <f t="shared" si="109"/>
        <v>137000</v>
      </c>
      <c r="K140" s="405"/>
      <c r="L140" s="405">
        <f>(10400+2200+6000+45400)</f>
        <v>64000</v>
      </c>
      <c r="M140" s="405">
        <v>10400</v>
      </c>
      <c r="N140" s="405"/>
      <c r="O140" s="427">
        <f>K140+73000</f>
        <v>73000</v>
      </c>
      <c r="P140" s="426">
        <f t="shared" si="110"/>
        <v>19319270</v>
      </c>
      <c r="R140" s="277"/>
    </row>
    <row r="141" spans="1:18" ht="93" thickTop="1" thickBot="1" x14ac:dyDescent="0.25">
      <c r="A141" s="428" t="s">
        <v>368</v>
      </c>
      <c r="B141" s="428" t="s">
        <v>369</v>
      </c>
      <c r="C141" s="428" t="s">
        <v>207</v>
      </c>
      <c r="D141" s="428" t="s">
        <v>513</v>
      </c>
      <c r="E141" s="426">
        <f>F141</f>
        <v>4316160</v>
      </c>
      <c r="F141" s="405">
        <f>(1195320+2805840+315000)</f>
        <v>4316160</v>
      </c>
      <c r="G141" s="405"/>
      <c r="H141" s="405"/>
      <c r="I141" s="405"/>
      <c r="J141" s="426">
        <f t="shared" si="109"/>
        <v>0</v>
      </c>
      <c r="K141" s="405"/>
      <c r="L141" s="405"/>
      <c r="M141" s="405"/>
      <c r="N141" s="405"/>
      <c r="O141" s="427">
        <f t="shared" si="114"/>
        <v>0</v>
      </c>
      <c r="P141" s="426">
        <f t="shared" si="110"/>
        <v>4316160</v>
      </c>
      <c r="R141" s="277"/>
    </row>
    <row r="142" spans="1:18" s="669" customFormat="1" ht="47.25" thickTop="1" thickBot="1" x14ac:dyDescent="0.25">
      <c r="A142" s="562" t="s">
        <v>1172</v>
      </c>
      <c r="B142" s="561" t="s">
        <v>948</v>
      </c>
      <c r="C142" s="561"/>
      <c r="D142" s="561" t="s">
        <v>949</v>
      </c>
      <c r="E142" s="670">
        <f>SUM(E143)</f>
        <v>0</v>
      </c>
      <c r="F142" s="670">
        <f t="shared" ref="F142:P143" si="116">SUM(F143)</f>
        <v>0</v>
      </c>
      <c r="G142" s="670">
        <f t="shared" si="116"/>
        <v>0</v>
      </c>
      <c r="H142" s="670">
        <f t="shared" si="116"/>
        <v>0</v>
      </c>
      <c r="I142" s="670">
        <f t="shared" si="116"/>
        <v>0</v>
      </c>
      <c r="J142" s="670">
        <f t="shared" si="116"/>
        <v>200000</v>
      </c>
      <c r="K142" s="670">
        <f t="shared" si="116"/>
        <v>200000</v>
      </c>
      <c r="L142" s="670">
        <f t="shared" si="116"/>
        <v>0</v>
      </c>
      <c r="M142" s="670">
        <f t="shared" si="116"/>
        <v>0</v>
      </c>
      <c r="N142" s="670">
        <f t="shared" si="116"/>
        <v>0</v>
      </c>
      <c r="O142" s="670">
        <f t="shared" si="116"/>
        <v>200000</v>
      </c>
      <c r="P142" s="670">
        <f t="shared" si="116"/>
        <v>200000</v>
      </c>
      <c r="Q142" s="678"/>
      <c r="R142" s="277"/>
    </row>
    <row r="143" spans="1:18" s="669" customFormat="1" ht="136.5" thickTop="1" thickBot="1" x14ac:dyDescent="0.25">
      <c r="A143" s="506" t="s">
        <v>1173</v>
      </c>
      <c r="B143" s="506" t="s">
        <v>887</v>
      </c>
      <c r="C143" s="506"/>
      <c r="D143" s="506" t="s">
        <v>885</v>
      </c>
      <c r="E143" s="465">
        <f>SUM(E144)</f>
        <v>0</v>
      </c>
      <c r="F143" s="465">
        <f t="shared" si="116"/>
        <v>0</v>
      </c>
      <c r="G143" s="465">
        <f t="shared" si="116"/>
        <v>0</v>
      </c>
      <c r="H143" s="465">
        <f t="shared" si="116"/>
        <v>0</v>
      </c>
      <c r="I143" s="465">
        <f t="shared" si="116"/>
        <v>0</v>
      </c>
      <c r="J143" s="465">
        <f t="shared" si="116"/>
        <v>200000</v>
      </c>
      <c r="K143" s="465">
        <f t="shared" si="116"/>
        <v>200000</v>
      </c>
      <c r="L143" s="465">
        <f t="shared" si="116"/>
        <v>0</v>
      </c>
      <c r="M143" s="465">
        <f t="shared" si="116"/>
        <v>0</v>
      </c>
      <c r="N143" s="465">
        <f t="shared" si="116"/>
        <v>0</v>
      </c>
      <c r="O143" s="465">
        <f t="shared" si="116"/>
        <v>200000</v>
      </c>
      <c r="P143" s="465">
        <f t="shared" si="116"/>
        <v>200000</v>
      </c>
      <c r="Q143" s="678"/>
      <c r="R143" s="277"/>
    </row>
    <row r="144" spans="1:18" s="669" customFormat="1" ht="93" thickTop="1" thickBot="1" x14ac:dyDescent="0.25">
      <c r="A144" s="673" t="s">
        <v>1174</v>
      </c>
      <c r="B144" s="673" t="s">
        <v>222</v>
      </c>
      <c r="C144" s="673" t="s">
        <v>191</v>
      </c>
      <c r="D144" s="673" t="s">
        <v>36</v>
      </c>
      <c r="E144" s="670">
        <f t="shared" ref="E144" si="117">F144</f>
        <v>0</v>
      </c>
      <c r="F144" s="405"/>
      <c r="G144" s="405"/>
      <c r="H144" s="405"/>
      <c r="I144" s="405"/>
      <c r="J144" s="670">
        <f t="shared" ref="J144" si="118">L144+O144</f>
        <v>200000</v>
      </c>
      <c r="K144" s="405">
        <v>200000</v>
      </c>
      <c r="L144" s="405"/>
      <c r="M144" s="405"/>
      <c r="N144" s="405"/>
      <c r="O144" s="672">
        <f t="shared" ref="O144" si="119">K144</f>
        <v>200000</v>
      </c>
      <c r="P144" s="670">
        <f t="shared" ref="P144" si="120">E144+J144</f>
        <v>200000</v>
      </c>
      <c r="Q144" s="678"/>
      <c r="R144" s="317" t="b">
        <f>K144='d6'!J110</f>
        <v>1</v>
      </c>
    </row>
    <row r="145" spans="1:18" s="490" customFormat="1" ht="47.25" thickTop="1" thickBot="1" x14ac:dyDescent="0.25">
      <c r="A145" s="562" t="s">
        <v>961</v>
      </c>
      <c r="B145" s="562" t="s">
        <v>898</v>
      </c>
      <c r="C145" s="562"/>
      <c r="D145" s="562" t="s">
        <v>899</v>
      </c>
      <c r="E145" s="491">
        <f>E146</f>
        <v>558137</v>
      </c>
      <c r="F145" s="491">
        <f t="shared" ref="F145:P146" si="121">F146</f>
        <v>558137</v>
      </c>
      <c r="G145" s="491">
        <f t="shared" si="121"/>
        <v>0</v>
      </c>
      <c r="H145" s="491">
        <f t="shared" si="121"/>
        <v>0</v>
      </c>
      <c r="I145" s="491">
        <f t="shared" si="121"/>
        <v>0</v>
      </c>
      <c r="J145" s="491">
        <f t="shared" si="121"/>
        <v>0</v>
      </c>
      <c r="K145" s="491">
        <f t="shared" si="121"/>
        <v>0</v>
      </c>
      <c r="L145" s="491">
        <f t="shared" si="121"/>
        <v>0</v>
      </c>
      <c r="M145" s="491">
        <f t="shared" si="121"/>
        <v>0</v>
      </c>
      <c r="N145" s="491">
        <f t="shared" si="121"/>
        <v>0</v>
      </c>
      <c r="O145" s="491">
        <f t="shared" si="121"/>
        <v>0</v>
      </c>
      <c r="P145" s="491">
        <f t="shared" si="121"/>
        <v>558137</v>
      </c>
      <c r="Q145" s="495"/>
      <c r="R145" s="277"/>
    </row>
    <row r="146" spans="1:18" s="490" customFormat="1" ht="271.5" thickTop="1" thickBot="1" x14ac:dyDescent="0.25">
      <c r="A146" s="506" t="s">
        <v>962</v>
      </c>
      <c r="B146" s="506" t="s">
        <v>901</v>
      </c>
      <c r="C146" s="506"/>
      <c r="D146" s="506" t="s">
        <v>902</v>
      </c>
      <c r="E146" s="465">
        <f>E147</f>
        <v>558137</v>
      </c>
      <c r="F146" s="465">
        <f t="shared" si="121"/>
        <v>558137</v>
      </c>
      <c r="G146" s="465">
        <f t="shared" si="121"/>
        <v>0</v>
      </c>
      <c r="H146" s="465">
        <f t="shared" si="121"/>
        <v>0</v>
      </c>
      <c r="I146" s="465">
        <f t="shared" si="121"/>
        <v>0</v>
      </c>
      <c r="J146" s="465">
        <f t="shared" si="121"/>
        <v>0</v>
      </c>
      <c r="K146" s="465">
        <f t="shared" si="121"/>
        <v>0</v>
      </c>
      <c r="L146" s="465">
        <f t="shared" si="121"/>
        <v>0</v>
      </c>
      <c r="M146" s="465">
        <f t="shared" si="121"/>
        <v>0</v>
      </c>
      <c r="N146" s="465">
        <f t="shared" si="121"/>
        <v>0</v>
      </c>
      <c r="O146" s="465">
        <f t="shared" si="121"/>
        <v>0</v>
      </c>
      <c r="P146" s="465">
        <f t="shared" si="121"/>
        <v>558137</v>
      </c>
      <c r="Q146" s="495"/>
      <c r="R146" s="277"/>
    </row>
    <row r="147" spans="1:18" s="318" customFormat="1" ht="93" thickTop="1" thickBot="1" x14ac:dyDescent="0.25">
      <c r="A147" s="428" t="s">
        <v>746</v>
      </c>
      <c r="B147" s="428" t="s">
        <v>399</v>
      </c>
      <c r="C147" s="428" t="s">
        <v>45</v>
      </c>
      <c r="D147" s="428" t="s">
        <v>400</v>
      </c>
      <c r="E147" s="426">
        <f t="shared" ref="E147" si="122">F147</f>
        <v>558137</v>
      </c>
      <c r="F147" s="405">
        <v>558137</v>
      </c>
      <c r="G147" s="405"/>
      <c r="H147" s="405"/>
      <c r="I147" s="405"/>
      <c r="J147" s="426">
        <f>L147+O147</f>
        <v>0</v>
      </c>
      <c r="K147" s="405"/>
      <c r="L147" s="405"/>
      <c r="M147" s="405"/>
      <c r="N147" s="405"/>
      <c r="O147" s="427">
        <f>K147</f>
        <v>0</v>
      </c>
      <c r="P147" s="426">
        <f>E147+J147</f>
        <v>558137</v>
      </c>
      <c r="Q147" s="319"/>
      <c r="R147" s="277"/>
    </row>
    <row r="148" spans="1:18" ht="136.5" thickTop="1" thickBot="1" x14ac:dyDescent="0.25">
      <c r="A148" s="680" t="s">
        <v>22</v>
      </c>
      <c r="B148" s="680"/>
      <c r="C148" s="680"/>
      <c r="D148" s="681" t="s">
        <v>23</v>
      </c>
      <c r="E148" s="682">
        <f>E149</f>
        <v>87814266.530000001</v>
      </c>
      <c r="F148" s="683">
        <f t="shared" ref="F148:G148" si="123">F149</f>
        <v>87814266.530000001</v>
      </c>
      <c r="G148" s="683">
        <f t="shared" si="123"/>
        <v>40854695</v>
      </c>
      <c r="H148" s="683">
        <f>H149</f>
        <v>2243165</v>
      </c>
      <c r="I148" s="683">
        <f t="shared" ref="I148" si="124">I149</f>
        <v>0</v>
      </c>
      <c r="J148" s="682">
        <f>J149</f>
        <v>6171703</v>
      </c>
      <c r="K148" s="683">
        <f>K149</f>
        <v>4267458</v>
      </c>
      <c r="L148" s="683">
        <f>L149</f>
        <v>1894298</v>
      </c>
      <c r="M148" s="683">
        <f t="shared" ref="M148" si="125">M149</f>
        <v>866362</v>
      </c>
      <c r="N148" s="682">
        <f>N149</f>
        <v>308978</v>
      </c>
      <c r="O148" s="682">
        <f>O149</f>
        <v>4277405</v>
      </c>
      <c r="P148" s="683">
        <f t="shared" ref="P148" si="126">P149</f>
        <v>93985969.530000001</v>
      </c>
    </row>
    <row r="149" spans="1:18" ht="136.5" thickTop="1" thickBot="1" x14ac:dyDescent="0.25">
      <c r="A149" s="684" t="s">
        <v>21</v>
      </c>
      <c r="B149" s="684"/>
      <c r="C149" s="684"/>
      <c r="D149" s="685" t="s">
        <v>37</v>
      </c>
      <c r="E149" s="686">
        <f>E150+E156+E169+E172</f>
        <v>87814266.530000001</v>
      </c>
      <c r="F149" s="686">
        <f t="shared" ref="F149:I149" si="127">F150+F156+F169+F172</f>
        <v>87814266.530000001</v>
      </c>
      <c r="G149" s="686">
        <f t="shared" si="127"/>
        <v>40854695</v>
      </c>
      <c r="H149" s="686">
        <f t="shared" si="127"/>
        <v>2243165</v>
      </c>
      <c r="I149" s="686">
        <f t="shared" si="127"/>
        <v>0</v>
      </c>
      <c r="J149" s="686">
        <f>L149+O149</f>
        <v>6171703</v>
      </c>
      <c r="K149" s="686">
        <f t="shared" ref="K149:N149" si="128">K150+K156+K169+K172</f>
        <v>4267458</v>
      </c>
      <c r="L149" s="686">
        <f t="shared" si="128"/>
        <v>1894298</v>
      </c>
      <c r="M149" s="686">
        <f t="shared" si="128"/>
        <v>866362</v>
      </c>
      <c r="N149" s="686">
        <f t="shared" si="128"/>
        <v>308978</v>
      </c>
      <c r="O149" s="686">
        <f>O150+O156+O169+O172</f>
        <v>4277405</v>
      </c>
      <c r="P149" s="687">
        <f>E149+J149</f>
        <v>93985969.530000001</v>
      </c>
      <c r="Q149" s="181" t="b">
        <f>P149=P152+P154+P155+P158+P159+P161+P163+P164+P166+P167+P168+P171+P174</f>
        <v>1</v>
      </c>
      <c r="R149" s="317" t="b">
        <f>K149='d6'!J111</f>
        <v>1</v>
      </c>
    </row>
    <row r="150" spans="1:18" s="490" customFormat="1" ht="91.5" thickTop="1" thickBot="1" x14ac:dyDescent="0.25">
      <c r="A150" s="562" t="s">
        <v>963</v>
      </c>
      <c r="B150" s="562" t="s">
        <v>907</v>
      </c>
      <c r="C150" s="562"/>
      <c r="D150" s="562" t="s">
        <v>908</v>
      </c>
      <c r="E150" s="572">
        <f>SUM(E151:E155)-E151-E153</f>
        <v>16518191</v>
      </c>
      <c r="F150" s="572">
        <f t="shared" ref="F150:P150" si="129">SUM(F151:F155)-F151-F153</f>
        <v>16518191</v>
      </c>
      <c r="G150" s="572">
        <f t="shared" si="129"/>
        <v>7871695</v>
      </c>
      <c r="H150" s="572">
        <f t="shared" si="129"/>
        <v>636305</v>
      </c>
      <c r="I150" s="572">
        <f t="shared" si="129"/>
        <v>0</v>
      </c>
      <c r="J150" s="572">
        <f t="shared" si="129"/>
        <v>1061957</v>
      </c>
      <c r="K150" s="572">
        <f t="shared" si="129"/>
        <v>733957</v>
      </c>
      <c r="L150" s="572">
        <f t="shared" si="129"/>
        <v>318053</v>
      </c>
      <c r="M150" s="572">
        <f t="shared" si="129"/>
        <v>175000</v>
      </c>
      <c r="N150" s="572">
        <f t="shared" si="129"/>
        <v>78200</v>
      </c>
      <c r="O150" s="572">
        <f t="shared" si="129"/>
        <v>743904</v>
      </c>
      <c r="P150" s="572">
        <f t="shared" si="129"/>
        <v>17580148</v>
      </c>
      <c r="Q150" s="181"/>
      <c r="R150" s="317"/>
    </row>
    <row r="151" spans="1:18" s="85" customFormat="1" ht="138.75" thickTop="1" thickBot="1" x14ac:dyDescent="0.25">
      <c r="A151" s="464" t="s">
        <v>964</v>
      </c>
      <c r="B151" s="464" t="s">
        <v>965</v>
      </c>
      <c r="C151" s="464"/>
      <c r="D151" s="464" t="s">
        <v>966</v>
      </c>
      <c r="E151" s="569">
        <f>E152</f>
        <v>5303095</v>
      </c>
      <c r="F151" s="569">
        <f t="shared" ref="F151:P151" si="130">F152</f>
        <v>5303095</v>
      </c>
      <c r="G151" s="569">
        <f t="shared" si="130"/>
        <v>4125520</v>
      </c>
      <c r="H151" s="569">
        <f t="shared" si="130"/>
        <v>90420</v>
      </c>
      <c r="I151" s="569">
        <f t="shared" si="130"/>
        <v>0</v>
      </c>
      <c r="J151" s="569">
        <f t="shared" si="130"/>
        <v>0</v>
      </c>
      <c r="K151" s="569">
        <f t="shared" si="130"/>
        <v>0</v>
      </c>
      <c r="L151" s="569">
        <f t="shared" si="130"/>
        <v>0</v>
      </c>
      <c r="M151" s="569">
        <f t="shared" si="130"/>
        <v>0</v>
      </c>
      <c r="N151" s="569">
        <f t="shared" si="130"/>
        <v>0</v>
      </c>
      <c r="O151" s="569">
        <f t="shared" si="130"/>
        <v>0</v>
      </c>
      <c r="P151" s="569">
        <f t="shared" si="130"/>
        <v>5303095</v>
      </c>
      <c r="Q151" s="568"/>
      <c r="R151" s="560"/>
    </row>
    <row r="152" spans="1:18" ht="138.75" thickTop="1" thickBot="1" x14ac:dyDescent="0.25">
      <c r="A152" s="428" t="s">
        <v>208</v>
      </c>
      <c r="B152" s="428" t="s">
        <v>209</v>
      </c>
      <c r="C152" s="428" t="s">
        <v>210</v>
      </c>
      <c r="D152" s="428" t="s">
        <v>833</v>
      </c>
      <c r="E152" s="418">
        <f t="shared" ref="E152:E167" si="131">F152</f>
        <v>5303095</v>
      </c>
      <c r="F152" s="247">
        <f>(4125520+907615+59600+79015+35280+49795+2585+34440+3600+2145)+3500</f>
        <v>5303095</v>
      </c>
      <c r="G152" s="247">
        <v>4125520</v>
      </c>
      <c r="H152" s="247">
        <f>(49795+2585+34440+3600)</f>
        <v>90420</v>
      </c>
      <c r="I152" s="247"/>
      <c r="J152" s="426">
        <f t="shared" ref="J152:J174" si="132">L152+O152</f>
        <v>0</v>
      </c>
      <c r="K152" s="247"/>
      <c r="L152" s="248"/>
      <c r="M152" s="248"/>
      <c r="N152" s="248"/>
      <c r="O152" s="427">
        <f t="shared" ref="O152:O174" si="133">K152</f>
        <v>0</v>
      </c>
      <c r="P152" s="426">
        <f>+J152+E152</f>
        <v>5303095</v>
      </c>
      <c r="Q152" s="277"/>
      <c r="R152" s="277"/>
    </row>
    <row r="153" spans="1:18" s="85" customFormat="1" ht="93" thickTop="1" thickBot="1" x14ac:dyDescent="0.25">
      <c r="A153" s="464" t="s">
        <v>967</v>
      </c>
      <c r="B153" s="464" t="s">
        <v>968</v>
      </c>
      <c r="C153" s="464"/>
      <c r="D153" s="464" t="s">
        <v>969</v>
      </c>
      <c r="E153" s="571">
        <f>SUM(E154:E155)</f>
        <v>11215096</v>
      </c>
      <c r="F153" s="571">
        <f t="shared" ref="F153:P153" si="134">SUM(F154:F155)</f>
        <v>11215096</v>
      </c>
      <c r="G153" s="571">
        <f t="shared" si="134"/>
        <v>3746175</v>
      </c>
      <c r="H153" s="571">
        <f t="shared" si="134"/>
        <v>545885</v>
      </c>
      <c r="I153" s="571">
        <f t="shared" si="134"/>
        <v>0</v>
      </c>
      <c r="J153" s="571">
        <f t="shared" si="134"/>
        <v>1061957</v>
      </c>
      <c r="K153" s="571">
        <f t="shared" si="134"/>
        <v>733957</v>
      </c>
      <c r="L153" s="571">
        <f t="shared" si="134"/>
        <v>318053</v>
      </c>
      <c r="M153" s="571">
        <f t="shared" si="134"/>
        <v>175000</v>
      </c>
      <c r="N153" s="571">
        <f t="shared" si="134"/>
        <v>78200</v>
      </c>
      <c r="O153" s="571">
        <f t="shared" si="134"/>
        <v>743904</v>
      </c>
      <c r="P153" s="571">
        <f t="shared" si="134"/>
        <v>12277053</v>
      </c>
      <c r="Q153" s="554"/>
      <c r="R153" s="554"/>
    </row>
    <row r="154" spans="1:18" s="612" customFormat="1" ht="93" thickTop="1" thickBot="1" x14ac:dyDescent="0.25">
      <c r="A154" s="628" t="s">
        <v>214</v>
      </c>
      <c r="B154" s="628" t="s">
        <v>215</v>
      </c>
      <c r="C154" s="628" t="s">
        <v>210</v>
      </c>
      <c r="D154" s="628" t="s">
        <v>10</v>
      </c>
      <c r="E154" s="418">
        <f t="shared" si="131"/>
        <v>4435310</v>
      </c>
      <c r="F154" s="247">
        <f>(2725415+599590+377485+251835+384905+4560+86670+3450+1400)</f>
        <v>4435310</v>
      </c>
      <c r="G154" s="247">
        <v>2725415</v>
      </c>
      <c r="H154" s="247">
        <f>(384905+4560+86670+3450)</f>
        <v>479585</v>
      </c>
      <c r="I154" s="247"/>
      <c r="J154" s="626">
        <f t="shared" si="132"/>
        <v>1058957</v>
      </c>
      <c r="K154" s="247">
        <f>(733957)</f>
        <v>733957</v>
      </c>
      <c r="L154" s="248">
        <f>(175000+38500+27300+5000+36500+4800+35400+1500+1000)-9947</f>
        <v>315053</v>
      </c>
      <c r="M154" s="248">
        <v>175000</v>
      </c>
      <c r="N154" s="248">
        <f>(36500+4800+35400+1500)</f>
        <v>78200</v>
      </c>
      <c r="O154" s="627">
        <f>K154+9947</f>
        <v>743904</v>
      </c>
      <c r="P154" s="626">
        <f t="shared" ref="P154:P174" si="135">E154+J154</f>
        <v>5494267</v>
      </c>
      <c r="Q154" s="610"/>
      <c r="R154" s="613" t="b">
        <f>K154='d6'!J113</f>
        <v>1</v>
      </c>
    </row>
    <row r="155" spans="1:18" s="616" customFormat="1" ht="93" thickTop="1" thickBot="1" x14ac:dyDescent="0.25">
      <c r="A155" s="606" t="s">
        <v>385</v>
      </c>
      <c r="B155" s="606" t="s">
        <v>386</v>
      </c>
      <c r="C155" s="606" t="s">
        <v>210</v>
      </c>
      <c r="D155" s="606" t="s">
        <v>387</v>
      </c>
      <c r="E155" s="418">
        <f t="shared" si="131"/>
        <v>6779786</v>
      </c>
      <c r="F155" s="247">
        <f>(83645+830710+1020760+224570+61795+14860+37320+2075+23905+3000+2478500+545270+473390+27940+536310+404810)+10926</f>
        <v>6779786</v>
      </c>
      <c r="G155" s="247">
        <v>1020760</v>
      </c>
      <c r="H155" s="247">
        <f>(37320+2075+23905+3000)</f>
        <v>66300</v>
      </c>
      <c r="I155" s="247"/>
      <c r="J155" s="604">
        <f t="shared" si="132"/>
        <v>3000</v>
      </c>
      <c r="K155" s="247"/>
      <c r="L155" s="248">
        <v>3000</v>
      </c>
      <c r="M155" s="248"/>
      <c r="N155" s="248"/>
      <c r="O155" s="605">
        <f t="shared" si="133"/>
        <v>0</v>
      </c>
      <c r="P155" s="604">
        <f t="shared" si="135"/>
        <v>6782786</v>
      </c>
      <c r="Q155" s="614"/>
      <c r="R155" s="615"/>
    </row>
    <row r="156" spans="1:18" s="490" customFormat="1" ht="47.25" thickTop="1" thickBot="1" x14ac:dyDescent="0.25">
      <c r="A156" s="562" t="s">
        <v>970</v>
      </c>
      <c r="B156" s="562" t="s">
        <v>971</v>
      </c>
      <c r="C156" s="494"/>
      <c r="D156" s="562" t="s">
        <v>972</v>
      </c>
      <c r="E156" s="418">
        <f>SUM(E157:E168)-E157-E160-E162-E165</f>
        <v>71270651</v>
      </c>
      <c r="F156" s="418">
        <f t="shared" ref="F156:P156" si="136">SUM(F157:F168)-F157-F160-F162-F165</f>
        <v>71270651</v>
      </c>
      <c r="G156" s="418">
        <f t="shared" si="136"/>
        <v>32983000</v>
      </c>
      <c r="H156" s="418">
        <f t="shared" si="136"/>
        <v>1606860</v>
      </c>
      <c r="I156" s="418">
        <f t="shared" si="136"/>
        <v>0</v>
      </c>
      <c r="J156" s="418">
        <f t="shared" si="136"/>
        <v>4088272</v>
      </c>
      <c r="K156" s="418">
        <f t="shared" si="136"/>
        <v>2512027</v>
      </c>
      <c r="L156" s="418">
        <f t="shared" si="136"/>
        <v>1576245</v>
      </c>
      <c r="M156" s="418">
        <f t="shared" si="136"/>
        <v>691362</v>
      </c>
      <c r="N156" s="418">
        <f t="shared" si="136"/>
        <v>230778</v>
      </c>
      <c r="O156" s="418">
        <f t="shared" si="136"/>
        <v>2512027</v>
      </c>
      <c r="P156" s="418">
        <f t="shared" si="136"/>
        <v>75358923</v>
      </c>
      <c r="Q156" s="495"/>
      <c r="R156" s="317"/>
    </row>
    <row r="157" spans="1:18" s="85" customFormat="1" ht="93" thickTop="1" thickBot="1" x14ac:dyDescent="0.25">
      <c r="A157" s="464" t="s">
        <v>973</v>
      </c>
      <c r="B157" s="464" t="s">
        <v>974</v>
      </c>
      <c r="C157" s="464"/>
      <c r="D157" s="464" t="s">
        <v>975</v>
      </c>
      <c r="E157" s="571">
        <f>SUM(E158:E159)</f>
        <v>14074487</v>
      </c>
      <c r="F157" s="571">
        <f t="shared" ref="F157:P157" si="137">SUM(F158:F159)</f>
        <v>14074487</v>
      </c>
      <c r="G157" s="571">
        <f t="shared" si="137"/>
        <v>0</v>
      </c>
      <c r="H157" s="571">
        <f t="shared" si="137"/>
        <v>0</v>
      </c>
      <c r="I157" s="571">
        <f t="shared" si="137"/>
        <v>0</v>
      </c>
      <c r="J157" s="571">
        <f t="shared" si="137"/>
        <v>0</v>
      </c>
      <c r="K157" s="571">
        <f t="shared" si="137"/>
        <v>0</v>
      </c>
      <c r="L157" s="571">
        <f t="shared" si="137"/>
        <v>0</v>
      </c>
      <c r="M157" s="571">
        <f t="shared" si="137"/>
        <v>0</v>
      </c>
      <c r="N157" s="571">
        <f t="shared" si="137"/>
        <v>0</v>
      </c>
      <c r="O157" s="571">
        <f t="shared" si="137"/>
        <v>0</v>
      </c>
      <c r="P157" s="571">
        <f t="shared" si="137"/>
        <v>14074487</v>
      </c>
      <c r="Q157" s="273"/>
      <c r="R157" s="560"/>
    </row>
    <row r="158" spans="1:18" s="612" customFormat="1" ht="138.75" thickTop="1" thickBot="1" x14ac:dyDescent="0.25">
      <c r="A158" s="628" t="s">
        <v>46</v>
      </c>
      <c r="B158" s="628" t="s">
        <v>211</v>
      </c>
      <c r="C158" s="628" t="s">
        <v>220</v>
      </c>
      <c r="D158" s="628" t="s">
        <v>47</v>
      </c>
      <c r="E158" s="418">
        <f t="shared" si="131"/>
        <v>12164902</v>
      </c>
      <c r="F158" s="247">
        <f>(171260+11395570)+500000+98072</f>
        <v>12164902</v>
      </c>
      <c r="G158" s="405"/>
      <c r="H158" s="405"/>
      <c r="I158" s="405"/>
      <c r="J158" s="626">
        <f t="shared" si="132"/>
        <v>0</v>
      </c>
      <c r="K158" s="405"/>
      <c r="L158" s="405"/>
      <c r="M158" s="405"/>
      <c r="N158" s="405"/>
      <c r="O158" s="627">
        <f t="shared" si="133"/>
        <v>0</v>
      </c>
      <c r="P158" s="626">
        <f t="shared" si="135"/>
        <v>12164902</v>
      </c>
      <c r="Q158" s="610"/>
      <c r="R158" s="613"/>
    </row>
    <row r="159" spans="1:18" s="612" customFormat="1" ht="138.75" thickTop="1" thickBot="1" x14ac:dyDescent="0.25">
      <c r="A159" s="628" t="s">
        <v>48</v>
      </c>
      <c r="B159" s="628" t="s">
        <v>212</v>
      </c>
      <c r="C159" s="628" t="s">
        <v>220</v>
      </c>
      <c r="D159" s="628" t="s">
        <v>4</v>
      </c>
      <c r="E159" s="418">
        <f t="shared" si="131"/>
        <v>1909585</v>
      </c>
      <c r="F159" s="247">
        <f>(99315+1810270)</f>
        <v>1909585</v>
      </c>
      <c r="G159" s="405"/>
      <c r="H159" s="405"/>
      <c r="I159" s="405"/>
      <c r="J159" s="626">
        <f t="shared" si="132"/>
        <v>0</v>
      </c>
      <c r="K159" s="405"/>
      <c r="L159" s="405"/>
      <c r="M159" s="405"/>
      <c r="N159" s="405"/>
      <c r="O159" s="627">
        <f t="shared" si="133"/>
        <v>0</v>
      </c>
      <c r="P159" s="626">
        <f t="shared" si="135"/>
        <v>1909585</v>
      </c>
      <c r="Q159" s="610"/>
      <c r="R159" s="613"/>
    </row>
    <row r="160" spans="1:18" s="85" customFormat="1" ht="184.5" thickTop="1" thickBot="1" x14ac:dyDescent="0.25">
      <c r="A160" s="464" t="s">
        <v>976</v>
      </c>
      <c r="B160" s="464" t="s">
        <v>977</v>
      </c>
      <c r="C160" s="464"/>
      <c r="D160" s="464" t="s">
        <v>978</v>
      </c>
      <c r="E160" s="571">
        <f>E161</f>
        <v>60300</v>
      </c>
      <c r="F160" s="571">
        <f t="shared" ref="F160:P160" si="138">F161</f>
        <v>60300</v>
      </c>
      <c r="G160" s="571">
        <f t="shared" si="138"/>
        <v>0</v>
      </c>
      <c r="H160" s="571">
        <f t="shared" si="138"/>
        <v>0</v>
      </c>
      <c r="I160" s="571">
        <f t="shared" si="138"/>
        <v>0</v>
      </c>
      <c r="J160" s="571">
        <f t="shared" si="138"/>
        <v>0</v>
      </c>
      <c r="K160" s="571">
        <f t="shared" si="138"/>
        <v>0</v>
      </c>
      <c r="L160" s="571">
        <f t="shared" si="138"/>
        <v>0</v>
      </c>
      <c r="M160" s="571">
        <f t="shared" si="138"/>
        <v>0</v>
      </c>
      <c r="N160" s="571">
        <f t="shared" si="138"/>
        <v>0</v>
      </c>
      <c r="O160" s="571">
        <f t="shared" si="138"/>
        <v>0</v>
      </c>
      <c r="P160" s="571">
        <f t="shared" si="138"/>
        <v>60300</v>
      </c>
      <c r="Q160" s="273"/>
      <c r="R160" s="559"/>
    </row>
    <row r="161" spans="1:18" s="612" customFormat="1" ht="184.5" thickTop="1" thickBot="1" x14ac:dyDescent="0.25">
      <c r="A161" s="628" t="s">
        <v>49</v>
      </c>
      <c r="B161" s="628" t="s">
        <v>213</v>
      </c>
      <c r="C161" s="628" t="s">
        <v>220</v>
      </c>
      <c r="D161" s="628" t="s">
        <v>383</v>
      </c>
      <c r="E161" s="418">
        <f>F161</f>
        <v>60300</v>
      </c>
      <c r="F161" s="247">
        <f>(4295+56005)</f>
        <v>60300</v>
      </c>
      <c r="G161" s="247"/>
      <c r="H161" s="247"/>
      <c r="I161" s="405"/>
      <c r="J161" s="626">
        <f t="shared" si="132"/>
        <v>0</v>
      </c>
      <c r="K161" s="405"/>
      <c r="L161" s="247"/>
      <c r="M161" s="247"/>
      <c r="N161" s="247"/>
      <c r="O161" s="627">
        <f t="shared" si="133"/>
        <v>0</v>
      </c>
      <c r="P161" s="626">
        <f t="shared" si="135"/>
        <v>60300</v>
      </c>
      <c r="Q161" s="610"/>
      <c r="R161" s="613"/>
    </row>
    <row r="162" spans="1:18" s="490" customFormat="1" ht="93" thickTop="1" thickBot="1" x14ac:dyDescent="0.25">
      <c r="A162" s="464" t="s">
        <v>979</v>
      </c>
      <c r="B162" s="464" t="s">
        <v>980</v>
      </c>
      <c r="C162" s="464"/>
      <c r="D162" s="464" t="s">
        <v>981</v>
      </c>
      <c r="E162" s="571">
        <f>SUM(E163:E164)</f>
        <v>52686293</v>
      </c>
      <c r="F162" s="571">
        <f t="shared" ref="F162:P162" si="139">SUM(F163:F164)</f>
        <v>52686293</v>
      </c>
      <c r="G162" s="571">
        <f t="shared" si="139"/>
        <v>31776270</v>
      </c>
      <c r="H162" s="571">
        <f t="shared" si="139"/>
        <v>1606860</v>
      </c>
      <c r="I162" s="571">
        <f t="shared" si="139"/>
        <v>0</v>
      </c>
      <c r="J162" s="571">
        <f t="shared" si="139"/>
        <v>4058272</v>
      </c>
      <c r="K162" s="571">
        <f t="shared" si="139"/>
        <v>2482027</v>
      </c>
      <c r="L162" s="571">
        <f t="shared" si="139"/>
        <v>1576245</v>
      </c>
      <c r="M162" s="571">
        <f t="shared" si="139"/>
        <v>691362</v>
      </c>
      <c r="N162" s="571">
        <f t="shared" si="139"/>
        <v>230778</v>
      </c>
      <c r="O162" s="571">
        <f t="shared" si="139"/>
        <v>2482027</v>
      </c>
      <c r="P162" s="571">
        <f t="shared" si="139"/>
        <v>56744565</v>
      </c>
      <c r="Q162" s="495"/>
      <c r="R162" s="317"/>
    </row>
    <row r="163" spans="1:18" s="612" customFormat="1" ht="184.5" thickTop="1" thickBot="1" x14ac:dyDescent="0.25">
      <c r="A163" s="628" t="s">
        <v>28</v>
      </c>
      <c r="B163" s="628" t="s">
        <v>217</v>
      </c>
      <c r="C163" s="628" t="s">
        <v>220</v>
      </c>
      <c r="D163" s="628" t="s">
        <v>50</v>
      </c>
      <c r="E163" s="418">
        <f t="shared" si="131"/>
        <v>44588703</v>
      </c>
      <c r="F163" s="247">
        <f>(44066325)+254271+54363+132144+3050+3780+5880+7980+8760+19000+19150+14000</f>
        <v>44588703</v>
      </c>
      <c r="G163" s="247">
        <v>31776270</v>
      </c>
      <c r="H163" s="247">
        <f>(559555+134000+494595+408705+10005)</f>
        <v>1606860</v>
      </c>
      <c r="I163" s="247"/>
      <c r="J163" s="626">
        <f t="shared" si="132"/>
        <v>4043072</v>
      </c>
      <c r="K163" s="247">
        <f>(91670+32400+77910+16200+405800+200000)+4838-255801+48600+1509600+86000+33250+216360</f>
        <v>2466827</v>
      </c>
      <c r="L163" s="247">
        <f>(691362+141099+226744+1030+112354+105648+5500+230778+2000+59730)</f>
        <v>1576245</v>
      </c>
      <c r="M163" s="247">
        <v>691362</v>
      </c>
      <c r="N163" s="247">
        <f>(92672+44368+72322+15587+5829)</f>
        <v>230778</v>
      </c>
      <c r="O163" s="627">
        <f>(K163)</f>
        <v>2466827</v>
      </c>
      <c r="P163" s="626">
        <f t="shared" si="135"/>
        <v>48631775</v>
      </c>
      <c r="Q163" s="610"/>
      <c r="R163" s="613" t="b">
        <f>K163='d6'!J114+'d6'!J115+'d6'!J116+'d6'!J117+'d6'!J118+'d6'!J119</f>
        <v>1</v>
      </c>
    </row>
    <row r="164" spans="1:18" s="612" customFormat="1" ht="184.5" thickTop="1" thickBot="1" x14ac:dyDescent="0.25">
      <c r="A164" s="628" t="s">
        <v>29</v>
      </c>
      <c r="B164" s="628" t="s">
        <v>218</v>
      </c>
      <c r="C164" s="628" t="s">
        <v>220</v>
      </c>
      <c r="D164" s="628" t="s">
        <v>51</v>
      </c>
      <c r="E164" s="418">
        <f t="shared" si="131"/>
        <v>8097590</v>
      </c>
      <c r="F164" s="247">
        <v>8097590</v>
      </c>
      <c r="G164" s="247"/>
      <c r="H164" s="247"/>
      <c r="I164" s="247"/>
      <c r="J164" s="626">
        <f t="shared" si="132"/>
        <v>15200</v>
      </c>
      <c r="K164" s="247">
        <f>(15200)</f>
        <v>15200</v>
      </c>
      <c r="L164" s="247"/>
      <c r="M164" s="247"/>
      <c r="N164" s="247"/>
      <c r="O164" s="627">
        <f t="shared" si="133"/>
        <v>15200</v>
      </c>
      <c r="P164" s="626">
        <f t="shared" si="135"/>
        <v>8112790</v>
      </c>
      <c r="Q164" s="610"/>
      <c r="R164" s="613" t="b">
        <f>K164='d6'!J120</f>
        <v>1</v>
      </c>
    </row>
    <row r="165" spans="1:18" s="490" customFormat="1" ht="93" thickTop="1" thickBot="1" x14ac:dyDescent="0.25">
      <c r="A165" s="573" t="s">
        <v>982</v>
      </c>
      <c r="B165" s="464" t="s">
        <v>983</v>
      </c>
      <c r="C165" s="464"/>
      <c r="D165" s="464" t="s">
        <v>984</v>
      </c>
      <c r="E165" s="571">
        <f>SUM(E166:E168)</f>
        <v>4449571</v>
      </c>
      <c r="F165" s="571">
        <f t="shared" ref="F165:P165" si="140">SUM(F166:F168)</f>
        <v>4449571</v>
      </c>
      <c r="G165" s="571">
        <f t="shared" si="140"/>
        <v>1206730</v>
      </c>
      <c r="H165" s="571">
        <f t="shared" si="140"/>
        <v>0</v>
      </c>
      <c r="I165" s="571">
        <f t="shared" si="140"/>
        <v>0</v>
      </c>
      <c r="J165" s="571">
        <f t="shared" si="140"/>
        <v>30000</v>
      </c>
      <c r="K165" s="571">
        <f t="shared" si="140"/>
        <v>30000</v>
      </c>
      <c r="L165" s="571">
        <f t="shared" si="140"/>
        <v>0</v>
      </c>
      <c r="M165" s="571">
        <f t="shared" si="140"/>
        <v>0</v>
      </c>
      <c r="N165" s="571">
        <f t="shared" si="140"/>
        <v>0</v>
      </c>
      <c r="O165" s="571">
        <f t="shared" si="140"/>
        <v>30000</v>
      </c>
      <c r="P165" s="571">
        <f t="shared" si="140"/>
        <v>4479571</v>
      </c>
      <c r="Q165" s="495"/>
      <c r="R165" s="317"/>
    </row>
    <row r="166" spans="1:18" s="612" customFormat="1" ht="276" thickTop="1" thickBot="1" x14ac:dyDescent="0.25">
      <c r="A166" s="629" t="s">
        <v>30</v>
      </c>
      <c r="B166" s="629" t="s">
        <v>219</v>
      </c>
      <c r="C166" s="629" t="s">
        <v>220</v>
      </c>
      <c r="D166" s="628" t="s">
        <v>31</v>
      </c>
      <c r="E166" s="418">
        <f t="shared" si="131"/>
        <v>768820</v>
      </c>
      <c r="F166" s="247">
        <f>(48380+64440)+500000+156000</f>
        <v>768820</v>
      </c>
      <c r="G166" s="405"/>
      <c r="H166" s="405"/>
      <c r="I166" s="405"/>
      <c r="J166" s="626">
        <f t="shared" si="132"/>
        <v>0</v>
      </c>
      <c r="K166" s="405"/>
      <c r="L166" s="405"/>
      <c r="M166" s="405"/>
      <c r="N166" s="405"/>
      <c r="O166" s="627">
        <f t="shared" si="133"/>
        <v>0</v>
      </c>
      <c r="P166" s="626">
        <f t="shared" si="135"/>
        <v>768820</v>
      </c>
      <c r="Q166" s="610"/>
      <c r="R166" s="613"/>
    </row>
    <row r="167" spans="1:18" s="612" customFormat="1" ht="184.5" thickTop="1" thickBot="1" x14ac:dyDescent="0.25">
      <c r="A167" s="629" t="s">
        <v>571</v>
      </c>
      <c r="B167" s="629" t="s">
        <v>569</v>
      </c>
      <c r="C167" s="629" t="s">
        <v>220</v>
      </c>
      <c r="D167" s="628" t="s">
        <v>570</v>
      </c>
      <c r="E167" s="418">
        <f t="shared" si="131"/>
        <v>1969086</v>
      </c>
      <c r="F167" s="247">
        <f>(1968927)-98072+98231</f>
        <v>1969086</v>
      </c>
      <c r="G167" s="405"/>
      <c r="H167" s="405"/>
      <c r="I167" s="405"/>
      <c r="J167" s="626">
        <f t="shared" si="132"/>
        <v>0</v>
      </c>
      <c r="K167" s="405"/>
      <c r="L167" s="405"/>
      <c r="M167" s="405"/>
      <c r="N167" s="405"/>
      <c r="O167" s="627">
        <f t="shared" si="133"/>
        <v>0</v>
      </c>
      <c r="P167" s="626">
        <f t="shared" si="135"/>
        <v>1969086</v>
      </c>
      <c r="Q167" s="610"/>
      <c r="R167" s="613"/>
    </row>
    <row r="168" spans="1:18" s="612" customFormat="1" ht="93" thickTop="1" thickBot="1" x14ac:dyDescent="0.25">
      <c r="A168" s="629" t="s">
        <v>32</v>
      </c>
      <c r="B168" s="629" t="s">
        <v>221</v>
      </c>
      <c r="C168" s="629" t="s">
        <v>220</v>
      </c>
      <c r="D168" s="628" t="s">
        <v>33</v>
      </c>
      <c r="E168" s="418">
        <f>F168</f>
        <v>1711665</v>
      </c>
      <c r="F168" s="247">
        <f>(1206730+265480+98410+141045)</f>
        <v>1711665</v>
      </c>
      <c r="G168" s="405">
        <v>1206730</v>
      </c>
      <c r="H168" s="405"/>
      <c r="I168" s="405"/>
      <c r="J168" s="626">
        <f t="shared" si="132"/>
        <v>30000</v>
      </c>
      <c r="K168" s="405">
        <f>(30000)</f>
        <v>30000</v>
      </c>
      <c r="L168" s="405"/>
      <c r="M168" s="405"/>
      <c r="N168" s="405"/>
      <c r="O168" s="627">
        <f t="shared" si="133"/>
        <v>30000</v>
      </c>
      <c r="P168" s="626">
        <f t="shared" si="135"/>
        <v>1741665</v>
      </c>
      <c r="Q168" s="610"/>
      <c r="R168" s="613" t="b">
        <f>K168='d6'!J121</f>
        <v>1</v>
      </c>
    </row>
    <row r="169" spans="1:18" s="490" customFormat="1" ht="91.5" thickTop="1" thickBot="1" x14ac:dyDescent="0.25">
      <c r="A169" s="251" t="s">
        <v>985</v>
      </c>
      <c r="B169" s="251" t="s">
        <v>942</v>
      </c>
      <c r="C169" s="251"/>
      <c r="D169" s="556" t="s">
        <v>943</v>
      </c>
      <c r="E169" s="418">
        <f>E170</f>
        <v>25424.53</v>
      </c>
      <c r="F169" s="418">
        <f t="shared" ref="F169:P170" si="141">F170</f>
        <v>25424.53</v>
      </c>
      <c r="G169" s="418">
        <f t="shared" si="141"/>
        <v>0</v>
      </c>
      <c r="H169" s="418">
        <f t="shared" si="141"/>
        <v>0</v>
      </c>
      <c r="I169" s="418">
        <f t="shared" si="141"/>
        <v>0</v>
      </c>
      <c r="J169" s="418">
        <f t="shared" si="141"/>
        <v>0</v>
      </c>
      <c r="K169" s="418">
        <f t="shared" si="141"/>
        <v>0</v>
      </c>
      <c r="L169" s="418">
        <f t="shared" si="141"/>
        <v>0</v>
      </c>
      <c r="M169" s="418">
        <f t="shared" si="141"/>
        <v>0</v>
      </c>
      <c r="N169" s="418">
        <f t="shared" si="141"/>
        <v>0</v>
      </c>
      <c r="O169" s="418">
        <f t="shared" si="141"/>
        <v>0</v>
      </c>
      <c r="P169" s="418">
        <f t="shared" si="141"/>
        <v>25424.53</v>
      </c>
      <c r="Q169" s="495"/>
      <c r="R169" s="317"/>
    </row>
    <row r="170" spans="1:18" s="490" customFormat="1" ht="93" thickTop="1" thickBot="1" x14ac:dyDescent="0.25">
      <c r="A170" s="573" t="s">
        <v>986</v>
      </c>
      <c r="B170" s="573" t="s">
        <v>945</v>
      </c>
      <c r="C170" s="573"/>
      <c r="D170" s="464" t="s">
        <v>946</v>
      </c>
      <c r="E170" s="571">
        <f>E171</f>
        <v>25424.53</v>
      </c>
      <c r="F170" s="571">
        <f t="shared" si="141"/>
        <v>25424.53</v>
      </c>
      <c r="G170" s="571">
        <f t="shared" si="141"/>
        <v>0</v>
      </c>
      <c r="H170" s="571">
        <f t="shared" si="141"/>
        <v>0</v>
      </c>
      <c r="I170" s="571">
        <f t="shared" si="141"/>
        <v>0</v>
      </c>
      <c r="J170" s="571">
        <f t="shared" si="141"/>
        <v>0</v>
      </c>
      <c r="K170" s="571">
        <f t="shared" si="141"/>
        <v>0</v>
      </c>
      <c r="L170" s="571">
        <f t="shared" si="141"/>
        <v>0</v>
      </c>
      <c r="M170" s="571">
        <f t="shared" si="141"/>
        <v>0</v>
      </c>
      <c r="N170" s="571">
        <f t="shared" si="141"/>
        <v>0</v>
      </c>
      <c r="O170" s="571">
        <f t="shared" si="141"/>
        <v>0</v>
      </c>
      <c r="P170" s="571">
        <f t="shared" si="141"/>
        <v>25424.53</v>
      </c>
      <c r="Q170" s="495"/>
      <c r="R170" s="317"/>
    </row>
    <row r="171" spans="1:18" s="612" customFormat="1" ht="276" thickTop="1" thickBot="1" x14ac:dyDescent="0.25">
      <c r="A171" s="629" t="s">
        <v>375</v>
      </c>
      <c r="B171" s="629" t="s">
        <v>374</v>
      </c>
      <c r="C171" s="629" t="s">
        <v>373</v>
      </c>
      <c r="D171" s="628" t="s">
        <v>834</v>
      </c>
      <c r="E171" s="418">
        <f>F171</f>
        <v>25424.53</v>
      </c>
      <c r="F171" s="247">
        <f>(18000)+7424.53</f>
        <v>25424.53</v>
      </c>
      <c r="G171" s="405"/>
      <c r="H171" s="405"/>
      <c r="I171" s="405"/>
      <c r="J171" s="626">
        <f t="shared" si="132"/>
        <v>0</v>
      </c>
      <c r="K171" s="405"/>
      <c r="L171" s="405"/>
      <c r="M171" s="405"/>
      <c r="N171" s="405"/>
      <c r="O171" s="627">
        <f t="shared" si="133"/>
        <v>0</v>
      </c>
      <c r="P171" s="626">
        <f t="shared" si="135"/>
        <v>25424.53</v>
      </c>
      <c r="Q171" s="610"/>
      <c r="R171" s="611"/>
    </row>
    <row r="172" spans="1:18" s="490" customFormat="1" ht="47.25" thickTop="1" thickBot="1" x14ac:dyDescent="0.25">
      <c r="A172" s="562" t="s">
        <v>987</v>
      </c>
      <c r="B172" s="561" t="s">
        <v>948</v>
      </c>
      <c r="C172" s="561"/>
      <c r="D172" s="561" t="s">
        <v>949</v>
      </c>
      <c r="E172" s="418">
        <f>E173</f>
        <v>0</v>
      </c>
      <c r="F172" s="418">
        <f t="shared" ref="F172:P173" si="142">F173</f>
        <v>0</v>
      </c>
      <c r="G172" s="418">
        <f t="shared" si="142"/>
        <v>0</v>
      </c>
      <c r="H172" s="418">
        <f t="shared" si="142"/>
        <v>0</v>
      </c>
      <c r="I172" s="418">
        <f t="shared" si="142"/>
        <v>0</v>
      </c>
      <c r="J172" s="418">
        <f t="shared" si="142"/>
        <v>1021474</v>
      </c>
      <c r="K172" s="418">
        <f t="shared" si="142"/>
        <v>1021474</v>
      </c>
      <c r="L172" s="418">
        <f t="shared" si="142"/>
        <v>0</v>
      </c>
      <c r="M172" s="418">
        <f t="shared" si="142"/>
        <v>0</v>
      </c>
      <c r="N172" s="418">
        <f t="shared" si="142"/>
        <v>0</v>
      </c>
      <c r="O172" s="418">
        <f t="shared" si="142"/>
        <v>1021474</v>
      </c>
      <c r="P172" s="418">
        <f t="shared" si="142"/>
        <v>1021474</v>
      </c>
      <c r="Q172" s="495"/>
      <c r="R172" s="277"/>
    </row>
    <row r="173" spans="1:18" s="490" customFormat="1" ht="136.5" thickTop="1" thickBot="1" x14ac:dyDescent="0.25">
      <c r="A173" s="506" t="s">
        <v>988</v>
      </c>
      <c r="B173" s="506" t="s">
        <v>887</v>
      </c>
      <c r="C173" s="506"/>
      <c r="D173" s="506" t="s">
        <v>885</v>
      </c>
      <c r="E173" s="570">
        <f>E174</f>
        <v>0</v>
      </c>
      <c r="F173" s="570">
        <f t="shared" si="142"/>
        <v>0</v>
      </c>
      <c r="G173" s="570">
        <f t="shared" si="142"/>
        <v>0</v>
      </c>
      <c r="H173" s="570">
        <f t="shared" si="142"/>
        <v>0</v>
      </c>
      <c r="I173" s="570">
        <f t="shared" si="142"/>
        <v>0</v>
      </c>
      <c r="J173" s="570">
        <f t="shared" si="142"/>
        <v>1021474</v>
      </c>
      <c r="K173" s="570">
        <f t="shared" si="142"/>
        <v>1021474</v>
      </c>
      <c r="L173" s="570">
        <f t="shared" si="142"/>
        <v>0</v>
      </c>
      <c r="M173" s="570">
        <f t="shared" si="142"/>
        <v>0</v>
      </c>
      <c r="N173" s="570">
        <f t="shared" si="142"/>
        <v>0</v>
      </c>
      <c r="O173" s="570">
        <f t="shared" si="142"/>
        <v>1021474</v>
      </c>
      <c r="P173" s="570">
        <f t="shared" si="142"/>
        <v>1021474</v>
      </c>
      <c r="Q173" s="495"/>
      <c r="R173" s="277"/>
    </row>
    <row r="174" spans="1:18" s="612" customFormat="1" ht="93" thickTop="1" thickBot="1" x14ac:dyDescent="0.25">
      <c r="A174" s="628" t="s">
        <v>777</v>
      </c>
      <c r="B174" s="628" t="s">
        <v>222</v>
      </c>
      <c r="C174" s="628" t="s">
        <v>191</v>
      </c>
      <c r="D174" s="628" t="s">
        <v>36</v>
      </c>
      <c r="E174" s="626">
        <f t="shared" ref="E174" si="143">F174</f>
        <v>0</v>
      </c>
      <c r="F174" s="405"/>
      <c r="G174" s="405"/>
      <c r="H174" s="405"/>
      <c r="I174" s="405"/>
      <c r="J174" s="626">
        <f t="shared" si="132"/>
        <v>1021474</v>
      </c>
      <c r="K174" s="405">
        <f>(45144)+976330</f>
        <v>1021474</v>
      </c>
      <c r="L174" s="405"/>
      <c r="M174" s="405"/>
      <c r="N174" s="405"/>
      <c r="O174" s="627">
        <f t="shared" si="133"/>
        <v>1021474</v>
      </c>
      <c r="P174" s="626">
        <f t="shared" si="135"/>
        <v>1021474</v>
      </c>
      <c r="Q174" s="610"/>
      <c r="R174" s="613" t="b">
        <f>K174='d6'!J122</f>
        <v>1</v>
      </c>
    </row>
    <row r="175" spans="1:18" s="235" customFormat="1" ht="181.5" thickTop="1" thickBot="1" x14ac:dyDescent="0.25">
      <c r="A175" s="680" t="s">
        <v>179</v>
      </c>
      <c r="B175" s="680"/>
      <c r="C175" s="680"/>
      <c r="D175" s="681" t="s">
        <v>698</v>
      </c>
      <c r="E175" s="682">
        <f>E176</f>
        <v>25382295</v>
      </c>
      <c r="F175" s="683">
        <f t="shared" ref="F175:G175" si="144">F176</f>
        <v>25382295</v>
      </c>
      <c r="G175" s="683">
        <f t="shared" si="144"/>
        <v>5441675</v>
      </c>
      <c r="H175" s="683">
        <f>H176</f>
        <v>137385</v>
      </c>
      <c r="I175" s="683">
        <f t="shared" ref="I175" si="145">I176</f>
        <v>0</v>
      </c>
      <c r="J175" s="682">
        <f>J176</f>
        <v>31309249</v>
      </c>
      <c r="K175" s="683">
        <f>K176</f>
        <v>31119249</v>
      </c>
      <c r="L175" s="683">
        <f>L176</f>
        <v>190000</v>
      </c>
      <c r="M175" s="683">
        <f t="shared" ref="M175" si="146">M176</f>
        <v>0</v>
      </c>
      <c r="N175" s="682">
        <f>N176</f>
        <v>0</v>
      </c>
      <c r="O175" s="682">
        <f>O176</f>
        <v>31119249</v>
      </c>
      <c r="P175" s="683">
        <f>P176</f>
        <v>56691544</v>
      </c>
      <c r="Q175" s="266"/>
      <c r="R175" s="277"/>
    </row>
    <row r="176" spans="1:18" s="235" customFormat="1" ht="181.5" thickTop="1" thickBot="1" x14ac:dyDescent="0.25">
      <c r="A176" s="684" t="s">
        <v>180</v>
      </c>
      <c r="B176" s="684"/>
      <c r="C176" s="684"/>
      <c r="D176" s="685" t="s">
        <v>699</v>
      </c>
      <c r="E176" s="686">
        <f>E177+E180+E187</f>
        <v>25382295</v>
      </c>
      <c r="F176" s="686">
        <f t="shared" ref="F176:I176" si="147">F177+F180+F187</f>
        <v>25382295</v>
      </c>
      <c r="G176" s="686">
        <f t="shared" si="147"/>
        <v>5441675</v>
      </c>
      <c r="H176" s="686">
        <f t="shared" si="147"/>
        <v>137385</v>
      </c>
      <c r="I176" s="686">
        <f t="shared" si="147"/>
        <v>0</v>
      </c>
      <c r="J176" s="686">
        <f t="shared" ref="J176:J192" si="148">L176+O176</f>
        <v>31309249</v>
      </c>
      <c r="K176" s="686">
        <f t="shared" ref="K176:O176" si="149">K177+K180+K187</f>
        <v>31119249</v>
      </c>
      <c r="L176" s="686">
        <f t="shared" si="149"/>
        <v>190000</v>
      </c>
      <c r="M176" s="686">
        <f t="shared" si="149"/>
        <v>0</v>
      </c>
      <c r="N176" s="686">
        <f t="shared" si="149"/>
        <v>0</v>
      </c>
      <c r="O176" s="686">
        <f t="shared" si="149"/>
        <v>31119249</v>
      </c>
      <c r="P176" s="687">
        <f>E176+J176</f>
        <v>56691544</v>
      </c>
      <c r="Q176" s="336" t="b">
        <f>P176=P178+P182+P183+P184+P186+P189+P192+P179+P190+P185</f>
        <v>1</v>
      </c>
      <c r="R176" s="336" t="b">
        <f>K176='d6'!J123</f>
        <v>1</v>
      </c>
    </row>
    <row r="177" spans="1:18" s="490" customFormat="1" ht="47.25" thickTop="1" thickBot="1" x14ac:dyDescent="0.25">
      <c r="A177" s="562" t="s">
        <v>989</v>
      </c>
      <c r="B177" s="562" t="s">
        <v>880</v>
      </c>
      <c r="C177" s="562"/>
      <c r="D177" s="562" t="s">
        <v>881</v>
      </c>
      <c r="E177" s="491">
        <f>SUM(E178:E179)</f>
        <v>7556995</v>
      </c>
      <c r="F177" s="491">
        <f t="shared" ref="F177" si="150">SUM(F178:F179)</f>
        <v>7556995</v>
      </c>
      <c r="G177" s="491">
        <f t="shared" ref="G177" si="151">SUM(G178:G179)</f>
        <v>5441675</v>
      </c>
      <c r="H177" s="491">
        <f t="shared" ref="H177" si="152">SUM(H178:H179)</f>
        <v>137385</v>
      </c>
      <c r="I177" s="491">
        <f t="shared" ref="I177" si="153">SUM(I178:I179)</f>
        <v>0</v>
      </c>
      <c r="J177" s="491">
        <f t="shared" ref="J177" si="154">SUM(J178:J179)</f>
        <v>163248</v>
      </c>
      <c r="K177" s="491">
        <f t="shared" ref="K177" si="155">SUM(K178:K179)</f>
        <v>163248</v>
      </c>
      <c r="L177" s="491">
        <f t="shared" ref="L177" si="156">SUM(L178:L179)</f>
        <v>0</v>
      </c>
      <c r="M177" s="491">
        <f t="shared" ref="M177" si="157">SUM(M178:M179)</f>
        <v>0</v>
      </c>
      <c r="N177" s="491">
        <f t="shared" ref="N177" si="158">SUM(N178:N179)</f>
        <v>0</v>
      </c>
      <c r="O177" s="491">
        <f>SUM(O178:O179)</f>
        <v>163248</v>
      </c>
      <c r="P177" s="491">
        <f t="shared" ref="P177" si="159">SUM(P178:P179)</f>
        <v>7720243</v>
      </c>
      <c r="Q177" s="336"/>
      <c r="R177" s="336"/>
    </row>
    <row r="178" spans="1:18" s="235" customFormat="1" ht="230.25" thickTop="1" thickBot="1" x14ac:dyDescent="0.25">
      <c r="A178" s="360" t="s">
        <v>459</v>
      </c>
      <c r="B178" s="360" t="s">
        <v>261</v>
      </c>
      <c r="C178" s="360" t="s">
        <v>259</v>
      </c>
      <c r="D178" s="360" t="s">
        <v>260</v>
      </c>
      <c r="E178" s="418">
        <f>F178</f>
        <v>7544995</v>
      </c>
      <c r="F178" s="247">
        <f>(5441675+1197170+253395+210390+14760+39015+5208+25686+4476+3400+34020-12000)+199000+65800+39500+23500</f>
        <v>7544995</v>
      </c>
      <c r="G178" s="247">
        <v>5441675</v>
      </c>
      <c r="H178" s="247">
        <f>(39015+5208+25686+4476)+39500+23500</f>
        <v>137385</v>
      </c>
      <c r="I178" s="247"/>
      <c r="J178" s="415">
        <f t="shared" si="148"/>
        <v>163248</v>
      </c>
      <c r="K178" s="247">
        <f>(36000)+31812+95436</f>
        <v>163248</v>
      </c>
      <c r="L178" s="248"/>
      <c r="M178" s="248"/>
      <c r="N178" s="248"/>
      <c r="O178" s="417">
        <f t="shared" ref="O178:O189" si="160">K178</f>
        <v>163248</v>
      </c>
      <c r="P178" s="415">
        <f t="shared" ref="P178:P184" si="161">+J178+E178</f>
        <v>7708243</v>
      </c>
      <c r="Q178" s="266"/>
      <c r="R178" s="336" t="b">
        <f>K178='d6'!J125</f>
        <v>1</v>
      </c>
    </row>
    <row r="179" spans="1:18" s="407" customFormat="1" ht="184.5" thickTop="1" thickBot="1" x14ac:dyDescent="0.25">
      <c r="A179" s="409" t="s">
        <v>822</v>
      </c>
      <c r="B179" s="409" t="s">
        <v>398</v>
      </c>
      <c r="C179" s="409" t="s">
        <v>815</v>
      </c>
      <c r="D179" s="409" t="s">
        <v>816</v>
      </c>
      <c r="E179" s="410">
        <f t="shared" ref="E179" si="162">F179</f>
        <v>12000</v>
      </c>
      <c r="F179" s="397">
        <v>12000</v>
      </c>
      <c r="G179" s="397"/>
      <c r="H179" s="397"/>
      <c r="I179" s="397"/>
      <c r="J179" s="410">
        <f t="shared" si="148"/>
        <v>0</v>
      </c>
      <c r="K179" s="397"/>
      <c r="L179" s="398"/>
      <c r="M179" s="399"/>
      <c r="N179" s="399"/>
      <c r="O179" s="408">
        <f t="shared" si="160"/>
        <v>0</v>
      </c>
      <c r="P179" s="410">
        <f>+J179+E179</f>
        <v>12000</v>
      </c>
      <c r="Q179" s="411"/>
      <c r="R179" s="336"/>
    </row>
    <row r="180" spans="1:18" s="490" customFormat="1" ht="91.5" thickTop="1" thickBot="1" x14ac:dyDescent="0.25">
      <c r="A180" s="251" t="s">
        <v>990</v>
      </c>
      <c r="B180" s="561" t="s">
        <v>942</v>
      </c>
      <c r="C180" s="561"/>
      <c r="D180" s="556" t="s">
        <v>943</v>
      </c>
      <c r="E180" s="492">
        <f>SUM(E181:E186)-E181</f>
        <v>17325300</v>
      </c>
      <c r="F180" s="492">
        <f t="shared" ref="F180:P180" si="163">SUM(F181:F186)-F181</f>
        <v>17325300</v>
      </c>
      <c r="G180" s="492">
        <f t="shared" si="163"/>
        <v>0</v>
      </c>
      <c r="H180" s="492">
        <f t="shared" si="163"/>
        <v>0</v>
      </c>
      <c r="I180" s="492">
        <f t="shared" si="163"/>
        <v>0</v>
      </c>
      <c r="J180" s="492">
        <f t="shared" si="163"/>
        <v>28466001</v>
      </c>
      <c r="K180" s="492">
        <f t="shared" si="163"/>
        <v>28466001</v>
      </c>
      <c r="L180" s="492">
        <f t="shared" si="163"/>
        <v>0</v>
      </c>
      <c r="M180" s="492">
        <f t="shared" si="163"/>
        <v>0</v>
      </c>
      <c r="N180" s="492">
        <f t="shared" si="163"/>
        <v>0</v>
      </c>
      <c r="O180" s="492">
        <f t="shared" si="163"/>
        <v>28466001</v>
      </c>
      <c r="P180" s="492">
        <f t="shared" si="163"/>
        <v>45791301</v>
      </c>
      <c r="Q180" s="495"/>
      <c r="R180" s="336"/>
    </row>
    <row r="181" spans="1:18" s="85" customFormat="1" ht="184.5" thickTop="1" thickBot="1" x14ac:dyDescent="0.25">
      <c r="A181" s="552" t="s">
        <v>991</v>
      </c>
      <c r="B181" s="505" t="s">
        <v>992</v>
      </c>
      <c r="C181" s="505"/>
      <c r="D181" s="505" t="s">
        <v>993</v>
      </c>
      <c r="E181" s="574">
        <f>SUM(E182:E184)</f>
        <v>3025300</v>
      </c>
      <c r="F181" s="574">
        <f t="shared" ref="F181:P181" si="164">SUM(F182:F184)</f>
        <v>3025300</v>
      </c>
      <c r="G181" s="574">
        <f t="shared" si="164"/>
        <v>0</v>
      </c>
      <c r="H181" s="574">
        <f t="shared" si="164"/>
        <v>0</v>
      </c>
      <c r="I181" s="574">
        <f t="shared" si="164"/>
        <v>0</v>
      </c>
      <c r="J181" s="574">
        <f t="shared" si="164"/>
        <v>28466001</v>
      </c>
      <c r="K181" s="574">
        <f t="shared" si="164"/>
        <v>28466001</v>
      </c>
      <c r="L181" s="574">
        <f t="shared" si="164"/>
        <v>0</v>
      </c>
      <c r="M181" s="574">
        <f t="shared" si="164"/>
        <v>0</v>
      </c>
      <c r="N181" s="574">
        <f t="shared" si="164"/>
        <v>0</v>
      </c>
      <c r="O181" s="574">
        <f t="shared" si="164"/>
        <v>28466001</v>
      </c>
      <c r="P181" s="574">
        <f t="shared" si="164"/>
        <v>31491301</v>
      </c>
      <c r="Q181" s="273"/>
      <c r="R181" s="336"/>
    </row>
    <row r="182" spans="1:18" s="235" customFormat="1" ht="138.75" thickTop="1" thickBot="1" x14ac:dyDescent="0.25">
      <c r="A182" s="360" t="s">
        <v>305</v>
      </c>
      <c r="B182" s="360" t="s">
        <v>306</v>
      </c>
      <c r="C182" s="360" t="s">
        <v>373</v>
      </c>
      <c r="D182" s="360" t="s">
        <v>307</v>
      </c>
      <c r="E182" s="418">
        <f t="shared" ref="E182:E192" si="165">F182</f>
        <v>2475300</v>
      </c>
      <c r="F182" s="247">
        <f>(2675300)-200000</f>
        <v>2475300</v>
      </c>
      <c r="G182" s="247"/>
      <c r="H182" s="247"/>
      <c r="I182" s="247"/>
      <c r="J182" s="415">
        <f t="shared" si="148"/>
        <v>10345240</v>
      </c>
      <c r="K182" s="247">
        <v>10345240</v>
      </c>
      <c r="L182" s="248"/>
      <c r="M182" s="248"/>
      <c r="N182" s="248"/>
      <c r="O182" s="417">
        <f t="shared" si="160"/>
        <v>10345240</v>
      </c>
      <c r="P182" s="415">
        <f t="shared" si="161"/>
        <v>12820540</v>
      </c>
      <c r="Q182" s="266"/>
      <c r="R182" s="336" t="b">
        <f>K182='d6'!J126</f>
        <v>1</v>
      </c>
    </row>
    <row r="183" spans="1:18" s="235" customFormat="1" ht="138.75" thickTop="1" thickBot="1" x14ac:dyDescent="0.25">
      <c r="A183" s="360" t="s">
        <v>327</v>
      </c>
      <c r="B183" s="360" t="s">
        <v>328</v>
      </c>
      <c r="C183" s="360" t="s">
        <v>308</v>
      </c>
      <c r="D183" s="360" t="s">
        <v>329</v>
      </c>
      <c r="E183" s="418">
        <f t="shared" si="165"/>
        <v>0</v>
      </c>
      <c r="F183" s="247"/>
      <c r="G183" s="247"/>
      <c r="H183" s="247"/>
      <c r="I183" s="247"/>
      <c r="J183" s="415">
        <f t="shared" si="148"/>
        <v>5000000</v>
      </c>
      <c r="K183" s="247">
        <v>5000000</v>
      </c>
      <c r="L183" s="248"/>
      <c r="M183" s="248"/>
      <c r="N183" s="248"/>
      <c r="O183" s="417">
        <f t="shared" si="160"/>
        <v>5000000</v>
      </c>
      <c r="P183" s="415">
        <f t="shared" si="161"/>
        <v>5000000</v>
      </c>
      <c r="Q183" s="266"/>
      <c r="R183" s="336" t="b">
        <f>K183='d6'!J127</f>
        <v>1</v>
      </c>
    </row>
    <row r="184" spans="1:18" s="235" customFormat="1" ht="184.5" thickTop="1" thickBot="1" x14ac:dyDescent="0.25">
      <c r="A184" s="360" t="s">
        <v>309</v>
      </c>
      <c r="B184" s="360" t="s">
        <v>310</v>
      </c>
      <c r="C184" s="360" t="s">
        <v>308</v>
      </c>
      <c r="D184" s="360" t="s">
        <v>514</v>
      </c>
      <c r="E184" s="418">
        <f t="shared" si="165"/>
        <v>550000</v>
      </c>
      <c r="F184" s="247">
        <v>550000</v>
      </c>
      <c r="G184" s="247"/>
      <c r="H184" s="247"/>
      <c r="I184" s="247"/>
      <c r="J184" s="415">
        <f t="shared" si="148"/>
        <v>13120761</v>
      </c>
      <c r="K184" s="247">
        <f>13120761</f>
        <v>13120761</v>
      </c>
      <c r="L184" s="248"/>
      <c r="M184" s="248"/>
      <c r="N184" s="248"/>
      <c r="O184" s="417">
        <f t="shared" si="160"/>
        <v>13120761</v>
      </c>
      <c r="P184" s="415">
        <f t="shared" si="161"/>
        <v>13670761</v>
      </c>
      <c r="Q184" s="266"/>
      <c r="R184" s="336" t="b">
        <f>K184='d6'!J132+'d6'!J131+'d6'!J130+'d6'!J129</f>
        <v>1</v>
      </c>
    </row>
    <row r="185" spans="1:18" s="725" customFormat="1" ht="230.25" thickTop="1" thickBot="1" x14ac:dyDescent="0.25">
      <c r="A185" s="727" t="s">
        <v>1211</v>
      </c>
      <c r="B185" s="727" t="s">
        <v>323</v>
      </c>
      <c r="C185" s="727" t="s">
        <v>308</v>
      </c>
      <c r="D185" s="727" t="s">
        <v>324</v>
      </c>
      <c r="E185" s="418">
        <f t="shared" ref="E185" si="166">F185</f>
        <v>200000</v>
      </c>
      <c r="F185" s="247">
        <v>200000</v>
      </c>
      <c r="G185" s="247"/>
      <c r="H185" s="247"/>
      <c r="I185" s="247"/>
      <c r="J185" s="728">
        <f t="shared" ref="J185" si="167">L185+O185</f>
        <v>0</v>
      </c>
      <c r="K185" s="247"/>
      <c r="L185" s="248"/>
      <c r="M185" s="248"/>
      <c r="N185" s="248"/>
      <c r="O185" s="730">
        <f t="shared" ref="O185" si="168">K185</f>
        <v>0</v>
      </c>
      <c r="P185" s="728">
        <f t="shared" ref="P185" si="169">+J185+E185</f>
        <v>200000</v>
      </c>
      <c r="Q185" s="737"/>
      <c r="R185" s="336"/>
    </row>
    <row r="186" spans="1:18" s="235" customFormat="1" ht="93" thickTop="1" thickBot="1" x14ac:dyDescent="0.25">
      <c r="A186" s="360" t="s">
        <v>313</v>
      </c>
      <c r="B186" s="360" t="s">
        <v>314</v>
      </c>
      <c r="C186" s="360" t="s">
        <v>308</v>
      </c>
      <c r="D186" s="360" t="s">
        <v>315</v>
      </c>
      <c r="E186" s="418">
        <f t="shared" si="165"/>
        <v>14100000</v>
      </c>
      <c r="F186" s="247">
        <v>14100000</v>
      </c>
      <c r="G186" s="247"/>
      <c r="H186" s="247"/>
      <c r="I186" s="247"/>
      <c r="J186" s="415">
        <f t="shared" si="148"/>
        <v>0</v>
      </c>
      <c r="K186" s="416"/>
      <c r="L186" s="247"/>
      <c r="M186" s="247"/>
      <c r="N186" s="247"/>
      <c r="O186" s="417">
        <f t="shared" si="160"/>
        <v>0</v>
      </c>
      <c r="P186" s="415">
        <f t="shared" ref="P186" si="170">E186+J186</f>
        <v>14100000</v>
      </c>
      <c r="Q186" s="266"/>
      <c r="R186" s="277"/>
    </row>
    <row r="187" spans="1:18" s="490" customFormat="1" ht="47.25" thickTop="1" thickBot="1" x14ac:dyDescent="0.25">
      <c r="A187" s="251" t="s">
        <v>994</v>
      </c>
      <c r="B187" s="251" t="s">
        <v>948</v>
      </c>
      <c r="C187" s="251"/>
      <c r="D187" s="251" t="s">
        <v>995</v>
      </c>
      <c r="E187" s="418">
        <f>E188</f>
        <v>500000</v>
      </c>
      <c r="F187" s="418">
        <f t="shared" ref="F187:P187" si="171">F188</f>
        <v>500000</v>
      </c>
      <c r="G187" s="418">
        <f t="shared" si="171"/>
        <v>0</v>
      </c>
      <c r="H187" s="418">
        <f t="shared" si="171"/>
        <v>0</v>
      </c>
      <c r="I187" s="418">
        <f t="shared" si="171"/>
        <v>0</v>
      </c>
      <c r="J187" s="418">
        <f>J188</f>
        <v>2680000</v>
      </c>
      <c r="K187" s="418">
        <f t="shared" si="171"/>
        <v>2490000</v>
      </c>
      <c r="L187" s="418">
        <f t="shared" si="171"/>
        <v>190000</v>
      </c>
      <c r="M187" s="418">
        <f t="shared" si="171"/>
        <v>0</v>
      </c>
      <c r="N187" s="418">
        <f t="shared" si="171"/>
        <v>0</v>
      </c>
      <c r="O187" s="418">
        <f t="shared" si="171"/>
        <v>2490000</v>
      </c>
      <c r="P187" s="418">
        <f t="shared" si="171"/>
        <v>3180000</v>
      </c>
      <c r="Q187" s="495"/>
      <c r="R187" s="277"/>
    </row>
    <row r="188" spans="1:18" s="490" customFormat="1" ht="136.5" thickTop="1" thickBot="1" x14ac:dyDescent="0.25">
      <c r="A188" s="557" t="s">
        <v>996</v>
      </c>
      <c r="B188" s="557" t="s">
        <v>887</v>
      </c>
      <c r="C188" s="557"/>
      <c r="D188" s="557" t="s">
        <v>885</v>
      </c>
      <c r="E188" s="570">
        <f t="shared" ref="E188:P188" si="172">E189+E191+E190</f>
        <v>500000</v>
      </c>
      <c r="F188" s="570">
        <f t="shared" si="172"/>
        <v>500000</v>
      </c>
      <c r="G188" s="570">
        <f t="shared" si="172"/>
        <v>0</v>
      </c>
      <c r="H188" s="570">
        <f t="shared" si="172"/>
        <v>0</v>
      </c>
      <c r="I188" s="570">
        <f t="shared" si="172"/>
        <v>0</v>
      </c>
      <c r="J188" s="570">
        <f t="shared" si="172"/>
        <v>2680000</v>
      </c>
      <c r="K188" s="570">
        <f t="shared" si="172"/>
        <v>2490000</v>
      </c>
      <c r="L188" s="570">
        <f t="shared" si="172"/>
        <v>190000</v>
      </c>
      <c r="M188" s="570">
        <f t="shared" si="172"/>
        <v>0</v>
      </c>
      <c r="N188" s="570">
        <f t="shared" si="172"/>
        <v>0</v>
      </c>
      <c r="O188" s="570">
        <f t="shared" si="172"/>
        <v>2490000</v>
      </c>
      <c r="P188" s="570">
        <f t="shared" si="172"/>
        <v>3180000</v>
      </c>
      <c r="Q188" s="495"/>
      <c r="R188" s="277"/>
    </row>
    <row r="189" spans="1:18" s="235" customFormat="1" ht="48" thickTop="1" thickBot="1" x14ac:dyDescent="0.25">
      <c r="A189" s="360" t="s">
        <v>322</v>
      </c>
      <c r="B189" s="360" t="s">
        <v>237</v>
      </c>
      <c r="C189" s="360" t="s">
        <v>238</v>
      </c>
      <c r="D189" s="360" t="s">
        <v>43</v>
      </c>
      <c r="E189" s="418">
        <f t="shared" si="165"/>
        <v>500000</v>
      </c>
      <c r="F189" s="247">
        <v>500000</v>
      </c>
      <c r="G189" s="247"/>
      <c r="H189" s="247"/>
      <c r="I189" s="247"/>
      <c r="J189" s="415">
        <f t="shared" si="148"/>
        <v>2100000</v>
      </c>
      <c r="K189" s="416">
        <v>2100000</v>
      </c>
      <c r="L189" s="247"/>
      <c r="M189" s="247"/>
      <c r="N189" s="247"/>
      <c r="O189" s="417">
        <f t="shared" si="160"/>
        <v>2100000</v>
      </c>
      <c r="P189" s="415">
        <f>E189+J189</f>
        <v>2600000</v>
      </c>
      <c r="Q189" s="266"/>
      <c r="R189" s="336" t="b">
        <f>K189='d6'!J133</f>
        <v>1</v>
      </c>
    </row>
    <row r="190" spans="1:18" s="699" customFormat="1" ht="93" thickTop="1" thickBot="1" x14ac:dyDescent="0.25">
      <c r="A190" s="706" t="s">
        <v>1178</v>
      </c>
      <c r="B190" s="706" t="s">
        <v>222</v>
      </c>
      <c r="C190" s="706" t="s">
        <v>191</v>
      </c>
      <c r="D190" s="706" t="s">
        <v>36</v>
      </c>
      <c r="E190" s="418">
        <f t="shared" ref="E190" si="173">F190</f>
        <v>0</v>
      </c>
      <c r="F190" s="247"/>
      <c r="G190" s="247"/>
      <c r="H190" s="247"/>
      <c r="I190" s="247"/>
      <c r="J190" s="701">
        <f t="shared" ref="J190" si="174">L190+O190</f>
        <v>390000</v>
      </c>
      <c r="K190" s="416">
        <v>390000</v>
      </c>
      <c r="L190" s="247"/>
      <c r="M190" s="247"/>
      <c r="N190" s="247"/>
      <c r="O190" s="705">
        <f t="shared" ref="O190" si="175">K190</f>
        <v>390000</v>
      </c>
      <c r="P190" s="701">
        <f>E190+J190</f>
        <v>390000</v>
      </c>
      <c r="Q190" s="709"/>
      <c r="R190" s="336" t="b">
        <f>K190='d6'!J136+'d6'!J135</f>
        <v>1</v>
      </c>
    </row>
    <row r="191" spans="1:18" s="490" customFormat="1" ht="48" thickTop="1" thickBot="1" x14ac:dyDescent="0.25">
      <c r="A191" s="552" t="s">
        <v>997</v>
      </c>
      <c r="B191" s="552" t="s">
        <v>890</v>
      </c>
      <c r="C191" s="552"/>
      <c r="D191" s="552" t="s">
        <v>998</v>
      </c>
      <c r="E191" s="571">
        <f>E192</f>
        <v>0</v>
      </c>
      <c r="F191" s="571">
        <f t="shared" ref="F191:P191" si="176">F192</f>
        <v>0</v>
      </c>
      <c r="G191" s="571">
        <f t="shared" si="176"/>
        <v>0</v>
      </c>
      <c r="H191" s="571">
        <f t="shared" si="176"/>
        <v>0</v>
      </c>
      <c r="I191" s="571">
        <f t="shared" si="176"/>
        <v>0</v>
      </c>
      <c r="J191" s="571">
        <f t="shared" si="176"/>
        <v>190000</v>
      </c>
      <c r="K191" s="571">
        <f t="shared" si="176"/>
        <v>0</v>
      </c>
      <c r="L191" s="571">
        <f t="shared" si="176"/>
        <v>190000</v>
      </c>
      <c r="M191" s="571">
        <f t="shared" si="176"/>
        <v>0</v>
      </c>
      <c r="N191" s="571">
        <f t="shared" si="176"/>
        <v>0</v>
      </c>
      <c r="O191" s="571">
        <f t="shared" si="176"/>
        <v>0</v>
      </c>
      <c r="P191" s="571">
        <f t="shared" si="176"/>
        <v>190000</v>
      </c>
      <c r="Q191" s="495"/>
      <c r="R191" s="277"/>
    </row>
    <row r="192" spans="1:18" s="235" customFormat="1" ht="409.6" thickTop="1" thickBot="1" x14ac:dyDescent="0.7">
      <c r="A192" s="861" t="s">
        <v>462</v>
      </c>
      <c r="B192" s="861" t="s">
        <v>371</v>
      </c>
      <c r="C192" s="861" t="s">
        <v>191</v>
      </c>
      <c r="D192" s="420" t="s">
        <v>483</v>
      </c>
      <c r="E192" s="841">
        <f t="shared" si="165"/>
        <v>0</v>
      </c>
      <c r="F192" s="842"/>
      <c r="G192" s="842"/>
      <c r="H192" s="842"/>
      <c r="I192" s="842"/>
      <c r="J192" s="841">
        <f t="shared" si="148"/>
        <v>190000</v>
      </c>
      <c r="K192" s="842"/>
      <c r="L192" s="842">
        <v>190000</v>
      </c>
      <c r="M192" s="842"/>
      <c r="N192" s="842"/>
      <c r="O192" s="862">
        <f>K192+0</f>
        <v>0</v>
      </c>
      <c r="P192" s="863">
        <f>E192+J192</f>
        <v>190000</v>
      </c>
      <c r="Q192" s="266"/>
      <c r="R192" s="277"/>
    </row>
    <row r="193" spans="1:18" s="235" customFormat="1" ht="184.5" thickTop="1" thickBot="1" x14ac:dyDescent="0.25">
      <c r="A193" s="861"/>
      <c r="B193" s="861"/>
      <c r="C193" s="861"/>
      <c r="D193" s="424" t="s">
        <v>484</v>
      </c>
      <c r="E193" s="841"/>
      <c r="F193" s="842"/>
      <c r="G193" s="842"/>
      <c r="H193" s="842"/>
      <c r="I193" s="842"/>
      <c r="J193" s="841"/>
      <c r="K193" s="842"/>
      <c r="L193" s="842"/>
      <c r="M193" s="842"/>
      <c r="N193" s="842"/>
      <c r="O193" s="862"/>
      <c r="P193" s="863"/>
      <c r="Q193" s="266"/>
      <c r="R193" s="277"/>
    </row>
    <row r="194" spans="1:18" s="235" customFormat="1" ht="181.5" thickTop="1" thickBot="1" x14ac:dyDescent="0.25">
      <c r="A194" s="680" t="s">
        <v>662</v>
      </c>
      <c r="B194" s="680"/>
      <c r="C194" s="680"/>
      <c r="D194" s="681" t="s">
        <v>696</v>
      </c>
      <c r="E194" s="682">
        <f>E195</f>
        <v>250760304</v>
      </c>
      <c r="F194" s="683">
        <f t="shared" ref="F194:G194" si="177">F195</f>
        <v>250760304</v>
      </c>
      <c r="G194" s="683">
        <f t="shared" si="177"/>
        <v>8782274</v>
      </c>
      <c r="H194" s="683">
        <f>H195</f>
        <v>154170</v>
      </c>
      <c r="I194" s="683">
        <f t="shared" ref="I194" si="178">I195</f>
        <v>0</v>
      </c>
      <c r="J194" s="682">
        <f>J195</f>
        <v>145286417.61000001</v>
      </c>
      <c r="K194" s="683">
        <f>K195</f>
        <v>144969402.57999998</v>
      </c>
      <c r="L194" s="683">
        <f>L195</f>
        <v>140000</v>
      </c>
      <c r="M194" s="683">
        <f t="shared" ref="M194" si="179">M195</f>
        <v>0</v>
      </c>
      <c r="N194" s="682">
        <f>N195</f>
        <v>0</v>
      </c>
      <c r="O194" s="682">
        <f>O195</f>
        <v>145146417.61000001</v>
      </c>
      <c r="P194" s="683">
        <f>P195</f>
        <v>396046721.61000001</v>
      </c>
      <c r="Q194" s="266"/>
      <c r="R194" s="277"/>
    </row>
    <row r="195" spans="1:18" s="235" customFormat="1" ht="181.5" thickTop="1" thickBot="1" x14ac:dyDescent="0.25">
      <c r="A195" s="684" t="s">
        <v>663</v>
      </c>
      <c r="B195" s="684"/>
      <c r="C195" s="684"/>
      <c r="D195" s="685" t="s">
        <v>697</v>
      </c>
      <c r="E195" s="686">
        <f>E196+E200+E206+E217</f>
        <v>250760304</v>
      </c>
      <c r="F195" s="686">
        <f t="shared" ref="F195:I195" si="180">F196+F200+F206+F217</f>
        <v>250760304</v>
      </c>
      <c r="G195" s="686">
        <f t="shared" si="180"/>
        <v>8782274</v>
      </c>
      <c r="H195" s="686">
        <f t="shared" si="180"/>
        <v>154170</v>
      </c>
      <c r="I195" s="686">
        <f t="shared" si="180"/>
        <v>0</v>
      </c>
      <c r="J195" s="686">
        <f t="shared" ref="J195:J215" si="181">L195+O195</f>
        <v>145286417.61000001</v>
      </c>
      <c r="K195" s="686">
        <f t="shared" ref="K195:O195" si="182">K196+K200+K206+K217</f>
        <v>144969402.57999998</v>
      </c>
      <c r="L195" s="686">
        <f t="shared" si="182"/>
        <v>140000</v>
      </c>
      <c r="M195" s="686">
        <f t="shared" si="182"/>
        <v>0</v>
      </c>
      <c r="N195" s="686">
        <f t="shared" si="182"/>
        <v>0</v>
      </c>
      <c r="O195" s="686">
        <f t="shared" si="182"/>
        <v>145146417.61000001</v>
      </c>
      <c r="P195" s="687">
        <f>E195+J195</f>
        <v>396046721.61000001</v>
      </c>
      <c r="Q195" s="181" t="b">
        <f>P195=P197+P198+P199+P202+P203+P204+P205+P208+P210+P212+P213+P215+P219+P220+P221</f>
        <v>1</v>
      </c>
      <c r="R195" s="181" t="b">
        <f>K195='d6'!J138</f>
        <v>1</v>
      </c>
    </row>
    <row r="196" spans="1:18" s="490" customFormat="1" ht="47.25" thickTop="1" thickBot="1" x14ac:dyDescent="0.25">
      <c r="A196" s="562" t="s">
        <v>999</v>
      </c>
      <c r="B196" s="562" t="s">
        <v>880</v>
      </c>
      <c r="C196" s="562"/>
      <c r="D196" s="562" t="s">
        <v>881</v>
      </c>
      <c r="E196" s="491">
        <f>SUM(E197:E199)</f>
        <v>8498737</v>
      </c>
      <c r="F196" s="491">
        <f t="shared" ref="F196:P196" si="183">SUM(F197:F199)</f>
        <v>8498737</v>
      </c>
      <c r="G196" s="491">
        <f t="shared" si="183"/>
        <v>6393415</v>
      </c>
      <c r="H196" s="491">
        <f t="shared" si="183"/>
        <v>74385</v>
      </c>
      <c r="I196" s="491">
        <f t="shared" si="183"/>
        <v>0</v>
      </c>
      <c r="J196" s="491">
        <f t="shared" si="183"/>
        <v>144000</v>
      </c>
      <c r="K196" s="491">
        <f t="shared" si="183"/>
        <v>144000</v>
      </c>
      <c r="L196" s="491">
        <f t="shared" si="183"/>
        <v>0</v>
      </c>
      <c r="M196" s="491">
        <f t="shared" si="183"/>
        <v>0</v>
      </c>
      <c r="N196" s="491">
        <f t="shared" si="183"/>
        <v>0</v>
      </c>
      <c r="O196" s="491">
        <f t="shared" si="183"/>
        <v>144000</v>
      </c>
      <c r="P196" s="491">
        <f t="shared" si="183"/>
        <v>8642737</v>
      </c>
      <c r="Q196" s="181"/>
      <c r="R196" s="181"/>
    </row>
    <row r="197" spans="1:18" s="235" customFormat="1" ht="230.25" thickTop="1" thickBot="1" x14ac:dyDescent="0.25">
      <c r="A197" s="360" t="s">
        <v>664</v>
      </c>
      <c r="B197" s="360" t="s">
        <v>261</v>
      </c>
      <c r="C197" s="360" t="s">
        <v>259</v>
      </c>
      <c r="D197" s="360" t="s">
        <v>260</v>
      </c>
      <c r="E197" s="418">
        <f>F197</f>
        <v>8390737</v>
      </c>
      <c r="F197" s="247">
        <f>(6393415+1406550+212730+120360+12160+22680+39015+5208+25686+4476-8000)+3600+6087+47020+36500+5000+41700+6400+10150</f>
        <v>8390737</v>
      </c>
      <c r="G197" s="247">
        <v>6393415</v>
      </c>
      <c r="H197" s="247">
        <f>(39015+5208+25686+4476)</f>
        <v>74385</v>
      </c>
      <c r="I197" s="247"/>
      <c r="J197" s="415">
        <f t="shared" si="181"/>
        <v>144000</v>
      </c>
      <c r="K197" s="247">
        <v>144000</v>
      </c>
      <c r="L197" s="248"/>
      <c r="M197" s="248"/>
      <c r="N197" s="248"/>
      <c r="O197" s="417">
        <f t="shared" ref="O197:O213" si="184">K197</f>
        <v>144000</v>
      </c>
      <c r="P197" s="415">
        <f t="shared" ref="P197:P203" si="185">+J197+E197</f>
        <v>8534737</v>
      </c>
      <c r="Q197" s="266"/>
      <c r="R197" s="181" t="b">
        <f>K197='d6'!J139</f>
        <v>1</v>
      </c>
    </row>
    <row r="198" spans="1:18" s="412" customFormat="1" ht="184.5" thickTop="1" thickBot="1" x14ac:dyDescent="0.25">
      <c r="A198" s="413" t="s">
        <v>824</v>
      </c>
      <c r="B198" s="413" t="s">
        <v>398</v>
      </c>
      <c r="C198" s="413" t="s">
        <v>815</v>
      </c>
      <c r="D198" s="413" t="s">
        <v>816</v>
      </c>
      <c r="E198" s="418">
        <f>F198</f>
        <v>8000</v>
      </c>
      <c r="F198" s="247">
        <v>8000</v>
      </c>
      <c r="G198" s="247"/>
      <c r="H198" s="247"/>
      <c r="I198" s="247"/>
      <c r="J198" s="415">
        <f t="shared" ref="J198" si="186">L198+O198</f>
        <v>0</v>
      </c>
      <c r="K198" s="247"/>
      <c r="L198" s="248"/>
      <c r="M198" s="248"/>
      <c r="N198" s="248"/>
      <c r="O198" s="417">
        <f t="shared" ref="O198" si="187">K198</f>
        <v>0</v>
      </c>
      <c r="P198" s="415">
        <f t="shared" ref="P198" si="188">+J198+E198</f>
        <v>8000</v>
      </c>
      <c r="Q198" s="414"/>
      <c r="R198" s="181"/>
    </row>
    <row r="199" spans="1:18" s="235" customFormat="1" ht="93" thickTop="1" thickBot="1" x14ac:dyDescent="0.25">
      <c r="A199" s="360" t="s">
        <v>665</v>
      </c>
      <c r="B199" s="360" t="s">
        <v>45</v>
      </c>
      <c r="C199" s="360" t="s">
        <v>44</v>
      </c>
      <c r="D199" s="360" t="s">
        <v>273</v>
      </c>
      <c r="E199" s="418">
        <f>F199</f>
        <v>100000</v>
      </c>
      <c r="F199" s="247">
        <v>100000</v>
      </c>
      <c r="G199" s="247"/>
      <c r="H199" s="247"/>
      <c r="I199" s="247"/>
      <c r="J199" s="415">
        <f t="shared" si="181"/>
        <v>0</v>
      </c>
      <c r="K199" s="247"/>
      <c r="L199" s="248"/>
      <c r="M199" s="248"/>
      <c r="N199" s="248"/>
      <c r="O199" s="417">
        <f t="shared" si="184"/>
        <v>0</v>
      </c>
      <c r="P199" s="415">
        <f t="shared" si="185"/>
        <v>100000</v>
      </c>
      <c r="Q199" s="266"/>
      <c r="R199" s="277"/>
    </row>
    <row r="200" spans="1:18" s="490" customFormat="1" ht="91.5" thickTop="1" thickBot="1" x14ac:dyDescent="0.25">
      <c r="A200" s="251" t="s">
        <v>1000</v>
      </c>
      <c r="B200" s="561" t="s">
        <v>942</v>
      </c>
      <c r="C200" s="561"/>
      <c r="D200" s="556" t="s">
        <v>943</v>
      </c>
      <c r="E200" s="418">
        <f>SUM(E201:E205)-E201</f>
        <v>186232623</v>
      </c>
      <c r="F200" s="418">
        <f t="shared" ref="F200:O200" si="189">SUM(F201:F205)-F201</f>
        <v>186232623</v>
      </c>
      <c r="G200" s="418">
        <f t="shared" si="189"/>
        <v>0</v>
      </c>
      <c r="H200" s="418">
        <f t="shared" si="189"/>
        <v>50000</v>
      </c>
      <c r="I200" s="418">
        <f t="shared" si="189"/>
        <v>0</v>
      </c>
      <c r="J200" s="418">
        <f t="shared" si="189"/>
        <v>14710148</v>
      </c>
      <c r="K200" s="418">
        <f t="shared" si="189"/>
        <v>14710148</v>
      </c>
      <c r="L200" s="418">
        <f t="shared" si="189"/>
        <v>0</v>
      </c>
      <c r="M200" s="418">
        <f t="shared" si="189"/>
        <v>0</v>
      </c>
      <c r="N200" s="418">
        <f t="shared" si="189"/>
        <v>0</v>
      </c>
      <c r="O200" s="418">
        <f t="shared" si="189"/>
        <v>14710148</v>
      </c>
      <c r="P200" s="418">
        <f t="shared" ref="P200" si="190">SUM(P201:P205)-P201</f>
        <v>200942771</v>
      </c>
      <c r="Q200" s="495"/>
      <c r="R200" s="277"/>
    </row>
    <row r="201" spans="1:18" s="490" customFormat="1" ht="184.5" thickTop="1" thickBot="1" x14ac:dyDescent="0.25">
      <c r="A201" s="552" t="s">
        <v>1001</v>
      </c>
      <c r="B201" s="505" t="s">
        <v>992</v>
      </c>
      <c r="C201" s="505"/>
      <c r="D201" s="505" t="s">
        <v>993</v>
      </c>
      <c r="E201" s="571">
        <f>SUM(E202:E203)</f>
        <v>31751000</v>
      </c>
      <c r="F201" s="571">
        <f t="shared" ref="F201:P201" si="191">SUM(F202:F203)</f>
        <v>31751000</v>
      </c>
      <c r="G201" s="571">
        <f t="shared" si="191"/>
        <v>0</v>
      </c>
      <c r="H201" s="571">
        <f t="shared" si="191"/>
        <v>0</v>
      </c>
      <c r="I201" s="571">
        <f t="shared" si="191"/>
        <v>0</v>
      </c>
      <c r="J201" s="571">
        <f t="shared" si="191"/>
        <v>0</v>
      </c>
      <c r="K201" s="571">
        <f t="shared" si="191"/>
        <v>0</v>
      </c>
      <c r="L201" s="571">
        <f t="shared" si="191"/>
        <v>0</v>
      </c>
      <c r="M201" s="571">
        <f t="shared" si="191"/>
        <v>0</v>
      </c>
      <c r="N201" s="571">
        <f t="shared" si="191"/>
        <v>0</v>
      </c>
      <c r="O201" s="571">
        <f t="shared" si="191"/>
        <v>0</v>
      </c>
      <c r="P201" s="571">
        <f t="shared" si="191"/>
        <v>31751000</v>
      </c>
      <c r="Q201" s="495"/>
      <c r="R201" s="277"/>
    </row>
    <row r="202" spans="1:18" s="235" customFormat="1" ht="138.75" thickTop="1" thickBot="1" x14ac:dyDescent="0.25">
      <c r="A202" s="360" t="s">
        <v>666</v>
      </c>
      <c r="B202" s="360" t="s">
        <v>413</v>
      </c>
      <c r="C202" s="360" t="s">
        <v>308</v>
      </c>
      <c r="D202" s="360" t="s">
        <v>414</v>
      </c>
      <c r="E202" s="418">
        <f t="shared" ref="E202:E213" si="192">F202</f>
        <v>28000000</v>
      </c>
      <c r="F202" s="247">
        <v>28000000</v>
      </c>
      <c r="G202" s="247"/>
      <c r="H202" s="247"/>
      <c r="I202" s="247"/>
      <c r="J202" s="415">
        <f t="shared" si="181"/>
        <v>0</v>
      </c>
      <c r="K202" s="247"/>
      <c r="L202" s="248"/>
      <c r="M202" s="248"/>
      <c r="N202" s="248"/>
      <c r="O202" s="417">
        <f t="shared" si="184"/>
        <v>0</v>
      </c>
      <c r="P202" s="415">
        <f t="shared" si="185"/>
        <v>28000000</v>
      </c>
      <c r="Q202" s="266"/>
      <c r="R202" s="277"/>
    </row>
    <row r="203" spans="1:18" s="235" customFormat="1" ht="138.75" thickTop="1" thickBot="1" x14ac:dyDescent="0.25">
      <c r="A203" s="360" t="s">
        <v>667</v>
      </c>
      <c r="B203" s="360" t="s">
        <v>311</v>
      </c>
      <c r="C203" s="360" t="s">
        <v>308</v>
      </c>
      <c r="D203" s="360" t="s">
        <v>312</v>
      </c>
      <c r="E203" s="418">
        <f t="shared" si="192"/>
        <v>3751000</v>
      </c>
      <c r="F203" s="247">
        <v>3751000</v>
      </c>
      <c r="G203" s="247"/>
      <c r="H203" s="247"/>
      <c r="I203" s="247"/>
      <c r="J203" s="415">
        <f t="shared" si="181"/>
        <v>0</v>
      </c>
      <c r="K203" s="247"/>
      <c r="L203" s="248"/>
      <c r="M203" s="248"/>
      <c r="N203" s="248"/>
      <c r="O203" s="417">
        <f t="shared" si="184"/>
        <v>0</v>
      </c>
      <c r="P203" s="415">
        <f t="shared" si="185"/>
        <v>3751000</v>
      </c>
      <c r="Q203" s="266"/>
      <c r="R203" s="277"/>
    </row>
    <row r="204" spans="1:18" s="235" customFormat="1" ht="230.25" thickTop="1" thickBot="1" x14ac:dyDescent="0.25">
      <c r="A204" s="360" t="s">
        <v>668</v>
      </c>
      <c r="B204" s="360" t="s">
        <v>323</v>
      </c>
      <c r="C204" s="360" t="s">
        <v>308</v>
      </c>
      <c r="D204" s="360" t="s">
        <v>324</v>
      </c>
      <c r="E204" s="418">
        <f t="shared" si="192"/>
        <v>3430000</v>
      </c>
      <c r="F204" s="247">
        <f>700000+2730000</f>
        <v>3430000</v>
      </c>
      <c r="G204" s="247"/>
      <c r="H204" s="247"/>
      <c r="I204" s="247"/>
      <c r="J204" s="415">
        <f t="shared" si="181"/>
        <v>0</v>
      </c>
      <c r="K204" s="416"/>
      <c r="L204" s="247"/>
      <c r="M204" s="247"/>
      <c r="N204" s="247"/>
      <c r="O204" s="417">
        <f t="shared" si="184"/>
        <v>0</v>
      </c>
      <c r="P204" s="415">
        <f t="shared" ref="P204:P208" si="193">E204+J204</f>
        <v>3430000</v>
      </c>
      <c r="Q204" s="266"/>
      <c r="R204" s="277"/>
    </row>
    <row r="205" spans="1:18" s="235" customFormat="1" ht="93" thickTop="1" thickBot="1" x14ac:dyDescent="0.25">
      <c r="A205" s="360" t="s">
        <v>669</v>
      </c>
      <c r="B205" s="360" t="s">
        <v>314</v>
      </c>
      <c r="C205" s="360" t="s">
        <v>308</v>
      </c>
      <c r="D205" s="360" t="s">
        <v>315</v>
      </c>
      <c r="E205" s="418">
        <f t="shared" si="192"/>
        <v>151051623</v>
      </c>
      <c r="F205" s="247">
        <f>(149686023)+1365600</f>
        <v>151051623</v>
      </c>
      <c r="G205" s="247"/>
      <c r="H205" s="247">
        <v>50000</v>
      </c>
      <c r="I205" s="247"/>
      <c r="J205" s="415">
        <f t="shared" si="181"/>
        <v>14710148</v>
      </c>
      <c r="K205" s="416">
        <f>(15915164)-1205016</f>
        <v>14710148</v>
      </c>
      <c r="L205" s="247"/>
      <c r="M205" s="247"/>
      <c r="N205" s="247"/>
      <c r="O205" s="417">
        <f t="shared" si="184"/>
        <v>14710148</v>
      </c>
      <c r="P205" s="415">
        <f t="shared" si="193"/>
        <v>165761771</v>
      </c>
      <c r="Q205" s="266"/>
      <c r="R205" s="181" t="b">
        <f>K205='d6'!J141+'d6'!J142+'d6'!J143+'d6'!J144+'d6'!J145+'d6'!J146+'d6'!J147+'d6'!J148+'d6'!J149+'d6'!J150+'d6'!J151+'d6'!J152+'d6'!J153+'d6'!J154+'d6'!J155+'d6'!J156</f>
        <v>1</v>
      </c>
    </row>
    <row r="206" spans="1:18" s="490" customFormat="1" ht="47.25" thickTop="1" thickBot="1" x14ac:dyDescent="0.25">
      <c r="A206" s="251" t="s">
        <v>1002</v>
      </c>
      <c r="B206" s="561" t="s">
        <v>948</v>
      </c>
      <c r="C206" s="561"/>
      <c r="D206" s="561" t="s">
        <v>949</v>
      </c>
      <c r="E206" s="418">
        <f>E207+E209+E211</f>
        <v>52868366</v>
      </c>
      <c r="F206" s="418">
        <f t="shared" ref="F206:P206" si="194">F207+F209+F211</f>
        <v>52868366</v>
      </c>
      <c r="G206" s="418">
        <f t="shared" si="194"/>
        <v>0</v>
      </c>
      <c r="H206" s="418">
        <f t="shared" si="194"/>
        <v>0</v>
      </c>
      <c r="I206" s="418">
        <f t="shared" si="194"/>
        <v>0</v>
      </c>
      <c r="J206" s="418">
        <f>J207+J209+J211</f>
        <v>130432269.61</v>
      </c>
      <c r="K206" s="418">
        <f t="shared" si="194"/>
        <v>130115254.58</v>
      </c>
      <c r="L206" s="418">
        <f t="shared" si="194"/>
        <v>140000</v>
      </c>
      <c r="M206" s="418">
        <f t="shared" si="194"/>
        <v>0</v>
      </c>
      <c r="N206" s="418">
        <f t="shared" si="194"/>
        <v>0</v>
      </c>
      <c r="O206" s="418">
        <f t="shared" si="194"/>
        <v>130292269.61</v>
      </c>
      <c r="P206" s="418">
        <f t="shared" si="194"/>
        <v>183300635.61000001</v>
      </c>
      <c r="Q206" s="495"/>
      <c r="R206" s="277"/>
    </row>
    <row r="207" spans="1:18" s="490" customFormat="1" ht="91.5" thickTop="1" thickBot="1" x14ac:dyDescent="0.25">
      <c r="A207" s="557" t="s">
        <v>1003</v>
      </c>
      <c r="B207" s="557" t="s">
        <v>1004</v>
      </c>
      <c r="C207" s="557"/>
      <c r="D207" s="557" t="s">
        <v>1005</v>
      </c>
      <c r="E207" s="570">
        <f>E208</f>
        <v>0</v>
      </c>
      <c r="F207" s="570">
        <f t="shared" ref="F207:P207" si="195">F208</f>
        <v>0</v>
      </c>
      <c r="G207" s="570">
        <f t="shared" si="195"/>
        <v>0</v>
      </c>
      <c r="H207" s="570">
        <f t="shared" si="195"/>
        <v>0</v>
      </c>
      <c r="I207" s="570">
        <f t="shared" si="195"/>
        <v>0</v>
      </c>
      <c r="J207" s="570">
        <f t="shared" si="195"/>
        <v>6280522</v>
      </c>
      <c r="K207" s="570">
        <f t="shared" si="195"/>
        <v>6280522</v>
      </c>
      <c r="L207" s="570">
        <f t="shared" si="195"/>
        <v>0</v>
      </c>
      <c r="M207" s="570">
        <f t="shared" si="195"/>
        <v>0</v>
      </c>
      <c r="N207" s="570">
        <f t="shared" si="195"/>
        <v>0</v>
      </c>
      <c r="O207" s="570">
        <f t="shared" si="195"/>
        <v>6280522</v>
      </c>
      <c r="P207" s="570">
        <f t="shared" si="195"/>
        <v>6280522</v>
      </c>
      <c r="Q207" s="495"/>
      <c r="R207" s="277"/>
    </row>
    <row r="208" spans="1:18" s="235" customFormat="1" ht="99.75" thickTop="1" thickBot="1" x14ac:dyDescent="0.25">
      <c r="A208" s="360" t="s">
        <v>670</v>
      </c>
      <c r="B208" s="360" t="s">
        <v>331</v>
      </c>
      <c r="C208" s="360" t="s">
        <v>330</v>
      </c>
      <c r="D208" s="360" t="s">
        <v>817</v>
      </c>
      <c r="E208" s="418">
        <f t="shared" si="192"/>
        <v>0</v>
      </c>
      <c r="F208" s="247"/>
      <c r="G208" s="247"/>
      <c r="H208" s="247"/>
      <c r="I208" s="247"/>
      <c r="J208" s="415">
        <f>L208+O208</f>
        <v>6280522</v>
      </c>
      <c r="K208" s="416">
        <f>(5200000)+1080522</f>
        <v>6280522</v>
      </c>
      <c r="L208" s="247"/>
      <c r="M208" s="247"/>
      <c r="N208" s="247"/>
      <c r="O208" s="417">
        <f>K208</f>
        <v>6280522</v>
      </c>
      <c r="P208" s="415">
        <f t="shared" si="193"/>
        <v>6280522</v>
      </c>
      <c r="Q208" s="266"/>
      <c r="R208" s="181" t="b">
        <f>K208='d6'!J164+'d6'!J163+'d6'!J162+'d6'!J160+'d6'!J161+'d6'!J159+'d6'!J158</f>
        <v>1</v>
      </c>
    </row>
    <row r="209" spans="1:18" s="490" customFormat="1" ht="136.5" thickTop="1" thickBot="1" x14ac:dyDescent="0.25">
      <c r="A209" s="557" t="s">
        <v>1006</v>
      </c>
      <c r="B209" s="557" t="s">
        <v>1007</v>
      </c>
      <c r="C209" s="557"/>
      <c r="D209" s="557" t="s">
        <v>1008</v>
      </c>
      <c r="E209" s="570">
        <f>E210</f>
        <v>52868366</v>
      </c>
      <c r="F209" s="570">
        <f t="shared" ref="F209:O209" si="196">F210</f>
        <v>52868366</v>
      </c>
      <c r="G209" s="570">
        <f t="shared" si="196"/>
        <v>0</v>
      </c>
      <c r="H209" s="570">
        <f t="shared" si="196"/>
        <v>0</v>
      </c>
      <c r="I209" s="570">
        <f t="shared" si="196"/>
        <v>0</v>
      </c>
      <c r="J209" s="570">
        <f t="shared" si="196"/>
        <v>64664228.030000001</v>
      </c>
      <c r="K209" s="570">
        <f t="shared" si="196"/>
        <v>64537213</v>
      </c>
      <c r="L209" s="570">
        <f t="shared" si="196"/>
        <v>0</v>
      </c>
      <c r="M209" s="570">
        <f t="shared" si="196"/>
        <v>0</v>
      </c>
      <c r="N209" s="570">
        <f t="shared" si="196"/>
        <v>0</v>
      </c>
      <c r="O209" s="570">
        <f t="shared" si="196"/>
        <v>64664228.030000001</v>
      </c>
      <c r="P209" s="570">
        <f>P210</f>
        <v>117532594.03</v>
      </c>
      <c r="Q209" s="495"/>
      <c r="R209" s="277"/>
    </row>
    <row r="210" spans="1:18" s="235" customFormat="1" ht="230.25" thickTop="1" thickBot="1" x14ac:dyDescent="0.25">
      <c r="A210" s="360" t="s">
        <v>671</v>
      </c>
      <c r="B210" s="360" t="s">
        <v>319</v>
      </c>
      <c r="C210" s="360" t="s">
        <v>321</v>
      </c>
      <c r="D210" s="360" t="s">
        <v>320</v>
      </c>
      <c r="E210" s="418">
        <f t="shared" si="192"/>
        <v>52868366</v>
      </c>
      <c r="F210" s="247">
        <f>(48273558)+4594808</f>
        <v>52868366</v>
      </c>
      <c r="G210" s="247"/>
      <c r="H210" s="247"/>
      <c r="I210" s="247"/>
      <c r="J210" s="415">
        <f t="shared" si="181"/>
        <v>64664228.030000001</v>
      </c>
      <c r="K210" s="247">
        <f>(16932021+60000000)-5594808-6800000</f>
        <v>64537213</v>
      </c>
      <c r="L210" s="248"/>
      <c r="M210" s="248"/>
      <c r="N210" s="248"/>
      <c r="O210" s="417">
        <f>K210+127015.03</f>
        <v>64664228.030000001</v>
      </c>
      <c r="P210" s="415">
        <f>+J210+E210</f>
        <v>117532594.03</v>
      </c>
      <c r="Q210" s="266"/>
      <c r="R210" s="181" t="b">
        <f>K210='d6'!J165</f>
        <v>1</v>
      </c>
    </row>
    <row r="211" spans="1:18" s="490" customFormat="1" ht="136.5" thickTop="1" thickBot="1" x14ac:dyDescent="0.25">
      <c r="A211" s="557" t="s">
        <v>1009</v>
      </c>
      <c r="B211" s="557" t="s">
        <v>887</v>
      </c>
      <c r="C211" s="557"/>
      <c r="D211" s="557" t="s">
        <v>885</v>
      </c>
      <c r="E211" s="570">
        <f>SUM(E212:E216)-E214</f>
        <v>0</v>
      </c>
      <c r="F211" s="570">
        <f t="shared" ref="F211:I211" si="197">SUM(F212:F216)-F214</f>
        <v>0</v>
      </c>
      <c r="G211" s="570">
        <f t="shared" si="197"/>
        <v>0</v>
      </c>
      <c r="H211" s="570">
        <f t="shared" si="197"/>
        <v>0</v>
      </c>
      <c r="I211" s="570">
        <f t="shared" si="197"/>
        <v>0</v>
      </c>
      <c r="J211" s="570">
        <f>SUM(J212:J216)-J214</f>
        <v>59487519.579999998</v>
      </c>
      <c r="K211" s="570">
        <f t="shared" ref="K211:P211" si="198">SUM(K212:K216)-K214</f>
        <v>59297519.579999998</v>
      </c>
      <c r="L211" s="570">
        <f t="shared" si="198"/>
        <v>140000</v>
      </c>
      <c r="M211" s="570">
        <f t="shared" si="198"/>
        <v>0</v>
      </c>
      <c r="N211" s="570">
        <f t="shared" si="198"/>
        <v>0</v>
      </c>
      <c r="O211" s="570">
        <f t="shared" si="198"/>
        <v>59347519.579999998</v>
      </c>
      <c r="P211" s="570">
        <f t="shared" si="198"/>
        <v>59487519.579999998</v>
      </c>
      <c r="Q211" s="495"/>
      <c r="R211" s="181"/>
    </row>
    <row r="212" spans="1:18" s="235" customFormat="1" ht="48" thickTop="1" thickBot="1" x14ac:dyDescent="0.25">
      <c r="A212" s="360" t="s">
        <v>672</v>
      </c>
      <c r="B212" s="360" t="s">
        <v>237</v>
      </c>
      <c r="C212" s="360" t="s">
        <v>238</v>
      </c>
      <c r="D212" s="360" t="s">
        <v>43</v>
      </c>
      <c r="E212" s="418">
        <f t="shared" si="192"/>
        <v>0</v>
      </c>
      <c r="F212" s="247"/>
      <c r="G212" s="247"/>
      <c r="H212" s="247"/>
      <c r="I212" s="247"/>
      <c r="J212" s="415">
        <f t="shared" si="181"/>
        <v>18508795.579999998</v>
      </c>
      <c r="K212" s="416">
        <v>18508795.579999998</v>
      </c>
      <c r="L212" s="247"/>
      <c r="M212" s="247"/>
      <c r="N212" s="247"/>
      <c r="O212" s="417">
        <f t="shared" si="184"/>
        <v>18508795.579999998</v>
      </c>
      <c r="P212" s="415">
        <f>E212+J212</f>
        <v>18508795.579999998</v>
      </c>
      <c r="Q212" s="266"/>
      <c r="R212" s="181" t="b">
        <f>K212='d6'!J166</f>
        <v>1</v>
      </c>
    </row>
    <row r="213" spans="1:18" s="235" customFormat="1" ht="93" thickTop="1" thickBot="1" x14ac:dyDescent="0.25">
      <c r="A213" s="360" t="s">
        <v>673</v>
      </c>
      <c r="B213" s="360" t="s">
        <v>222</v>
      </c>
      <c r="C213" s="360" t="s">
        <v>191</v>
      </c>
      <c r="D213" s="360" t="s">
        <v>36</v>
      </c>
      <c r="E213" s="418">
        <f t="shared" si="192"/>
        <v>0</v>
      </c>
      <c r="F213" s="247"/>
      <c r="G213" s="247"/>
      <c r="H213" s="247"/>
      <c r="I213" s="247"/>
      <c r="J213" s="415">
        <f t="shared" si="181"/>
        <v>40788724</v>
      </c>
      <c r="K213" s="416">
        <f>(14547011+1000000)+25241713</f>
        <v>40788724</v>
      </c>
      <c r="L213" s="247"/>
      <c r="M213" s="247"/>
      <c r="N213" s="247"/>
      <c r="O213" s="417">
        <f t="shared" si="184"/>
        <v>40788724</v>
      </c>
      <c r="P213" s="415">
        <f>E213+J213</f>
        <v>40788724</v>
      </c>
      <c r="Q213" s="266"/>
      <c r="R213" s="181" t="b">
        <f>K213='d6'!J201+'d6'!J200+'d6'!J199+'d6'!J198+'d6'!J197+'d6'!J196+'d6'!J195+'d6'!J194+'d6'!J193+'d6'!J192+'d6'!J191+'d6'!J190+'d6'!J189+'d6'!J188+'d6'!J187+'d6'!J186+'d6'!J185+'d6'!J184+'d6'!J183+'d6'!J182+'d6'!J181+'d6'!J180+'d6'!J179+'d6'!J178+'d6'!J177+'d6'!J176+'d6'!J175+'d6'!J174+'d6'!J173+'d6'!J172+'d6'!J171+'d6'!J170+'d6'!J169+'d6'!J168</f>
        <v>1</v>
      </c>
    </row>
    <row r="214" spans="1:18" s="490" customFormat="1" ht="48" thickTop="1" thickBot="1" x14ac:dyDescent="0.25">
      <c r="A214" s="552" t="s">
        <v>1010</v>
      </c>
      <c r="B214" s="552" t="s">
        <v>890</v>
      </c>
      <c r="C214" s="552"/>
      <c r="D214" s="552" t="s">
        <v>998</v>
      </c>
      <c r="E214" s="571">
        <f>E215</f>
        <v>0</v>
      </c>
      <c r="F214" s="571">
        <f t="shared" ref="F214:P214" si="199">F215</f>
        <v>0</v>
      </c>
      <c r="G214" s="571">
        <f t="shared" si="199"/>
        <v>0</v>
      </c>
      <c r="H214" s="571">
        <f t="shared" si="199"/>
        <v>0</v>
      </c>
      <c r="I214" s="571">
        <f t="shared" si="199"/>
        <v>0</v>
      </c>
      <c r="J214" s="571">
        <f t="shared" si="199"/>
        <v>190000</v>
      </c>
      <c r="K214" s="571">
        <f t="shared" si="199"/>
        <v>0</v>
      </c>
      <c r="L214" s="571">
        <f t="shared" si="199"/>
        <v>140000</v>
      </c>
      <c r="M214" s="571">
        <f t="shared" si="199"/>
        <v>0</v>
      </c>
      <c r="N214" s="571">
        <f t="shared" si="199"/>
        <v>0</v>
      </c>
      <c r="O214" s="571">
        <f t="shared" si="199"/>
        <v>50000</v>
      </c>
      <c r="P214" s="571">
        <f t="shared" si="199"/>
        <v>190000</v>
      </c>
      <c r="Q214" s="495"/>
      <c r="R214" s="277"/>
    </row>
    <row r="215" spans="1:18" s="235" customFormat="1" ht="409.6" thickTop="1" thickBot="1" x14ac:dyDescent="0.7">
      <c r="A215" s="861" t="s">
        <v>674</v>
      </c>
      <c r="B215" s="861" t="s">
        <v>371</v>
      </c>
      <c r="C215" s="861" t="s">
        <v>191</v>
      </c>
      <c r="D215" s="420" t="s">
        <v>483</v>
      </c>
      <c r="E215" s="841"/>
      <c r="F215" s="842"/>
      <c r="G215" s="842"/>
      <c r="H215" s="842"/>
      <c r="I215" s="842"/>
      <c r="J215" s="841">
        <f t="shared" si="181"/>
        <v>190000</v>
      </c>
      <c r="K215" s="842"/>
      <c r="L215" s="842">
        <f>(190000)-50000</f>
        <v>140000</v>
      </c>
      <c r="M215" s="842"/>
      <c r="N215" s="842"/>
      <c r="O215" s="862">
        <f>K215+50000</f>
        <v>50000</v>
      </c>
      <c r="P215" s="863">
        <f>E215+J215</f>
        <v>190000</v>
      </c>
      <c r="Q215" s="266"/>
      <c r="R215" s="277"/>
    </row>
    <row r="216" spans="1:18" s="235" customFormat="1" ht="184.5" thickTop="1" thickBot="1" x14ac:dyDescent="0.25">
      <c r="A216" s="861"/>
      <c r="B216" s="861"/>
      <c r="C216" s="861"/>
      <c r="D216" s="424" t="s">
        <v>484</v>
      </c>
      <c r="E216" s="841"/>
      <c r="F216" s="842"/>
      <c r="G216" s="842"/>
      <c r="H216" s="842"/>
      <c r="I216" s="842"/>
      <c r="J216" s="841"/>
      <c r="K216" s="842"/>
      <c r="L216" s="842"/>
      <c r="M216" s="842"/>
      <c r="N216" s="842"/>
      <c r="O216" s="862"/>
      <c r="P216" s="863"/>
      <c r="Q216" s="266"/>
      <c r="R216" s="277"/>
    </row>
    <row r="217" spans="1:18" s="490" customFormat="1" ht="47.25" thickTop="1" thickBot="1" x14ac:dyDescent="0.25">
      <c r="A217" s="251" t="s">
        <v>1011</v>
      </c>
      <c r="B217" s="562" t="s">
        <v>892</v>
      </c>
      <c r="C217" s="562"/>
      <c r="D217" s="575" t="s">
        <v>893</v>
      </c>
      <c r="E217" s="491">
        <f>E218</f>
        <v>3160578</v>
      </c>
      <c r="F217" s="491">
        <f t="shared" ref="F217:P217" si="200">F218</f>
        <v>3160578</v>
      </c>
      <c r="G217" s="491">
        <f t="shared" si="200"/>
        <v>2388859</v>
      </c>
      <c r="H217" s="491">
        <f t="shared" si="200"/>
        <v>29785</v>
      </c>
      <c r="I217" s="491">
        <f t="shared" si="200"/>
        <v>0</v>
      </c>
      <c r="J217" s="491">
        <f t="shared" si="200"/>
        <v>0</v>
      </c>
      <c r="K217" s="491">
        <f t="shared" si="200"/>
        <v>0</v>
      </c>
      <c r="L217" s="491">
        <f t="shared" si="200"/>
        <v>0</v>
      </c>
      <c r="M217" s="491">
        <f t="shared" si="200"/>
        <v>0</v>
      </c>
      <c r="N217" s="491">
        <f t="shared" si="200"/>
        <v>0</v>
      </c>
      <c r="O217" s="491">
        <f t="shared" si="200"/>
        <v>0</v>
      </c>
      <c r="P217" s="491">
        <f t="shared" si="200"/>
        <v>3160578</v>
      </c>
      <c r="Q217" s="495"/>
      <c r="R217" s="277"/>
    </row>
    <row r="218" spans="1:18" s="490" customFormat="1" ht="181.5" thickTop="1" thickBot="1" x14ac:dyDescent="0.25">
      <c r="A218" s="557" t="s">
        <v>1013</v>
      </c>
      <c r="B218" s="506" t="s">
        <v>1014</v>
      </c>
      <c r="C218" s="506"/>
      <c r="D218" s="576" t="s">
        <v>1012</v>
      </c>
      <c r="E218" s="465">
        <f>SUM(E219:E221)</f>
        <v>3160578</v>
      </c>
      <c r="F218" s="465">
        <f t="shared" ref="F218:P218" si="201">SUM(F219:F221)</f>
        <v>3160578</v>
      </c>
      <c r="G218" s="465">
        <f t="shared" si="201"/>
        <v>2388859</v>
      </c>
      <c r="H218" s="465">
        <f t="shared" si="201"/>
        <v>29785</v>
      </c>
      <c r="I218" s="465">
        <f t="shared" si="201"/>
        <v>0</v>
      </c>
      <c r="J218" s="465">
        <f t="shared" si="201"/>
        <v>0</v>
      </c>
      <c r="K218" s="465">
        <f t="shared" si="201"/>
        <v>0</v>
      </c>
      <c r="L218" s="465">
        <f t="shared" si="201"/>
        <v>0</v>
      </c>
      <c r="M218" s="465">
        <f t="shared" si="201"/>
        <v>0</v>
      </c>
      <c r="N218" s="465">
        <f t="shared" si="201"/>
        <v>0</v>
      </c>
      <c r="O218" s="465">
        <f t="shared" si="201"/>
        <v>0</v>
      </c>
      <c r="P218" s="465">
        <f t="shared" si="201"/>
        <v>3160578</v>
      </c>
      <c r="Q218" s="495"/>
      <c r="R218" s="277"/>
    </row>
    <row r="219" spans="1:18" s="235" customFormat="1" ht="184.5" thickTop="1" thickBot="1" x14ac:dyDescent="0.25">
      <c r="A219" s="360" t="s">
        <v>675</v>
      </c>
      <c r="B219" s="360" t="s">
        <v>577</v>
      </c>
      <c r="C219" s="360" t="s">
        <v>276</v>
      </c>
      <c r="D219" s="360" t="s">
        <v>578</v>
      </c>
      <c r="E219" s="418">
        <f>F219</f>
        <v>108400</v>
      </c>
      <c r="F219" s="247">
        <v>108400</v>
      </c>
      <c r="G219" s="247"/>
      <c r="H219" s="247"/>
      <c r="I219" s="247"/>
      <c r="J219" s="415">
        <f>L219+O219</f>
        <v>0</v>
      </c>
      <c r="K219" s="416"/>
      <c r="L219" s="247"/>
      <c r="M219" s="247"/>
      <c r="N219" s="247"/>
      <c r="O219" s="417">
        <f>K219</f>
        <v>0</v>
      </c>
      <c r="P219" s="415">
        <f>E219+J219</f>
        <v>108400</v>
      </c>
      <c r="Q219" s="266"/>
      <c r="R219" s="277"/>
    </row>
    <row r="220" spans="1:18" s="235" customFormat="1" ht="93" thickTop="1" thickBot="1" x14ac:dyDescent="0.25">
      <c r="A220" s="703" t="s">
        <v>676</v>
      </c>
      <c r="B220" s="703" t="s">
        <v>275</v>
      </c>
      <c r="C220" s="703" t="s">
        <v>276</v>
      </c>
      <c r="D220" s="703" t="s">
        <v>274</v>
      </c>
      <c r="E220" s="418">
        <f t="shared" ref="E220:E221" si="202">F220</f>
        <v>3052178</v>
      </c>
      <c r="F220" s="247">
        <f>1833178+1219000</f>
        <v>3052178</v>
      </c>
      <c r="G220" s="247">
        <f>(1494859)+894000</f>
        <v>2388859</v>
      </c>
      <c r="H220" s="247">
        <f>(20785)+9000</f>
        <v>29785</v>
      </c>
      <c r="I220" s="247"/>
      <c r="J220" s="700">
        <f>L220+O220</f>
        <v>0</v>
      </c>
      <c r="K220" s="405"/>
      <c r="L220" s="247"/>
      <c r="M220" s="247"/>
      <c r="N220" s="247"/>
      <c r="O220" s="702">
        <f>K220</f>
        <v>0</v>
      </c>
      <c r="P220" s="700">
        <f>E220+J220</f>
        <v>3052178</v>
      </c>
      <c r="Q220" s="266"/>
      <c r="R220" s="277"/>
    </row>
    <row r="221" spans="1:18" s="235" customFormat="1" ht="93" hidden="1" thickTop="1" thickBot="1" x14ac:dyDescent="0.25">
      <c r="A221" s="623" t="s">
        <v>677</v>
      </c>
      <c r="B221" s="623" t="s">
        <v>678</v>
      </c>
      <c r="C221" s="623" t="s">
        <v>276</v>
      </c>
      <c r="D221" s="623" t="s">
        <v>679</v>
      </c>
      <c r="E221" s="630">
        <f t="shared" si="202"/>
        <v>0</v>
      </c>
      <c r="F221" s="631">
        <f>(1219000)-1219000</f>
        <v>0</v>
      </c>
      <c r="G221" s="631">
        <f>(354000+540000)-894000</f>
        <v>0</v>
      </c>
      <c r="H221" s="631">
        <f>(6000+3000)-9000</f>
        <v>0</v>
      </c>
      <c r="I221" s="631"/>
      <c r="J221" s="632">
        <f>L221+O221</f>
        <v>0</v>
      </c>
      <c r="K221" s="633"/>
      <c r="L221" s="631"/>
      <c r="M221" s="631"/>
      <c r="N221" s="631"/>
      <c r="O221" s="634">
        <f>K221</f>
        <v>0</v>
      </c>
      <c r="P221" s="632">
        <f>E221+J221</f>
        <v>0</v>
      </c>
      <c r="Q221" s="266"/>
      <c r="R221" s="277"/>
    </row>
    <row r="222" spans="1:18" ht="316.5" thickTop="1" thickBot="1" x14ac:dyDescent="0.25">
      <c r="A222" s="680" t="s">
        <v>25</v>
      </c>
      <c r="B222" s="680"/>
      <c r="C222" s="680"/>
      <c r="D222" s="681" t="s">
        <v>410</v>
      </c>
      <c r="E222" s="682">
        <f>E223</f>
        <v>3464607</v>
      </c>
      <c r="F222" s="683">
        <f t="shared" ref="F222:G222" si="203">F223</f>
        <v>3464607</v>
      </c>
      <c r="G222" s="683">
        <f t="shared" si="203"/>
        <v>2367850</v>
      </c>
      <c r="H222" s="683">
        <f>H223</f>
        <v>79370</v>
      </c>
      <c r="I222" s="683">
        <f t="shared" ref="I222" si="204">I223</f>
        <v>0</v>
      </c>
      <c r="J222" s="682">
        <f>J223</f>
        <v>86450566.510000005</v>
      </c>
      <c r="K222" s="683">
        <f>K223</f>
        <v>86450566.510000005</v>
      </c>
      <c r="L222" s="683">
        <f>L223</f>
        <v>0</v>
      </c>
      <c r="M222" s="683">
        <f t="shared" ref="M222" si="205">M223</f>
        <v>0</v>
      </c>
      <c r="N222" s="682">
        <f>N223</f>
        <v>0</v>
      </c>
      <c r="O222" s="682">
        <f>O223</f>
        <v>86450566.510000005</v>
      </c>
      <c r="P222" s="683">
        <f t="shared" ref="P222" si="206">P223</f>
        <v>89915173.510000005</v>
      </c>
    </row>
    <row r="223" spans="1:18" ht="181.5" thickTop="1" thickBot="1" x14ac:dyDescent="0.25">
      <c r="A223" s="684" t="s">
        <v>26</v>
      </c>
      <c r="B223" s="684"/>
      <c r="C223" s="684"/>
      <c r="D223" s="685" t="s">
        <v>1111</v>
      </c>
      <c r="E223" s="686">
        <f>E224+E228+E231</f>
        <v>3464607</v>
      </c>
      <c r="F223" s="686">
        <f t="shared" ref="F223:I223" si="207">F224+F228+F231</f>
        <v>3464607</v>
      </c>
      <c r="G223" s="686">
        <f t="shared" si="207"/>
        <v>2367850</v>
      </c>
      <c r="H223" s="686">
        <f t="shared" si="207"/>
        <v>79370</v>
      </c>
      <c r="I223" s="686">
        <f t="shared" si="207"/>
        <v>0</v>
      </c>
      <c r="J223" s="686">
        <f>L223+O223</f>
        <v>86450566.510000005</v>
      </c>
      <c r="K223" s="686">
        <f t="shared" ref="K223:O223" si="208">K224+K228+K231</f>
        <v>86450566.510000005</v>
      </c>
      <c r="L223" s="686">
        <f t="shared" si="208"/>
        <v>0</v>
      </c>
      <c r="M223" s="686">
        <f t="shared" si="208"/>
        <v>0</v>
      </c>
      <c r="N223" s="686">
        <f t="shared" si="208"/>
        <v>0</v>
      </c>
      <c r="O223" s="686">
        <f t="shared" si="208"/>
        <v>86450566.510000005</v>
      </c>
      <c r="P223" s="687">
        <f t="shared" ref="P223:P239" si="209">E223+J223</f>
        <v>89915173.510000005</v>
      </c>
      <c r="Q223" s="181" t="b">
        <f>P223=P235+P237+P238+P225+P239+P230+P236+P226+P233+P227</f>
        <v>1</v>
      </c>
      <c r="R223" s="317" t="b">
        <f>K223='d6'!J202</f>
        <v>1</v>
      </c>
    </row>
    <row r="224" spans="1:18" s="543" customFormat="1" ht="47.25" thickTop="1" thickBot="1" x14ac:dyDescent="0.25">
      <c r="A224" s="562" t="s">
        <v>1015</v>
      </c>
      <c r="B224" s="562" t="s">
        <v>880</v>
      </c>
      <c r="C224" s="562"/>
      <c r="D224" s="562" t="s">
        <v>881</v>
      </c>
      <c r="E224" s="547">
        <f t="shared" ref="E224:P224" si="210">SUM(E225:E227)</f>
        <v>3464607</v>
      </c>
      <c r="F224" s="732">
        <f t="shared" si="210"/>
        <v>3464607</v>
      </c>
      <c r="G224" s="732">
        <f t="shared" si="210"/>
        <v>2367850</v>
      </c>
      <c r="H224" s="732">
        <f t="shared" si="210"/>
        <v>79370</v>
      </c>
      <c r="I224" s="732">
        <f t="shared" si="210"/>
        <v>0</v>
      </c>
      <c r="J224" s="732">
        <f t="shared" si="210"/>
        <v>0</v>
      </c>
      <c r="K224" s="732">
        <f t="shared" si="210"/>
        <v>0</v>
      </c>
      <c r="L224" s="732">
        <f t="shared" si="210"/>
        <v>0</v>
      </c>
      <c r="M224" s="732">
        <f t="shared" si="210"/>
        <v>0</v>
      </c>
      <c r="N224" s="732">
        <f t="shared" si="210"/>
        <v>0</v>
      </c>
      <c r="O224" s="732">
        <f t="shared" si="210"/>
        <v>0</v>
      </c>
      <c r="P224" s="732">
        <f t="shared" si="210"/>
        <v>3464607</v>
      </c>
      <c r="Q224" s="181"/>
      <c r="R224" s="317"/>
    </row>
    <row r="225" spans="1:18" ht="230.25" thickTop="1" thickBot="1" x14ac:dyDescent="0.25">
      <c r="A225" s="419" t="s">
        <v>455</v>
      </c>
      <c r="B225" s="419" t="s">
        <v>261</v>
      </c>
      <c r="C225" s="419" t="s">
        <v>259</v>
      </c>
      <c r="D225" s="419" t="s">
        <v>260</v>
      </c>
      <c r="E225" s="421">
        <f>F225</f>
        <v>3309607</v>
      </c>
      <c r="F225" s="405">
        <f>(2367850+520950+61660+322000+2000+1570+24500+53300+1610+1075-5000)-145008-1000+1000+49750+17000+10000+20835+3015+1000+1500</f>
        <v>3309607</v>
      </c>
      <c r="G225" s="405">
        <v>2367850</v>
      </c>
      <c r="H225" s="405">
        <f>(1570+24500+53300)</f>
        <v>79370</v>
      </c>
      <c r="I225" s="405"/>
      <c r="J225" s="421">
        <f t="shared" ref="J225:J239" si="211">L225+O225</f>
        <v>0</v>
      </c>
      <c r="K225" s="405"/>
      <c r="L225" s="405"/>
      <c r="M225" s="405"/>
      <c r="N225" s="405"/>
      <c r="O225" s="423">
        <f>K225</f>
        <v>0</v>
      </c>
      <c r="P225" s="421">
        <f t="shared" si="209"/>
        <v>3309607</v>
      </c>
      <c r="Q225" s="276"/>
      <c r="R225" s="277"/>
    </row>
    <row r="226" spans="1:18" s="412" customFormat="1" ht="184.5" thickTop="1" thickBot="1" x14ac:dyDescent="0.25">
      <c r="A226" s="413" t="s">
        <v>825</v>
      </c>
      <c r="B226" s="413" t="s">
        <v>398</v>
      </c>
      <c r="C226" s="413" t="s">
        <v>815</v>
      </c>
      <c r="D226" s="413" t="s">
        <v>816</v>
      </c>
      <c r="E226" s="418">
        <f>F226</f>
        <v>5000</v>
      </c>
      <c r="F226" s="247">
        <v>5000</v>
      </c>
      <c r="G226" s="247"/>
      <c r="H226" s="247"/>
      <c r="I226" s="247"/>
      <c r="J226" s="415">
        <f t="shared" si="211"/>
        <v>0</v>
      </c>
      <c r="K226" s="247"/>
      <c r="L226" s="248"/>
      <c r="M226" s="248"/>
      <c r="N226" s="248"/>
      <c r="O226" s="417">
        <f t="shared" ref="O226" si="212">K226</f>
        <v>0</v>
      </c>
      <c r="P226" s="415">
        <f t="shared" ref="P226" si="213">+J226+E226</f>
        <v>5000</v>
      </c>
      <c r="Q226" s="276"/>
      <c r="R226" s="277"/>
    </row>
    <row r="227" spans="1:18" s="725" customFormat="1" ht="93" thickTop="1" thickBot="1" x14ac:dyDescent="0.25">
      <c r="A227" s="733" t="s">
        <v>1206</v>
      </c>
      <c r="B227" s="733" t="s">
        <v>45</v>
      </c>
      <c r="C227" s="733" t="s">
        <v>44</v>
      </c>
      <c r="D227" s="733" t="s">
        <v>273</v>
      </c>
      <c r="E227" s="418">
        <f>F227</f>
        <v>150000</v>
      </c>
      <c r="F227" s="247">
        <v>150000</v>
      </c>
      <c r="G227" s="247"/>
      <c r="H227" s="247"/>
      <c r="I227" s="247"/>
      <c r="J227" s="728">
        <f t="shared" ref="J227" si="214">L227+O227</f>
        <v>0</v>
      </c>
      <c r="K227" s="247"/>
      <c r="L227" s="248"/>
      <c r="M227" s="248"/>
      <c r="N227" s="248"/>
      <c r="O227" s="730">
        <f t="shared" ref="O227" si="215">K227</f>
        <v>0</v>
      </c>
      <c r="P227" s="728">
        <f t="shared" ref="P227" si="216">+J227+E227</f>
        <v>150000</v>
      </c>
      <c r="Q227" s="276"/>
      <c r="R227" s="277"/>
    </row>
    <row r="228" spans="1:18" s="543" customFormat="1" ht="47.25" thickTop="1" thickBot="1" x14ac:dyDescent="0.25">
      <c r="A228" s="562" t="s">
        <v>1016</v>
      </c>
      <c r="B228" s="562" t="s">
        <v>971</v>
      </c>
      <c r="C228" s="546"/>
      <c r="D228" s="562" t="s">
        <v>972</v>
      </c>
      <c r="E228" s="418">
        <f>E229</f>
        <v>0</v>
      </c>
      <c r="F228" s="418">
        <f t="shared" ref="F228:P229" si="217">F229</f>
        <v>0</v>
      </c>
      <c r="G228" s="418">
        <f t="shared" si="217"/>
        <v>0</v>
      </c>
      <c r="H228" s="418">
        <f t="shared" si="217"/>
        <v>0</v>
      </c>
      <c r="I228" s="418">
        <f t="shared" si="217"/>
        <v>0</v>
      </c>
      <c r="J228" s="418">
        <f t="shared" si="217"/>
        <v>17000000</v>
      </c>
      <c r="K228" s="418">
        <f t="shared" si="217"/>
        <v>17000000</v>
      </c>
      <c r="L228" s="418">
        <f t="shared" si="217"/>
        <v>0</v>
      </c>
      <c r="M228" s="418">
        <f t="shared" si="217"/>
        <v>0</v>
      </c>
      <c r="N228" s="418">
        <f t="shared" si="217"/>
        <v>0</v>
      </c>
      <c r="O228" s="418">
        <f t="shared" si="217"/>
        <v>17000000</v>
      </c>
      <c r="P228" s="418">
        <f t="shared" si="217"/>
        <v>17000000</v>
      </c>
      <c r="Q228" s="276"/>
      <c r="R228" s="277"/>
    </row>
    <row r="229" spans="1:18" s="543" customFormat="1" ht="93" thickTop="1" thickBot="1" x14ac:dyDescent="0.25">
      <c r="A229" s="464" t="s">
        <v>1017</v>
      </c>
      <c r="B229" s="464" t="s">
        <v>1018</v>
      </c>
      <c r="C229" s="464"/>
      <c r="D229" s="464" t="s">
        <v>1019</v>
      </c>
      <c r="E229" s="571">
        <f>E230</f>
        <v>0</v>
      </c>
      <c r="F229" s="571">
        <f t="shared" si="217"/>
        <v>0</v>
      </c>
      <c r="G229" s="571">
        <f t="shared" si="217"/>
        <v>0</v>
      </c>
      <c r="H229" s="571">
        <f t="shared" si="217"/>
        <v>0</v>
      </c>
      <c r="I229" s="571">
        <f t="shared" si="217"/>
        <v>0</v>
      </c>
      <c r="J229" s="571">
        <f t="shared" si="217"/>
        <v>17000000</v>
      </c>
      <c r="K229" s="571">
        <f t="shared" si="217"/>
        <v>17000000</v>
      </c>
      <c r="L229" s="571">
        <f t="shared" si="217"/>
        <v>0</v>
      </c>
      <c r="M229" s="571">
        <f t="shared" si="217"/>
        <v>0</v>
      </c>
      <c r="N229" s="571">
        <f t="shared" si="217"/>
        <v>0</v>
      </c>
      <c r="O229" s="571">
        <f t="shared" si="217"/>
        <v>17000000</v>
      </c>
      <c r="P229" s="571">
        <f t="shared" si="217"/>
        <v>17000000</v>
      </c>
      <c r="Q229" s="276"/>
      <c r="R229" s="277"/>
    </row>
    <row r="230" spans="1:18" ht="321.75" thickTop="1" thickBot="1" x14ac:dyDescent="0.25">
      <c r="A230" s="388" t="s">
        <v>473</v>
      </c>
      <c r="B230" s="388" t="s">
        <v>475</v>
      </c>
      <c r="C230" s="388" t="s">
        <v>220</v>
      </c>
      <c r="D230" s="388" t="s">
        <v>474</v>
      </c>
      <c r="E230" s="387">
        <f t="shared" ref="E230:E237" si="218">F230</f>
        <v>0</v>
      </c>
      <c r="F230" s="405"/>
      <c r="G230" s="405"/>
      <c r="H230" s="405"/>
      <c r="I230" s="405"/>
      <c r="J230" s="387">
        <f t="shared" si="211"/>
        <v>17000000</v>
      </c>
      <c r="K230" s="405">
        <f>(8000000+2000000+7000000)</f>
        <v>17000000</v>
      </c>
      <c r="L230" s="405"/>
      <c r="M230" s="405"/>
      <c r="N230" s="405"/>
      <c r="O230" s="386">
        <f t="shared" ref="O230" si="219">K230</f>
        <v>17000000</v>
      </c>
      <c r="P230" s="387">
        <f t="shared" si="209"/>
        <v>17000000</v>
      </c>
      <c r="Q230" s="276"/>
      <c r="R230" s="317" t="b">
        <f>K230='d6'!J204</f>
        <v>1</v>
      </c>
    </row>
    <row r="231" spans="1:18" s="543" customFormat="1" ht="47.25" thickTop="1" thickBot="1" x14ac:dyDescent="0.25">
      <c r="A231" s="562" t="s">
        <v>1020</v>
      </c>
      <c r="B231" s="562" t="s">
        <v>948</v>
      </c>
      <c r="C231" s="546"/>
      <c r="D231" s="562" t="s">
        <v>995</v>
      </c>
      <c r="E231" s="547">
        <f>E232</f>
        <v>0</v>
      </c>
      <c r="F231" s="547">
        <f t="shared" ref="F231:P231" si="220">F232</f>
        <v>0</v>
      </c>
      <c r="G231" s="547">
        <f t="shared" si="220"/>
        <v>0</v>
      </c>
      <c r="H231" s="547">
        <f t="shared" si="220"/>
        <v>0</v>
      </c>
      <c r="I231" s="547">
        <f t="shared" si="220"/>
        <v>0</v>
      </c>
      <c r="J231" s="547">
        <f t="shared" si="220"/>
        <v>69450566.510000005</v>
      </c>
      <c r="K231" s="547">
        <f t="shared" si="220"/>
        <v>69450566.510000005</v>
      </c>
      <c r="L231" s="547">
        <f t="shared" si="220"/>
        <v>0</v>
      </c>
      <c r="M231" s="547">
        <f t="shared" si="220"/>
        <v>0</v>
      </c>
      <c r="N231" s="547">
        <f t="shared" si="220"/>
        <v>0</v>
      </c>
      <c r="O231" s="547">
        <f t="shared" si="220"/>
        <v>69450566.510000005</v>
      </c>
      <c r="P231" s="547">
        <f t="shared" si="220"/>
        <v>69450566.510000005</v>
      </c>
      <c r="Q231" s="276"/>
      <c r="R231" s="277"/>
    </row>
    <row r="232" spans="1:18" s="543" customFormat="1" ht="91.5" thickTop="1" thickBot="1" x14ac:dyDescent="0.25">
      <c r="A232" s="506" t="s">
        <v>1021</v>
      </c>
      <c r="B232" s="506" t="s">
        <v>1004</v>
      </c>
      <c r="C232" s="506"/>
      <c r="D232" s="506" t="s">
        <v>1005</v>
      </c>
      <c r="E232" s="465">
        <f t="shared" ref="E232:P232" si="221">SUM(E233:E239)-E234</f>
        <v>0</v>
      </c>
      <c r="F232" s="465">
        <f t="shared" si="221"/>
        <v>0</v>
      </c>
      <c r="G232" s="465">
        <f t="shared" si="221"/>
        <v>0</v>
      </c>
      <c r="H232" s="465">
        <f t="shared" si="221"/>
        <v>0</v>
      </c>
      <c r="I232" s="465">
        <f t="shared" si="221"/>
        <v>0</v>
      </c>
      <c r="J232" s="465">
        <f t="shared" si="221"/>
        <v>69450566.510000005</v>
      </c>
      <c r="K232" s="465">
        <f t="shared" si="221"/>
        <v>69450566.510000005</v>
      </c>
      <c r="L232" s="465">
        <f t="shared" si="221"/>
        <v>0</v>
      </c>
      <c r="M232" s="465">
        <f t="shared" si="221"/>
        <v>0</v>
      </c>
      <c r="N232" s="465">
        <f t="shared" si="221"/>
        <v>0</v>
      </c>
      <c r="O232" s="465">
        <f t="shared" si="221"/>
        <v>69450566.510000005</v>
      </c>
      <c r="P232" s="465">
        <f t="shared" si="221"/>
        <v>69450566.510000005</v>
      </c>
      <c r="Q232" s="276"/>
      <c r="R232" s="277"/>
    </row>
    <row r="233" spans="1:18" s="725" customFormat="1" ht="99.75" thickTop="1" thickBot="1" x14ac:dyDescent="0.25">
      <c r="A233" s="731" t="s">
        <v>1205</v>
      </c>
      <c r="B233" s="731" t="s">
        <v>331</v>
      </c>
      <c r="C233" s="731" t="s">
        <v>330</v>
      </c>
      <c r="D233" s="731" t="s">
        <v>817</v>
      </c>
      <c r="E233" s="732">
        <f t="shared" ref="E233" si="222">F233</f>
        <v>0</v>
      </c>
      <c r="F233" s="405"/>
      <c r="G233" s="405"/>
      <c r="H233" s="405"/>
      <c r="I233" s="405"/>
      <c r="J233" s="732">
        <f t="shared" ref="J233" si="223">L233+O233</f>
        <v>36872.51</v>
      </c>
      <c r="K233" s="405">
        <v>36872.51</v>
      </c>
      <c r="L233" s="405"/>
      <c r="M233" s="405"/>
      <c r="N233" s="405"/>
      <c r="O233" s="729">
        <f>K233</f>
        <v>36872.51</v>
      </c>
      <c r="P233" s="732">
        <f t="shared" ref="P233" si="224">E233+J233</f>
        <v>36872.51</v>
      </c>
      <c r="Q233" s="276"/>
      <c r="R233" s="317" t="b">
        <f>K233='d6'!J206</f>
        <v>1</v>
      </c>
    </row>
    <row r="234" spans="1:18" s="543" customFormat="1" ht="146.25" thickTop="1" thickBot="1" x14ac:dyDescent="0.25">
      <c r="A234" s="464" t="s">
        <v>1022</v>
      </c>
      <c r="B234" s="464" t="s">
        <v>1023</v>
      </c>
      <c r="C234" s="464"/>
      <c r="D234" s="464" t="s">
        <v>1024</v>
      </c>
      <c r="E234" s="466">
        <f>SUM(E235:E236)</f>
        <v>0</v>
      </c>
      <c r="F234" s="466">
        <f t="shared" ref="F234:P234" si="225">SUM(F235:F236)</f>
        <v>0</v>
      </c>
      <c r="G234" s="466">
        <f t="shared" si="225"/>
        <v>0</v>
      </c>
      <c r="H234" s="466">
        <f t="shared" si="225"/>
        <v>0</v>
      </c>
      <c r="I234" s="466">
        <f t="shared" si="225"/>
        <v>0</v>
      </c>
      <c r="J234" s="466">
        <f t="shared" si="225"/>
        <v>21970957</v>
      </c>
      <c r="K234" s="466">
        <f t="shared" si="225"/>
        <v>21970957</v>
      </c>
      <c r="L234" s="466">
        <f t="shared" si="225"/>
        <v>0</v>
      </c>
      <c r="M234" s="466">
        <f t="shared" si="225"/>
        <v>0</v>
      </c>
      <c r="N234" s="466">
        <f t="shared" si="225"/>
        <v>0</v>
      </c>
      <c r="O234" s="466">
        <f t="shared" si="225"/>
        <v>21970957</v>
      </c>
      <c r="P234" s="466">
        <f t="shared" si="225"/>
        <v>21970957</v>
      </c>
      <c r="Q234" s="276"/>
      <c r="R234" s="277"/>
    </row>
    <row r="235" spans="1:18" ht="99.75" thickTop="1" thickBot="1" x14ac:dyDescent="0.25">
      <c r="A235" s="388" t="s">
        <v>340</v>
      </c>
      <c r="B235" s="388" t="s">
        <v>341</v>
      </c>
      <c r="C235" s="388" t="s">
        <v>330</v>
      </c>
      <c r="D235" s="388" t="s">
        <v>818</v>
      </c>
      <c r="E235" s="387">
        <f t="shared" si="218"/>
        <v>0</v>
      </c>
      <c r="F235" s="405"/>
      <c r="G235" s="405"/>
      <c r="H235" s="405"/>
      <c r="I235" s="405"/>
      <c r="J235" s="387">
        <f t="shared" si="211"/>
        <v>21770957</v>
      </c>
      <c r="K235" s="405">
        <f>(6855987)+16002910-1087940</f>
        <v>21770957</v>
      </c>
      <c r="L235" s="405"/>
      <c r="M235" s="405"/>
      <c r="N235" s="405"/>
      <c r="O235" s="386">
        <f>K235</f>
        <v>21770957</v>
      </c>
      <c r="P235" s="387">
        <f t="shared" si="209"/>
        <v>21770957</v>
      </c>
      <c r="Q235" s="267"/>
      <c r="R235" s="317" t="b">
        <f>K235='d6'!J208+'d6'!J209+'d6'!J210+'d6'!J207</f>
        <v>1</v>
      </c>
    </row>
    <row r="236" spans="1:18" ht="99.75" thickTop="1" thickBot="1" x14ac:dyDescent="0.25">
      <c r="A236" s="388" t="s">
        <v>575</v>
      </c>
      <c r="B236" s="388" t="s">
        <v>576</v>
      </c>
      <c r="C236" s="388" t="s">
        <v>330</v>
      </c>
      <c r="D236" s="388" t="s">
        <v>819</v>
      </c>
      <c r="E236" s="387">
        <f t="shared" si="218"/>
        <v>0</v>
      </c>
      <c r="F236" s="405"/>
      <c r="G236" s="405"/>
      <c r="H236" s="405"/>
      <c r="I236" s="405"/>
      <c r="J236" s="387">
        <f t="shared" si="211"/>
        <v>200000</v>
      </c>
      <c r="K236" s="405">
        <v>200000</v>
      </c>
      <c r="L236" s="405"/>
      <c r="M236" s="405"/>
      <c r="N236" s="405"/>
      <c r="O236" s="386">
        <f>K236</f>
        <v>200000</v>
      </c>
      <c r="P236" s="387">
        <f t="shared" si="209"/>
        <v>200000</v>
      </c>
      <c r="Q236" s="267"/>
      <c r="R236" s="317" t="b">
        <f>K236='d6'!J211</f>
        <v>1</v>
      </c>
    </row>
    <row r="237" spans="1:18" ht="145.5" hidden="1" thickTop="1" thickBot="1" x14ac:dyDescent="0.25">
      <c r="A237" s="388" t="s">
        <v>342</v>
      </c>
      <c r="B237" s="388" t="s">
        <v>343</v>
      </c>
      <c r="C237" s="388" t="s">
        <v>330</v>
      </c>
      <c r="D237" s="388" t="s">
        <v>820</v>
      </c>
      <c r="E237" s="387">
        <f t="shared" si="218"/>
        <v>0</v>
      </c>
      <c r="F237" s="405"/>
      <c r="G237" s="405"/>
      <c r="H237" s="405"/>
      <c r="I237" s="405"/>
      <c r="J237" s="387">
        <f t="shared" si="211"/>
        <v>0</v>
      </c>
      <c r="K237" s="405">
        <v>0</v>
      </c>
      <c r="L237" s="405"/>
      <c r="M237" s="405"/>
      <c r="N237" s="405"/>
      <c r="O237" s="386">
        <f>K237</f>
        <v>0</v>
      </c>
      <c r="P237" s="387">
        <f t="shared" si="209"/>
        <v>0</v>
      </c>
      <c r="Q237" s="267"/>
    </row>
    <row r="238" spans="1:18" ht="99.75" thickTop="1" thickBot="1" x14ac:dyDescent="0.3">
      <c r="A238" s="388" t="s">
        <v>344</v>
      </c>
      <c r="B238" s="388" t="s">
        <v>345</v>
      </c>
      <c r="C238" s="388" t="s">
        <v>330</v>
      </c>
      <c r="D238" s="388" t="s">
        <v>821</v>
      </c>
      <c r="E238" s="387">
        <f>F238</f>
        <v>0</v>
      </c>
      <c r="F238" s="405"/>
      <c r="G238" s="405"/>
      <c r="H238" s="405"/>
      <c r="I238" s="405"/>
      <c r="J238" s="387">
        <f t="shared" si="211"/>
        <v>17361435</v>
      </c>
      <c r="K238" s="405">
        <f>(9126836+5000000+370000)+2068629+795970</f>
        <v>17361435</v>
      </c>
      <c r="L238" s="405"/>
      <c r="M238" s="405"/>
      <c r="N238" s="405"/>
      <c r="O238" s="386">
        <f>K238</f>
        <v>17361435</v>
      </c>
      <c r="P238" s="387">
        <f t="shared" si="209"/>
        <v>17361435</v>
      </c>
      <c r="Q238" s="279"/>
      <c r="R238" s="317" t="b">
        <f>K238='d6'!J212+'d6'!J213+'d6'!J214+'d6'!J215+'d6'!J216+'d6'!J217+'d6'!J218+'d6'!J219+'d6'!J220+'d6'!J222+'d6'!J221</f>
        <v>1</v>
      </c>
    </row>
    <row r="239" spans="1:18" ht="138.75" thickTop="1" thickBot="1" x14ac:dyDescent="0.25">
      <c r="A239" s="388" t="s">
        <v>479</v>
      </c>
      <c r="B239" s="388" t="s">
        <v>384</v>
      </c>
      <c r="C239" s="388" t="s">
        <v>191</v>
      </c>
      <c r="D239" s="388" t="s">
        <v>287</v>
      </c>
      <c r="E239" s="387">
        <f>F239</f>
        <v>0</v>
      </c>
      <c r="F239" s="405"/>
      <c r="G239" s="405"/>
      <c r="H239" s="405"/>
      <c r="I239" s="405"/>
      <c r="J239" s="387">
        <f t="shared" si="211"/>
        <v>30081302</v>
      </c>
      <c r="K239" s="405">
        <f>(23737852+6343450)</f>
        <v>30081302</v>
      </c>
      <c r="L239" s="405"/>
      <c r="M239" s="405"/>
      <c r="N239" s="405"/>
      <c r="O239" s="386">
        <f>K239</f>
        <v>30081302</v>
      </c>
      <c r="P239" s="387">
        <f t="shared" si="209"/>
        <v>30081302</v>
      </c>
      <c r="R239" s="317" t="b">
        <f>K239='d6'!J223</f>
        <v>1</v>
      </c>
    </row>
    <row r="240" spans="1:18" ht="181.5" thickTop="1" thickBot="1" x14ac:dyDescent="0.25">
      <c r="A240" s="680" t="s">
        <v>181</v>
      </c>
      <c r="B240" s="680"/>
      <c r="C240" s="680"/>
      <c r="D240" s="681" t="s">
        <v>1112</v>
      </c>
      <c r="E240" s="682">
        <f>E241</f>
        <v>6735615</v>
      </c>
      <c r="F240" s="683">
        <f t="shared" ref="F240:G240" si="226">F241</f>
        <v>6735615</v>
      </c>
      <c r="G240" s="683">
        <f t="shared" si="226"/>
        <v>4925575</v>
      </c>
      <c r="H240" s="683">
        <f>H241</f>
        <v>129045</v>
      </c>
      <c r="I240" s="683">
        <f t="shared" ref="I240" si="227">I241</f>
        <v>0</v>
      </c>
      <c r="J240" s="682">
        <f>J241</f>
        <v>751000</v>
      </c>
      <c r="K240" s="683">
        <f>K241</f>
        <v>751000</v>
      </c>
      <c r="L240" s="683">
        <f>L241</f>
        <v>0</v>
      </c>
      <c r="M240" s="683">
        <f t="shared" ref="M240" si="228">M241</f>
        <v>0</v>
      </c>
      <c r="N240" s="682">
        <f>N241</f>
        <v>0</v>
      </c>
      <c r="O240" s="682">
        <f>O241</f>
        <v>751000</v>
      </c>
      <c r="P240" s="683">
        <f t="shared" ref="P240" si="229">P241</f>
        <v>7486615</v>
      </c>
    </row>
    <row r="241" spans="1:18" ht="181.5" thickTop="1" thickBot="1" x14ac:dyDescent="0.25">
      <c r="A241" s="684" t="s">
        <v>182</v>
      </c>
      <c r="B241" s="684"/>
      <c r="C241" s="684"/>
      <c r="D241" s="685" t="s">
        <v>1113</v>
      </c>
      <c r="E241" s="686">
        <f>E242+E245</f>
        <v>6735615</v>
      </c>
      <c r="F241" s="686">
        <f>F242+F245</f>
        <v>6735615</v>
      </c>
      <c r="G241" s="686">
        <f>G242+G245</f>
        <v>4925575</v>
      </c>
      <c r="H241" s="686">
        <f>H242+H245</f>
        <v>129045</v>
      </c>
      <c r="I241" s="686">
        <f>I242+I245</f>
        <v>0</v>
      </c>
      <c r="J241" s="686">
        <f>L241+O241</f>
        <v>751000</v>
      </c>
      <c r="K241" s="686">
        <f>K242+K245</f>
        <v>751000</v>
      </c>
      <c r="L241" s="686">
        <f>L242+L245</f>
        <v>0</v>
      </c>
      <c r="M241" s="686">
        <f>M242+M245</f>
        <v>0</v>
      </c>
      <c r="N241" s="686">
        <f>N242+N245</f>
        <v>0</v>
      </c>
      <c r="O241" s="686">
        <f>O242+O245</f>
        <v>751000</v>
      </c>
      <c r="P241" s="687">
        <f>E241+J241</f>
        <v>7486615</v>
      </c>
      <c r="Q241" s="181" t="b">
        <f>P241=P243+P244+P247</f>
        <v>1</v>
      </c>
      <c r="R241" s="317" t="b">
        <f>K241='d6'!J224</f>
        <v>1</v>
      </c>
    </row>
    <row r="242" spans="1:18" s="543" customFormat="1" ht="47.25" thickTop="1" thickBot="1" x14ac:dyDescent="0.25">
      <c r="A242" s="251" t="s">
        <v>1025</v>
      </c>
      <c r="B242" s="562" t="s">
        <v>880</v>
      </c>
      <c r="C242" s="562"/>
      <c r="D242" s="562" t="s">
        <v>881</v>
      </c>
      <c r="E242" s="547">
        <f>SUM(E243:E244)</f>
        <v>6735615</v>
      </c>
      <c r="F242" s="547">
        <f t="shared" ref="F242" si="230">SUM(F243:F244)</f>
        <v>6735615</v>
      </c>
      <c r="G242" s="547">
        <f t="shared" ref="G242" si="231">SUM(G243:G244)</f>
        <v>4925575</v>
      </c>
      <c r="H242" s="547">
        <f t="shared" ref="H242" si="232">SUM(H243:H244)</f>
        <v>129045</v>
      </c>
      <c r="I242" s="547">
        <f t="shared" ref="I242" si="233">SUM(I243:I244)</f>
        <v>0</v>
      </c>
      <c r="J242" s="547">
        <f t="shared" ref="J242" si="234">SUM(J243:J244)</f>
        <v>140000</v>
      </c>
      <c r="K242" s="547">
        <f t="shared" ref="K242" si="235">SUM(K243:K244)</f>
        <v>140000</v>
      </c>
      <c r="L242" s="547">
        <f t="shared" ref="L242" si="236">SUM(L243:L244)</f>
        <v>0</v>
      </c>
      <c r="M242" s="547">
        <f t="shared" ref="M242" si="237">SUM(M243:M244)</f>
        <v>0</v>
      </c>
      <c r="N242" s="547">
        <f t="shared" ref="N242" si="238">SUM(N243:N244)</f>
        <v>0</v>
      </c>
      <c r="O242" s="547">
        <f t="shared" ref="O242" si="239">SUM(O243:O244)</f>
        <v>140000</v>
      </c>
      <c r="P242" s="547">
        <f t="shared" ref="P242" si="240">SUM(P243:P244)</f>
        <v>6875615</v>
      </c>
      <c r="Q242" s="181"/>
      <c r="R242" s="317"/>
    </row>
    <row r="243" spans="1:18" ht="230.25" thickTop="1" thickBot="1" x14ac:dyDescent="0.25">
      <c r="A243" s="360" t="s">
        <v>457</v>
      </c>
      <c r="B243" s="360" t="s">
        <v>261</v>
      </c>
      <c r="C243" s="360" t="s">
        <v>259</v>
      </c>
      <c r="D243" s="360" t="s">
        <v>260</v>
      </c>
      <c r="E243" s="415">
        <f>F243</f>
        <v>6728615</v>
      </c>
      <c r="F243" s="416">
        <f>(6523715-7000)+55900+140000+16000</f>
        <v>6728615</v>
      </c>
      <c r="G243" s="416">
        <v>4925575</v>
      </c>
      <c r="H243" s="416">
        <f>(97095+1950+30000)</f>
        <v>129045</v>
      </c>
      <c r="I243" s="416"/>
      <c r="J243" s="415">
        <f>L243+O243</f>
        <v>140000</v>
      </c>
      <c r="K243" s="416">
        <v>140000</v>
      </c>
      <c r="L243" s="416"/>
      <c r="M243" s="416"/>
      <c r="N243" s="416"/>
      <c r="O243" s="417">
        <f>K243</f>
        <v>140000</v>
      </c>
      <c r="P243" s="415">
        <f>E243+J243</f>
        <v>6868615</v>
      </c>
      <c r="Q243" s="276"/>
      <c r="R243" s="317" t="b">
        <f>K243='d6'!J226</f>
        <v>1</v>
      </c>
    </row>
    <row r="244" spans="1:18" s="412" customFormat="1" ht="184.5" thickTop="1" thickBot="1" x14ac:dyDescent="0.25">
      <c r="A244" s="419" t="s">
        <v>826</v>
      </c>
      <c r="B244" s="419" t="s">
        <v>398</v>
      </c>
      <c r="C244" s="419" t="s">
        <v>815</v>
      </c>
      <c r="D244" s="419" t="s">
        <v>816</v>
      </c>
      <c r="E244" s="418">
        <f>F244</f>
        <v>7000</v>
      </c>
      <c r="F244" s="247">
        <v>7000</v>
      </c>
      <c r="G244" s="247"/>
      <c r="H244" s="247"/>
      <c r="I244" s="247"/>
      <c r="J244" s="415">
        <f t="shared" ref="J244" si="241">L244+O244</f>
        <v>0</v>
      </c>
      <c r="K244" s="247"/>
      <c r="L244" s="248"/>
      <c r="M244" s="248"/>
      <c r="N244" s="248"/>
      <c r="O244" s="417">
        <f t="shared" ref="O244" si="242">K244</f>
        <v>0</v>
      </c>
      <c r="P244" s="415">
        <f t="shared" ref="P244" si="243">+J244+E244</f>
        <v>7000</v>
      </c>
      <c r="Q244" s="276"/>
      <c r="R244" s="317"/>
    </row>
    <row r="245" spans="1:18" s="653" customFormat="1" ht="47.25" thickTop="1" thickBot="1" x14ac:dyDescent="0.25">
      <c r="A245" s="562" t="s">
        <v>1162</v>
      </c>
      <c r="B245" s="562" t="s">
        <v>948</v>
      </c>
      <c r="C245" s="656"/>
      <c r="D245" s="562" t="s">
        <v>995</v>
      </c>
      <c r="E245" s="657">
        <f>E246</f>
        <v>0</v>
      </c>
      <c r="F245" s="657">
        <f t="shared" ref="F245:P246" si="244">F246</f>
        <v>0</v>
      </c>
      <c r="G245" s="657">
        <f t="shared" si="244"/>
        <v>0</v>
      </c>
      <c r="H245" s="657">
        <f t="shared" si="244"/>
        <v>0</v>
      </c>
      <c r="I245" s="657">
        <f t="shared" si="244"/>
        <v>0</v>
      </c>
      <c r="J245" s="657">
        <f t="shared" si="244"/>
        <v>611000</v>
      </c>
      <c r="K245" s="657">
        <f t="shared" si="244"/>
        <v>611000</v>
      </c>
      <c r="L245" s="657">
        <f t="shared" si="244"/>
        <v>0</v>
      </c>
      <c r="M245" s="657">
        <f t="shared" si="244"/>
        <v>0</v>
      </c>
      <c r="N245" s="657">
        <f t="shared" si="244"/>
        <v>0</v>
      </c>
      <c r="O245" s="657">
        <f t="shared" si="244"/>
        <v>611000</v>
      </c>
      <c r="P245" s="657">
        <f t="shared" si="244"/>
        <v>611000</v>
      </c>
      <c r="Q245" s="276"/>
      <c r="R245" s="317"/>
    </row>
    <row r="246" spans="1:18" s="653" customFormat="1" ht="91.5" thickTop="1" thickBot="1" x14ac:dyDescent="0.25">
      <c r="A246" s="506" t="s">
        <v>1163</v>
      </c>
      <c r="B246" s="506" t="s">
        <v>1004</v>
      </c>
      <c r="C246" s="506"/>
      <c r="D246" s="506" t="s">
        <v>1005</v>
      </c>
      <c r="E246" s="465">
        <f>E247</f>
        <v>0</v>
      </c>
      <c r="F246" s="465">
        <f t="shared" si="244"/>
        <v>0</v>
      </c>
      <c r="G246" s="465">
        <f t="shared" si="244"/>
        <v>0</v>
      </c>
      <c r="H246" s="465">
        <f t="shared" si="244"/>
        <v>0</v>
      </c>
      <c r="I246" s="465">
        <f t="shared" si="244"/>
        <v>0</v>
      </c>
      <c r="J246" s="465">
        <f t="shared" si="244"/>
        <v>611000</v>
      </c>
      <c r="K246" s="465">
        <f t="shared" si="244"/>
        <v>611000</v>
      </c>
      <c r="L246" s="465">
        <f t="shared" si="244"/>
        <v>0</v>
      </c>
      <c r="M246" s="465">
        <f t="shared" si="244"/>
        <v>0</v>
      </c>
      <c r="N246" s="465">
        <f t="shared" si="244"/>
        <v>0</v>
      </c>
      <c r="O246" s="465">
        <f t="shared" si="244"/>
        <v>611000</v>
      </c>
      <c r="P246" s="465">
        <f t="shared" si="244"/>
        <v>611000</v>
      </c>
      <c r="Q246" s="276"/>
      <c r="R246" s="317"/>
    </row>
    <row r="247" spans="1:18" s="653" customFormat="1" ht="138.75" thickTop="1" thickBot="1" x14ac:dyDescent="0.25">
      <c r="A247" s="656" t="s">
        <v>1164</v>
      </c>
      <c r="B247" s="656" t="s">
        <v>1165</v>
      </c>
      <c r="C247" s="656" t="s">
        <v>330</v>
      </c>
      <c r="D247" s="656" t="s">
        <v>1166</v>
      </c>
      <c r="E247" s="418">
        <f>F247</f>
        <v>0</v>
      </c>
      <c r="F247" s="247"/>
      <c r="G247" s="247"/>
      <c r="H247" s="247"/>
      <c r="I247" s="247"/>
      <c r="J247" s="657">
        <f t="shared" ref="J247" si="245">L247+O247</f>
        <v>611000</v>
      </c>
      <c r="K247" s="247">
        <v>611000</v>
      </c>
      <c r="L247" s="248"/>
      <c r="M247" s="248"/>
      <c r="N247" s="248"/>
      <c r="O247" s="655">
        <f t="shared" ref="O247" si="246">K247</f>
        <v>611000</v>
      </c>
      <c r="P247" s="657">
        <f t="shared" ref="P247" si="247">+J247+E247</f>
        <v>611000</v>
      </c>
      <c r="Q247" s="276"/>
      <c r="R247" s="317" t="b">
        <f>K247='d6'!J227+'d6'!J228</f>
        <v>1</v>
      </c>
    </row>
    <row r="248" spans="1:18" ht="136.5" thickTop="1" thickBot="1" x14ac:dyDescent="0.25">
      <c r="A248" s="680" t="s">
        <v>487</v>
      </c>
      <c r="B248" s="680"/>
      <c r="C248" s="680"/>
      <c r="D248" s="681" t="s">
        <v>489</v>
      </c>
      <c r="E248" s="682">
        <f>E249</f>
        <v>58096583</v>
      </c>
      <c r="F248" s="683">
        <f t="shared" ref="F248:G248" si="248">F249</f>
        <v>58096583</v>
      </c>
      <c r="G248" s="683">
        <f t="shared" si="248"/>
        <v>2452610</v>
      </c>
      <c r="H248" s="683">
        <f>H249</f>
        <v>65145</v>
      </c>
      <c r="I248" s="683">
        <f t="shared" ref="I248" si="249">I249</f>
        <v>0</v>
      </c>
      <c r="J248" s="682">
        <f>J249</f>
        <v>36000</v>
      </c>
      <c r="K248" s="683">
        <f>K249</f>
        <v>36000</v>
      </c>
      <c r="L248" s="683">
        <f>L249</f>
        <v>0</v>
      </c>
      <c r="M248" s="683">
        <f t="shared" ref="M248" si="250">M249</f>
        <v>0</v>
      </c>
      <c r="N248" s="682">
        <f>N249</f>
        <v>0</v>
      </c>
      <c r="O248" s="682">
        <f>O249</f>
        <v>36000</v>
      </c>
      <c r="P248" s="683">
        <f t="shared" ref="P248" si="251">P249</f>
        <v>58132583</v>
      </c>
    </row>
    <row r="249" spans="1:18" ht="181.5" thickTop="1" thickBot="1" x14ac:dyDescent="0.25">
      <c r="A249" s="684" t="s">
        <v>488</v>
      </c>
      <c r="B249" s="684"/>
      <c r="C249" s="684"/>
      <c r="D249" s="685" t="s">
        <v>490</v>
      </c>
      <c r="E249" s="686">
        <f>E250+E254</f>
        <v>58096583</v>
      </c>
      <c r="F249" s="686">
        <f t="shared" ref="F249:I249" si="252">F250+F254</f>
        <v>58096583</v>
      </c>
      <c r="G249" s="686">
        <f t="shared" si="252"/>
        <v>2452610</v>
      </c>
      <c r="H249" s="686">
        <f t="shared" si="252"/>
        <v>65145</v>
      </c>
      <c r="I249" s="686">
        <f t="shared" si="252"/>
        <v>0</v>
      </c>
      <c r="J249" s="686">
        <f>L249+O249</f>
        <v>36000</v>
      </c>
      <c r="K249" s="686">
        <f t="shared" ref="K249:O249" si="253">K250+K254</f>
        <v>36000</v>
      </c>
      <c r="L249" s="686">
        <f t="shared" si="253"/>
        <v>0</v>
      </c>
      <c r="M249" s="686">
        <f t="shared" si="253"/>
        <v>0</v>
      </c>
      <c r="N249" s="686">
        <f t="shared" si="253"/>
        <v>0</v>
      </c>
      <c r="O249" s="686">
        <f t="shared" si="253"/>
        <v>36000</v>
      </c>
      <c r="P249" s="687">
        <f>E249+J249</f>
        <v>58132583</v>
      </c>
      <c r="Q249" s="181" t="b">
        <f>P249=P251+P253+P257+P252</f>
        <v>1</v>
      </c>
      <c r="R249" s="317" t="b">
        <f>K249='d6'!J230</f>
        <v>1</v>
      </c>
    </row>
    <row r="250" spans="1:18" s="543" customFormat="1" ht="47.25" thickTop="1" thickBot="1" x14ac:dyDescent="0.25">
      <c r="A250" s="251" t="s">
        <v>1026</v>
      </c>
      <c r="B250" s="562" t="s">
        <v>880</v>
      </c>
      <c r="C250" s="562"/>
      <c r="D250" s="562" t="s">
        <v>881</v>
      </c>
      <c r="E250" s="547">
        <f>SUM(E251:E252)</f>
        <v>3591510</v>
      </c>
      <c r="F250" s="547">
        <f t="shared" ref="F250" si="254">SUM(F251:F252)</f>
        <v>3591510</v>
      </c>
      <c r="G250" s="547">
        <f t="shared" ref="G250" si="255">SUM(G251:G252)</f>
        <v>2452610</v>
      </c>
      <c r="H250" s="547">
        <f t="shared" ref="H250" si="256">SUM(H251:H252)</f>
        <v>65145</v>
      </c>
      <c r="I250" s="547">
        <f t="shared" ref="I250" si="257">SUM(I251:I252)</f>
        <v>0</v>
      </c>
      <c r="J250" s="547">
        <f t="shared" ref="J250" si="258">SUM(J251:J252)</f>
        <v>36000</v>
      </c>
      <c r="K250" s="547">
        <f t="shared" ref="K250" si="259">SUM(K251:K252)</f>
        <v>36000</v>
      </c>
      <c r="L250" s="547">
        <f t="shared" ref="L250" si="260">SUM(L251:L252)</f>
        <v>0</v>
      </c>
      <c r="M250" s="547">
        <f t="shared" ref="M250" si="261">SUM(M251:M252)</f>
        <v>0</v>
      </c>
      <c r="N250" s="547">
        <f t="shared" ref="N250" si="262">SUM(N251:N252)</f>
        <v>0</v>
      </c>
      <c r="O250" s="547">
        <f t="shared" ref="O250" si="263">SUM(O251:O252)</f>
        <v>36000</v>
      </c>
      <c r="P250" s="547">
        <f t="shared" ref="P250" si="264">SUM(P251:P252)</f>
        <v>3627510</v>
      </c>
      <c r="Q250" s="181"/>
      <c r="R250" s="317"/>
    </row>
    <row r="251" spans="1:18" ht="230.25" thickTop="1" thickBot="1" x14ac:dyDescent="0.25">
      <c r="A251" s="360" t="s">
        <v>491</v>
      </c>
      <c r="B251" s="360" t="s">
        <v>261</v>
      </c>
      <c r="C251" s="360" t="s">
        <v>259</v>
      </c>
      <c r="D251" s="360" t="s">
        <v>260</v>
      </c>
      <c r="E251" s="415">
        <f>F251</f>
        <v>3586430</v>
      </c>
      <c r="F251" s="416">
        <f>(3546620-5080)+240240+4650-200000</f>
        <v>3586430</v>
      </c>
      <c r="G251" s="416">
        <v>2452610</v>
      </c>
      <c r="H251" s="416">
        <f>(40290+1200+22400+1255)</f>
        <v>65145</v>
      </c>
      <c r="I251" s="416"/>
      <c r="J251" s="415">
        <f>L251+O251</f>
        <v>36000</v>
      </c>
      <c r="K251" s="416">
        <f>(18000)+18000</f>
        <v>36000</v>
      </c>
      <c r="L251" s="416"/>
      <c r="M251" s="416"/>
      <c r="N251" s="416"/>
      <c r="O251" s="417">
        <f>K251</f>
        <v>36000</v>
      </c>
      <c r="P251" s="415">
        <f>E251+J251</f>
        <v>3622430</v>
      </c>
      <c r="Q251" s="276"/>
      <c r="R251" s="317" t="b">
        <f>K251='d6'!J231</f>
        <v>1</v>
      </c>
    </row>
    <row r="252" spans="1:18" s="412" customFormat="1" ht="184.5" thickTop="1" thickBot="1" x14ac:dyDescent="0.25">
      <c r="A252" s="419" t="s">
        <v>827</v>
      </c>
      <c r="B252" s="419" t="s">
        <v>398</v>
      </c>
      <c r="C252" s="419" t="s">
        <v>815</v>
      </c>
      <c r="D252" s="419" t="s">
        <v>816</v>
      </c>
      <c r="E252" s="418">
        <f>F252</f>
        <v>5080</v>
      </c>
      <c r="F252" s="247">
        <v>5080</v>
      </c>
      <c r="G252" s="247"/>
      <c r="H252" s="247"/>
      <c r="I252" s="247"/>
      <c r="J252" s="415">
        <f t="shared" ref="J252" si="265">L252+O252</f>
        <v>0</v>
      </c>
      <c r="K252" s="247"/>
      <c r="L252" s="248"/>
      <c r="M252" s="248"/>
      <c r="N252" s="248"/>
      <c r="O252" s="417">
        <f t="shared" ref="O252" si="266">K252</f>
        <v>0</v>
      </c>
      <c r="P252" s="415">
        <f t="shared" ref="P252" si="267">+J252+E252</f>
        <v>5080</v>
      </c>
      <c r="Q252" s="276"/>
      <c r="R252" s="317"/>
    </row>
    <row r="253" spans="1:18" ht="93" hidden="1" thickTop="1" thickBot="1" x14ac:dyDescent="0.25">
      <c r="A253" s="264" t="s">
        <v>515</v>
      </c>
      <c r="B253" s="264" t="s">
        <v>450</v>
      </c>
      <c r="C253" s="264" t="s">
        <v>451</v>
      </c>
      <c r="D253" s="264" t="s">
        <v>452</v>
      </c>
      <c r="E253" s="391">
        <f>F253</f>
        <v>0</v>
      </c>
      <c r="F253" s="392">
        <f>(34016813)-19850000-9713396-4453417</f>
        <v>0</v>
      </c>
      <c r="G253" s="392"/>
      <c r="H253" s="392"/>
      <c r="I253" s="392"/>
      <c r="J253" s="391">
        <f>L253+O253</f>
        <v>0</v>
      </c>
      <c r="K253" s="392"/>
      <c r="L253" s="392"/>
      <c r="M253" s="392"/>
      <c r="N253" s="392"/>
      <c r="O253" s="393">
        <f>K253</f>
        <v>0</v>
      </c>
      <c r="P253" s="391">
        <f>E253+J253</f>
        <v>0</v>
      </c>
      <c r="Q253" s="276"/>
      <c r="R253" s="277"/>
    </row>
    <row r="254" spans="1:18" s="543" customFormat="1" ht="47.25" thickTop="1" thickBot="1" x14ac:dyDescent="0.25">
      <c r="A254" s="251" t="s">
        <v>1027</v>
      </c>
      <c r="B254" s="562" t="s">
        <v>948</v>
      </c>
      <c r="C254" s="546"/>
      <c r="D254" s="562" t="s">
        <v>995</v>
      </c>
      <c r="E254" s="545">
        <f>E255</f>
        <v>54505073</v>
      </c>
      <c r="F254" s="545">
        <f t="shared" ref="F254:P256" si="268">F255</f>
        <v>54505073</v>
      </c>
      <c r="G254" s="545">
        <f t="shared" si="268"/>
        <v>0</v>
      </c>
      <c r="H254" s="545">
        <f t="shared" si="268"/>
        <v>0</v>
      </c>
      <c r="I254" s="545">
        <f t="shared" si="268"/>
        <v>0</v>
      </c>
      <c r="J254" s="545">
        <f t="shared" si="268"/>
        <v>0</v>
      </c>
      <c r="K254" s="545">
        <f t="shared" si="268"/>
        <v>0</v>
      </c>
      <c r="L254" s="545">
        <f t="shared" si="268"/>
        <v>0</v>
      </c>
      <c r="M254" s="545">
        <f t="shared" si="268"/>
        <v>0</v>
      </c>
      <c r="N254" s="545">
        <f t="shared" si="268"/>
        <v>0</v>
      </c>
      <c r="O254" s="545">
        <f t="shared" si="268"/>
        <v>0</v>
      </c>
      <c r="P254" s="545">
        <f t="shared" si="268"/>
        <v>54505073</v>
      </c>
      <c r="Q254" s="276"/>
      <c r="R254" s="277"/>
    </row>
    <row r="255" spans="1:18" s="543" customFormat="1" ht="136.5" thickTop="1" thickBot="1" x14ac:dyDescent="0.25">
      <c r="A255" s="557" t="s">
        <v>1028</v>
      </c>
      <c r="B255" s="557" t="s">
        <v>1007</v>
      </c>
      <c r="C255" s="557"/>
      <c r="D255" s="557" t="s">
        <v>1008</v>
      </c>
      <c r="E255" s="555">
        <f>E256</f>
        <v>54505073</v>
      </c>
      <c r="F255" s="555">
        <f t="shared" si="268"/>
        <v>54505073</v>
      </c>
      <c r="G255" s="555">
        <f t="shared" si="268"/>
        <v>0</v>
      </c>
      <c r="H255" s="555">
        <f t="shared" si="268"/>
        <v>0</v>
      </c>
      <c r="I255" s="555">
        <f t="shared" si="268"/>
        <v>0</v>
      </c>
      <c r="J255" s="555">
        <f t="shared" si="268"/>
        <v>0</v>
      </c>
      <c r="K255" s="555">
        <f t="shared" si="268"/>
        <v>0</v>
      </c>
      <c r="L255" s="555">
        <f t="shared" si="268"/>
        <v>0</v>
      </c>
      <c r="M255" s="555">
        <f t="shared" si="268"/>
        <v>0</v>
      </c>
      <c r="N255" s="555">
        <f t="shared" si="268"/>
        <v>0</v>
      </c>
      <c r="O255" s="555">
        <f t="shared" si="268"/>
        <v>0</v>
      </c>
      <c r="P255" s="555">
        <f t="shared" si="268"/>
        <v>54505073</v>
      </c>
      <c r="Q255" s="276"/>
      <c r="R255" s="277"/>
    </row>
    <row r="256" spans="1:18" s="543" customFormat="1" ht="138.75" thickTop="1" thickBot="1" x14ac:dyDescent="0.25">
      <c r="A256" s="552" t="s">
        <v>1029</v>
      </c>
      <c r="B256" s="552" t="s">
        <v>1030</v>
      </c>
      <c r="C256" s="552"/>
      <c r="D256" s="552" t="s">
        <v>1031</v>
      </c>
      <c r="E256" s="553">
        <f>E257</f>
        <v>54505073</v>
      </c>
      <c r="F256" s="553">
        <f t="shared" si="268"/>
        <v>54505073</v>
      </c>
      <c r="G256" s="553">
        <f t="shared" si="268"/>
        <v>0</v>
      </c>
      <c r="H256" s="553">
        <f t="shared" si="268"/>
        <v>0</v>
      </c>
      <c r="I256" s="553">
        <f t="shared" si="268"/>
        <v>0</v>
      </c>
      <c r="J256" s="553">
        <f t="shared" si="268"/>
        <v>0</v>
      </c>
      <c r="K256" s="553">
        <f t="shared" si="268"/>
        <v>0</v>
      </c>
      <c r="L256" s="553">
        <f t="shared" si="268"/>
        <v>0</v>
      </c>
      <c r="M256" s="553">
        <f t="shared" si="268"/>
        <v>0</v>
      </c>
      <c r="N256" s="553">
        <f t="shared" si="268"/>
        <v>0</v>
      </c>
      <c r="O256" s="553">
        <f t="shared" si="268"/>
        <v>0</v>
      </c>
      <c r="P256" s="553">
        <f t="shared" si="268"/>
        <v>54505073</v>
      </c>
      <c r="Q256" s="276"/>
      <c r="R256" s="277"/>
    </row>
    <row r="257" spans="1:18" ht="93" thickTop="1" thickBot="1" x14ac:dyDescent="0.25">
      <c r="A257" s="360" t="s">
        <v>516</v>
      </c>
      <c r="B257" s="360" t="s">
        <v>316</v>
      </c>
      <c r="C257" s="360" t="s">
        <v>318</v>
      </c>
      <c r="D257" s="360" t="s">
        <v>317</v>
      </c>
      <c r="E257" s="415">
        <f>F257</f>
        <v>54505073</v>
      </c>
      <c r="F257" s="416">
        <v>54505073</v>
      </c>
      <c r="G257" s="416"/>
      <c r="H257" s="416"/>
      <c r="I257" s="416"/>
      <c r="J257" s="415">
        <f>L257+O257</f>
        <v>0</v>
      </c>
      <c r="K257" s="416"/>
      <c r="L257" s="416"/>
      <c r="M257" s="416"/>
      <c r="N257" s="416"/>
      <c r="O257" s="417">
        <f>K257</f>
        <v>0</v>
      </c>
      <c r="P257" s="415">
        <f>E257+J257</f>
        <v>54505073</v>
      </c>
      <c r="Q257" s="276"/>
      <c r="R257" s="277"/>
    </row>
    <row r="258" spans="1:18" ht="136.5" thickTop="1" thickBot="1" x14ac:dyDescent="0.25">
      <c r="A258" s="680" t="s">
        <v>187</v>
      </c>
      <c r="B258" s="680"/>
      <c r="C258" s="680"/>
      <c r="D258" s="681" t="s">
        <v>388</v>
      </c>
      <c r="E258" s="682">
        <f>E259</f>
        <v>8486267.4100000001</v>
      </c>
      <c r="F258" s="683">
        <f t="shared" ref="F258:G258" si="269">F259</f>
        <v>8486267.4100000001</v>
      </c>
      <c r="G258" s="683">
        <f t="shared" si="269"/>
        <v>0</v>
      </c>
      <c r="H258" s="683">
        <f>H259</f>
        <v>0</v>
      </c>
      <c r="I258" s="683">
        <f t="shared" ref="I258" si="270">I259</f>
        <v>0</v>
      </c>
      <c r="J258" s="682">
        <f>J259</f>
        <v>1400000</v>
      </c>
      <c r="K258" s="683">
        <f>K259</f>
        <v>1400000</v>
      </c>
      <c r="L258" s="683">
        <f>L259</f>
        <v>0</v>
      </c>
      <c r="M258" s="683">
        <f t="shared" ref="M258" si="271">M259</f>
        <v>0</v>
      </c>
      <c r="N258" s="682">
        <f>N259</f>
        <v>0</v>
      </c>
      <c r="O258" s="682">
        <f>O259</f>
        <v>1400000</v>
      </c>
      <c r="P258" s="683">
        <f t="shared" ref="P258" si="272">P259</f>
        <v>9886267.4100000001</v>
      </c>
    </row>
    <row r="259" spans="1:18" ht="136.5" thickTop="1" thickBot="1" x14ac:dyDescent="0.25">
      <c r="A259" s="684" t="s">
        <v>188</v>
      </c>
      <c r="B259" s="684"/>
      <c r="C259" s="684"/>
      <c r="D259" s="685" t="s">
        <v>389</v>
      </c>
      <c r="E259" s="686">
        <f>E260+E266</f>
        <v>8486267.4100000001</v>
      </c>
      <c r="F259" s="686">
        <f>F260+F266</f>
        <v>8486267.4100000001</v>
      </c>
      <c r="G259" s="686">
        <f t="shared" ref="G259:K259" si="273">G260+G266</f>
        <v>0</v>
      </c>
      <c r="H259" s="686">
        <f t="shared" si="273"/>
        <v>0</v>
      </c>
      <c r="I259" s="686">
        <f t="shared" si="273"/>
        <v>0</v>
      </c>
      <c r="J259" s="686">
        <f t="shared" ref="J259:J265" si="274">L259+O259</f>
        <v>1400000</v>
      </c>
      <c r="K259" s="686">
        <f t="shared" si="273"/>
        <v>1400000</v>
      </c>
      <c r="L259" s="686">
        <f t="shared" ref="L259" si="275">L260+L266</f>
        <v>0</v>
      </c>
      <c r="M259" s="686">
        <f t="shared" ref="M259" si="276">M260+M266</f>
        <v>0</v>
      </c>
      <c r="N259" s="686">
        <f t="shared" ref="N259" si="277">N260+N266</f>
        <v>0</v>
      </c>
      <c r="O259" s="686">
        <f t="shared" ref="O259" si="278">O260+O266</f>
        <v>1400000</v>
      </c>
      <c r="P259" s="687">
        <f t="shared" ref="P259:P265" si="279">E259+J259</f>
        <v>9886267.4100000001</v>
      </c>
      <c r="Q259" s="181" t="b">
        <f>P259=P262+P263+P265+P268</f>
        <v>1</v>
      </c>
      <c r="R259" s="317" t="b">
        <f>K259='d6'!J233</f>
        <v>1</v>
      </c>
    </row>
    <row r="260" spans="1:18" s="543" customFormat="1" ht="47.25" thickTop="1" thickBot="1" x14ac:dyDescent="0.25">
      <c r="A260" s="562" t="s">
        <v>1032</v>
      </c>
      <c r="B260" s="562" t="s">
        <v>948</v>
      </c>
      <c r="C260" s="546"/>
      <c r="D260" s="562" t="s">
        <v>995</v>
      </c>
      <c r="E260" s="577">
        <f>E261</f>
        <v>7786267.4100000001</v>
      </c>
      <c r="F260" s="577">
        <f t="shared" ref="F260:P260" si="280">F261</f>
        <v>7786267.4100000001</v>
      </c>
      <c r="G260" s="577">
        <f t="shared" si="280"/>
        <v>0</v>
      </c>
      <c r="H260" s="577">
        <f t="shared" si="280"/>
        <v>0</v>
      </c>
      <c r="I260" s="577">
        <f t="shared" si="280"/>
        <v>0</v>
      </c>
      <c r="J260" s="577">
        <f t="shared" si="280"/>
        <v>400000</v>
      </c>
      <c r="K260" s="577">
        <f t="shared" si="280"/>
        <v>400000</v>
      </c>
      <c r="L260" s="577">
        <f t="shared" si="280"/>
        <v>0</v>
      </c>
      <c r="M260" s="577">
        <f t="shared" si="280"/>
        <v>0</v>
      </c>
      <c r="N260" s="577">
        <f t="shared" si="280"/>
        <v>0</v>
      </c>
      <c r="O260" s="577">
        <f t="shared" si="280"/>
        <v>400000</v>
      </c>
      <c r="P260" s="577">
        <f t="shared" si="280"/>
        <v>8186267.4100000001</v>
      </c>
      <c r="Q260" s="181"/>
      <c r="R260" s="317"/>
    </row>
    <row r="261" spans="1:18" s="543" customFormat="1" ht="136.5" thickTop="1" thickBot="1" x14ac:dyDescent="0.25">
      <c r="A261" s="506" t="s">
        <v>1033</v>
      </c>
      <c r="B261" s="506" t="s">
        <v>887</v>
      </c>
      <c r="C261" s="506"/>
      <c r="D261" s="506" t="s">
        <v>885</v>
      </c>
      <c r="E261" s="578">
        <f>SUM(E262:E265)-E264</f>
        <v>7786267.4100000001</v>
      </c>
      <c r="F261" s="578">
        <f t="shared" ref="F261:P261" si="281">SUM(F262:F265)-F264</f>
        <v>7786267.4100000001</v>
      </c>
      <c r="G261" s="578">
        <f t="shared" si="281"/>
        <v>0</v>
      </c>
      <c r="H261" s="578">
        <f t="shared" si="281"/>
        <v>0</v>
      </c>
      <c r="I261" s="578">
        <f t="shared" si="281"/>
        <v>0</v>
      </c>
      <c r="J261" s="578">
        <f t="shared" si="281"/>
        <v>400000</v>
      </c>
      <c r="K261" s="578">
        <f t="shared" si="281"/>
        <v>400000</v>
      </c>
      <c r="L261" s="578">
        <f t="shared" si="281"/>
        <v>0</v>
      </c>
      <c r="M261" s="578">
        <f t="shared" si="281"/>
        <v>0</v>
      </c>
      <c r="N261" s="578">
        <f t="shared" si="281"/>
        <v>0</v>
      </c>
      <c r="O261" s="578">
        <f t="shared" si="281"/>
        <v>400000</v>
      </c>
      <c r="P261" s="578">
        <f t="shared" si="281"/>
        <v>8186267.4100000001</v>
      </c>
      <c r="Q261" s="181"/>
      <c r="R261" s="317"/>
    </row>
    <row r="262" spans="1:18" ht="93" thickTop="1" thickBot="1" x14ac:dyDescent="0.25">
      <c r="A262" s="432" t="s">
        <v>285</v>
      </c>
      <c r="B262" s="432" t="s">
        <v>286</v>
      </c>
      <c r="C262" s="432" t="s">
        <v>284</v>
      </c>
      <c r="D262" s="432" t="s">
        <v>283</v>
      </c>
      <c r="E262" s="433">
        <f t="shared" ref="E262:E265" si="282">F262</f>
        <v>4792230</v>
      </c>
      <c r="F262" s="405">
        <f>(5588200)-795970</f>
        <v>4792230</v>
      </c>
      <c r="G262" s="405"/>
      <c r="H262" s="405"/>
      <c r="I262" s="405"/>
      <c r="J262" s="433">
        <f t="shared" si="274"/>
        <v>0</v>
      </c>
      <c r="K262" s="405"/>
      <c r="L262" s="405"/>
      <c r="M262" s="405"/>
      <c r="N262" s="405"/>
      <c r="O262" s="431">
        <f>K262</f>
        <v>0</v>
      </c>
      <c r="P262" s="433">
        <f t="shared" si="279"/>
        <v>4792230</v>
      </c>
      <c r="R262" s="317"/>
    </row>
    <row r="263" spans="1:18" ht="138.75" thickTop="1" thickBot="1" x14ac:dyDescent="0.25">
      <c r="A263" s="432" t="s">
        <v>277</v>
      </c>
      <c r="B263" s="432" t="s">
        <v>279</v>
      </c>
      <c r="C263" s="432" t="s">
        <v>238</v>
      </c>
      <c r="D263" s="432" t="s">
        <v>278</v>
      </c>
      <c r="E263" s="433">
        <f t="shared" si="282"/>
        <v>745000</v>
      </c>
      <c r="F263" s="405">
        <v>745000</v>
      </c>
      <c r="G263" s="405"/>
      <c r="H263" s="405"/>
      <c r="I263" s="405"/>
      <c r="J263" s="433">
        <f t="shared" si="274"/>
        <v>0</v>
      </c>
      <c r="K263" s="405"/>
      <c r="L263" s="405"/>
      <c r="M263" s="405"/>
      <c r="N263" s="405"/>
      <c r="O263" s="431">
        <f>K263</f>
        <v>0</v>
      </c>
      <c r="P263" s="433">
        <f t="shared" si="279"/>
        <v>745000</v>
      </c>
      <c r="R263" s="317"/>
    </row>
    <row r="264" spans="1:18" s="543" customFormat="1" ht="48" thickTop="1" thickBot="1" x14ac:dyDescent="0.25">
      <c r="A264" s="464" t="s">
        <v>1034</v>
      </c>
      <c r="B264" s="464" t="s">
        <v>890</v>
      </c>
      <c r="C264" s="464"/>
      <c r="D264" s="464" t="s">
        <v>888</v>
      </c>
      <c r="E264" s="466">
        <f>E265</f>
        <v>2249037.41</v>
      </c>
      <c r="F264" s="466">
        <f t="shared" ref="F264:P264" si="283">F265</f>
        <v>2249037.41</v>
      </c>
      <c r="G264" s="466">
        <f t="shared" si="283"/>
        <v>0</v>
      </c>
      <c r="H264" s="466">
        <f t="shared" si="283"/>
        <v>0</v>
      </c>
      <c r="I264" s="466">
        <f t="shared" si="283"/>
        <v>0</v>
      </c>
      <c r="J264" s="466">
        <f t="shared" si="283"/>
        <v>400000</v>
      </c>
      <c r="K264" s="466">
        <f t="shared" si="283"/>
        <v>400000</v>
      </c>
      <c r="L264" s="466">
        <f t="shared" si="283"/>
        <v>0</v>
      </c>
      <c r="M264" s="466">
        <f t="shared" si="283"/>
        <v>0</v>
      </c>
      <c r="N264" s="466">
        <f t="shared" si="283"/>
        <v>0</v>
      </c>
      <c r="O264" s="466">
        <f t="shared" si="283"/>
        <v>400000</v>
      </c>
      <c r="P264" s="466">
        <f t="shared" si="283"/>
        <v>2649037.41</v>
      </c>
      <c r="Q264" s="549"/>
      <c r="R264" s="317"/>
    </row>
    <row r="265" spans="1:18" ht="93" thickTop="1" thickBot="1" x14ac:dyDescent="0.25">
      <c r="A265" s="432" t="s">
        <v>281</v>
      </c>
      <c r="B265" s="432" t="s">
        <v>282</v>
      </c>
      <c r="C265" s="432" t="s">
        <v>191</v>
      </c>
      <c r="D265" s="432" t="s">
        <v>280</v>
      </c>
      <c r="E265" s="433">
        <f t="shared" si="282"/>
        <v>2249037.41</v>
      </c>
      <c r="F265" s="405">
        <f>(800000+2049580)-1600542.59+300000+700000</f>
        <v>2249037.41</v>
      </c>
      <c r="G265" s="405"/>
      <c r="H265" s="405"/>
      <c r="I265" s="405"/>
      <c r="J265" s="433">
        <f t="shared" si="274"/>
        <v>400000</v>
      </c>
      <c r="K265" s="405">
        <f>(400000)</f>
        <v>400000</v>
      </c>
      <c r="L265" s="405"/>
      <c r="M265" s="405"/>
      <c r="N265" s="405"/>
      <c r="O265" s="431">
        <f>K265</f>
        <v>400000</v>
      </c>
      <c r="P265" s="433">
        <f t="shared" si="279"/>
        <v>2649037.41</v>
      </c>
      <c r="R265" s="317" t="b">
        <f>K265='d6'!J234</f>
        <v>1</v>
      </c>
    </row>
    <row r="266" spans="1:18" s="635" customFormat="1" ht="47.25" thickTop="1" thickBot="1" x14ac:dyDescent="0.25">
      <c r="A266" s="562" t="s">
        <v>1149</v>
      </c>
      <c r="B266" s="562" t="s">
        <v>898</v>
      </c>
      <c r="C266" s="562"/>
      <c r="D266" s="562" t="s">
        <v>899</v>
      </c>
      <c r="E266" s="636">
        <f>E267</f>
        <v>700000</v>
      </c>
      <c r="F266" s="636">
        <f t="shared" ref="F266:P267" si="284">F267</f>
        <v>700000</v>
      </c>
      <c r="G266" s="636">
        <f t="shared" si="284"/>
        <v>0</v>
      </c>
      <c r="H266" s="636">
        <f t="shared" si="284"/>
        <v>0</v>
      </c>
      <c r="I266" s="636">
        <f t="shared" si="284"/>
        <v>0</v>
      </c>
      <c r="J266" s="636">
        <f t="shared" si="284"/>
        <v>1000000</v>
      </c>
      <c r="K266" s="636">
        <f t="shared" si="284"/>
        <v>1000000</v>
      </c>
      <c r="L266" s="636">
        <f t="shared" si="284"/>
        <v>0</v>
      </c>
      <c r="M266" s="636">
        <f t="shared" si="284"/>
        <v>0</v>
      </c>
      <c r="N266" s="636">
        <f t="shared" si="284"/>
        <v>0</v>
      </c>
      <c r="O266" s="636">
        <f t="shared" si="284"/>
        <v>1000000</v>
      </c>
      <c r="P266" s="636">
        <f t="shared" si="284"/>
        <v>1700000</v>
      </c>
      <c r="Q266" s="641"/>
      <c r="R266" s="317"/>
    </row>
    <row r="267" spans="1:18" s="635" customFormat="1" ht="271.5" thickTop="1" thickBot="1" x14ac:dyDescent="0.25">
      <c r="A267" s="506" t="s">
        <v>1150</v>
      </c>
      <c r="B267" s="506" t="s">
        <v>901</v>
      </c>
      <c r="C267" s="506"/>
      <c r="D267" s="506" t="s">
        <v>902</v>
      </c>
      <c r="E267" s="465">
        <f>E268</f>
        <v>700000</v>
      </c>
      <c r="F267" s="465">
        <f t="shared" si="284"/>
        <v>700000</v>
      </c>
      <c r="G267" s="465">
        <f t="shared" si="284"/>
        <v>0</v>
      </c>
      <c r="H267" s="465">
        <f t="shared" si="284"/>
        <v>0</v>
      </c>
      <c r="I267" s="465">
        <f t="shared" si="284"/>
        <v>0</v>
      </c>
      <c r="J267" s="465">
        <f t="shared" si="284"/>
        <v>1000000</v>
      </c>
      <c r="K267" s="465">
        <f t="shared" si="284"/>
        <v>1000000</v>
      </c>
      <c r="L267" s="465">
        <f t="shared" si="284"/>
        <v>0</v>
      </c>
      <c r="M267" s="465">
        <f t="shared" si="284"/>
        <v>0</v>
      </c>
      <c r="N267" s="465">
        <f t="shared" si="284"/>
        <v>0</v>
      </c>
      <c r="O267" s="465">
        <f t="shared" si="284"/>
        <v>1000000</v>
      </c>
      <c r="P267" s="465">
        <f t="shared" si="284"/>
        <v>1700000</v>
      </c>
      <c r="Q267" s="641"/>
      <c r="R267" s="317"/>
    </row>
    <row r="268" spans="1:18" s="635" customFormat="1" ht="93" thickTop="1" thickBot="1" x14ac:dyDescent="0.25">
      <c r="A268" s="638" t="s">
        <v>1151</v>
      </c>
      <c r="B268" s="638" t="s">
        <v>399</v>
      </c>
      <c r="C268" s="638" t="s">
        <v>45</v>
      </c>
      <c r="D268" s="638" t="s">
        <v>400</v>
      </c>
      <c r="E268" s="636">
        <f t="shared" ref="E268" si="285">F268</f>
        <v>700000</v>
      </c>
      <c r="F268" s="405">
        <v>700000</v>
      </c>
      <c r="G268" s="405"/>
      <c r="H268" s="405"/>
      <c r="I268" s="405"/>
      <c r="J268" s="636">
        <f>L268+O268</f>
        <v>1000000</v>
      </c>
      <c r="K268" s="405">
        <v>1000000</v>
      </c>
      <c r="L268" s="405"/>
      <c r="M268" s="405"/>
      <c r="N268" s="405"/>
      <c r="O268" s="637">
        <f>K268</f>
        <v>1000000</v>
      </c>
      <c r="P268" s="636">
        <f>E268+J268</f>
        <v>1700000</v>
      </c>
      <c r="Q268" s="641"/>
      <c r="R268" s="317"/>
    </row>
    <row r="269" spans="1:18" ht="226.5" thickTop="1" thickBot="1" x14ac:dyDescent="0.25">
      <c r="A269" s="680" t="s">
        <v>185</v>
      </c>
      <c r="B269" s="680"/>
      <c r="C269" s="680"/>
      <c r="D269" s="681" t="s">
        <v>1104</v>
      </c>
      <c r="E269" s="682">
        <f>E270</f>
        <v>5984385</v>
      </c>
      <c r="F269" s="683">
        <f t="shared" ref="F269:G269" si="286">F270</f>
        <v>5984385</v>
      </c>
      <c r="G269" s="683">
        <f t="shared" si="286"/>
        <v>4608055</v>
      </c>
      <c r="H269" s="683">
        <f>H270</f>
        <v>103700</v>
      </c>
      <c r="I269" s="683">
        <f t="shared" ref="I269" si="287">I270</f>
        <v>0</v>
      </c>
      <c r="J269" s="682">
        <f>J270</f>
        <v>1549138.96</v>
      </c>
      <c r="K269" s="683">
        <f>K270</f>
        <v>64000</v>
      </c>
      <c r="L269" s="683">
        <f>L270</f>
        <v>1485138.96</v>
      </c>
      <c r="M269" s="683">
        <f t="shared" ref="M269" si="288">M270</f>
        <v>0</v>
      </c>
      <c r="N269" s="682">
        <f>N270</f>
        <v>0</v>
      </c>
      <c r="O269" s="682">
        <f>O270</f>
        <v>64000</v>
      </c>
      <c r="P269" s="683">
        <f t="shared" ref="P269" si="289">P270</f>
        <v>7533523.96</v>
      </c>
    </row>
    <row r="270" spans="1:18" ht="181.5" thickTop="1" thickBot="1" x14ac:dyDescent="0.25">
      <c r="A270" s="684" t="s">
        <v>186</v>
      </c>
      <c r="B270" s="684"/>
      <c r="C270" s="684"/>
      <c r="D270" s="685" t="s">
        <v>1103</v>
      </c>
      <c r="E270" s="686">
        <f>E271+E274</f>
        <v>5984385</v>
      </c>
      <c r="F270" s="686">
        <f t="shared" ref="F270:I270" si="290">F271+F274</f>
        <v>5984385</v>
      </c>
      <c r="G270" s="686">
        <f t="shared" si="290"/>
        <v>4608055</v>
      </c>
      <c r="H270" s="686">
        <f t="shared" si="290"/>
        <v>103700</v>
      </c>
      <c r="I270" s="686">
        <f t="shared" si="290"/>
        <v>0</v>
      </c>
      <c r="J270" s="686">
        <f>L270+O270</f>
        <v>1549138.96</v>
      </c>
      <c r="K270" s="686">
        <f t="shared" ref="K270:O270" si="291">K271+K274</f>
        <v>64000</v>
      </c>
      <c r="L270" s="686">
        <f t="shared" si="291"/>
        <v>1485138.96</v>
      </c>
      <c r="M270" s="686">
        <f t="shared" si="291"/>
        <v>0</v>
      </c>
      <c r="N270" s="686">
        <f t="shared" si="291"/>
        <v>0</v>
      </c>
      <c r="O270" s="686">
        <f t="shared" si="291"/>
        <v>64000</v>
      </c>
      <c r="P270" s="687">
        <f t="shared" ref="P270:P280" si="292">E270+J270</f>
        <v>7533523.96</v>
      </c>
      <c r="Q270" s="181" t="b">
        <f>P270=P277+P280+P272+P278+P279+P273</f>
        <v>1</v>
      </c>
      <c r="R270" s="317" t="b">
        <f>K270='d6'!J236</f>
        <v>1</v>
      </c>
    </row>
    <row r="271" spans="1:18" s="543" customFormat="1" ht="47.25" thickTop="1" thickBot="1" x14ac:dyDescent="0.25">
      <c r="A271" s="251" t="s">
        <v>1035</v>
      </c>
      <c r="B271" s="562" t="s">
        <v>880</v>
      </c>
      <c r="C271" s="562"/>
      <c r="D271" s="562" t="s">
        <v>881</v>
      </c>
      <c r="E271" s="547">
        <f>SUM(E272:E273)</f>
        <v>5984385</v>
      </c>
      <c r="F271" s="547">
        <f t="shared" ref="F271" si="293">SUM(F272:F273)</f>
        <v>5984385</v>
      </c>
      <c r="G271" s="547">
        <f t="shared" ref="G271" si="294">SUM(G272:G273)</f>
        <v>4608055</v>
      </c>
      <c r="H271" s="547">
        <f t="shared" ref="H271" si="295">SUM(H272:H273)</f>
        <v>103700</v>
      </c>
      <c r="I271" s="547">
        <f t="shared" ref="I271" si="296">SUM(I272:I273)</f>
        <v>0</v>
      </c>
      <c r="J271" s="547">
        <f t="shared" ref="J271" si="297">SUM(J272:J273)</f>
        <v>64000</v>
      </c>
      <c r="K271" s="547">
        <f t="shared" ref="K271" si="298">SUM(K272:K273)</f>
        <v>64000</v>
      </c>
      <c r="L271" s="547">
        <f t="shared" ref="L271" si="299">SUM(L272:L273)</f>
        <v>0</v>
      </c>
      <c r="M271" s="547">
        <f t="shared" ref="M271" si="300">SUM(M272:M273)</f>
        <v>0</v>
      </c>
      <c r="N271" s="547">
        <f t="shared" ref="N271" si="301">SUM(N272:N273)</f>
        <v>0</v>
      </c>
      <c r="O271" s="547">
        <f>SUM(O272:O273)</f>
        <v>64000</v>
      </c>
      <c r="P271" s="547">
        <f t="shared" ref="P271" si="302">SUM(P272:P273)</f>
        <v>6048385</v>
      </c>
      <c r="Q271" s="181"/>
      <c r="R271" s="317"/>
    </row>
    <row r="272" spans="1:18" s="154" customFormat="1" ht="230.25" thickTop="1" thickBot="1" x14ac:dyDescent="0.25">
      <c r="A272" s="360" t="s">
        <v>460</v>
      </c>
      <c r="B272" s="360" t="s">
        <v>261</v>
      </c>
      <c r="C272" s="360" t="s">
        <v>259</v>
      </c>
      <c r="D272" s="360" t="s">
        <v>260</v>
      </c>
      <c r="E272" s="415">
        <f>F272</f>
        <v>5979385</v>
      </c>
      <c r="F272" s="416">
        <f>(5984385-5000)</f>
        <v>5979385</v>
      </c>
      <c r="G272" s="416">
        <v>4608055</v>
      </c>
      <c r="H272" s="416">
        <f>(70880+8160+21000+3660)</f>
        <v>103700</v>
      </c>
      <c r="I272" s="416"/>
      <c r="J272" s="415">
        <f t="shared" ref="J272:J280" si="303">L272+O272</f>
        <v>64000</v>
      </c>
      <c r="K272" s="416">
        <f>(18000)+46000</f>
        <v>64000</v>
      </c>
      <c r="L272" s="416"/>
      <c r="M272" s="416"/>
      <c r="N272" s="416"/>
      <c r="O272" s="417">
        <f>K272</f>
        <v>64000</v>
      </c>
      <c r="P272" s="415">
        <f t="shared" si="292"/>
        <v>6043385</v>
      </c>
      <c r="Q272" s="337"/>
      <c r="R272" s="317" t="b">
        <f>K272='d6'!J237</f>
        <v>1</v>
      </c>
    </row>
    <row r="273" spans="1:18" s="154" customFormat="1" ht="184.5" thickTop="1" thickBot="1" x14ac:dyDescent="0.25">
      <c r="A273" s="419" t="s">
        <v>828</v>
      </c>
      <c r="B273" s="419" t="s">
        <v>398</v>
      </c>
      <c r="C273" s="419" t="s">
        <v>815</v>
      </c>
      <c r="D273" s="419" t="s">
        <v>816</v>
      </c>
      <c r="E273" s="418">
        <f>F273</f>
        <v>5000</v>
      </c>
      <c r="F273" s="247">
        <v>5000</v>
      </c>
      <c r="G273" s="247"/>
      <c r="H273" s="247"/>
      <c r="I273" s="247"/>
      <c r="J273" s="415">
        <f t="shared" si="303"/>
        <v>0</v>
      </c>
      <c r="K273" s="247"/>
      <c r="L273" s="248"/>
      <c r="M273" s="248"/>
      <c r="N273" s="248"/>
      <c r="O273" s="417">
        <f t="shared" ref="O273" si="304">K273</f>
        <v>0</v>
      </c>
      <c r="P273" s="415">
        <f t="shared" ref="P273" si="305">+J273+E273</f>
        <v>5000</v>
      </c>
      <c r="Q273" s="337"/>
      <c r="R273" s="317"/>
    </row>
    <row r="274" spans="1:18" s="154" customFormat="1" ht="47.25" thickTop="1" thickBot="1" x14ac:dyDescent="0.25">
      <c r="A274" s="251" t="s">
        <v>1036</v>
      </c>
      <c r="B274" s="562" t="s">
        <v>892</v>
      </c>
      <c r="C274" s="562"/>
      <c r="D274" s="562" t="s">
        <v>893</v>
      </c>
      <c r="E274" s="418">
        <f>E275</f>
        <v>0</v>
      </c>
      <c r="F274" s="418">
        <f t="shared" ref="F274:P274" si="306">F275</f>
        <v>0</v>
      </c>
      <c r="G274" s="418">
        <f t="shared" si="306"/>
        <v>0</v>
      </c>
      <c r="H274" s="418">
        <f t="shared" si="306"/>
        <v>0</v>
      </c>
      <c r="I274" s="418">
        <f t="shared" si="306"/>
        <v>0</v>
      </c>
      <c r="J274" s="418">
        <f t="shared" si="306"/>
        <v>1485138.96</v>
      </c>
      <c r="K274" s="418">
        <f t="shared" si="306"/>
        <v>0</v>
      </c>
      <c r="L274" s="418">
        <f t="shared" si="306"/>
        <v>1485138.96</v>
      </c>
      <c r="M274" s="418">
        <f t="shared" si="306"/>
        <v>0</v>
      </c>
      <c r="N274" s="418">
        <f t="shared" si="306"/>
        <v>0</v>
      </c>
      <c r="O274" s="418">
        <f t="shared" si="306"/>
        <v>0</v>
      </c>
      <c r="P274" s="418">
        <f t="shared" si="306"/>
        <v>1485138.96</v>
      </c>
      <c r="Q274" s="337"/>
      <c r="R274" s="317"/>
    </row>
    <row r="275" spans="1:18" s="154" customFormat="1" ht="91.5" thickTop="1" thickBot="1" x14ac:dyDescent="0.25">
      <c r="A275" s="557" t="s">
        <v>1037</v>
      </c>
      <c r="B275" s="506" t="s">
        <v>1038</v>
      </c>
      <c r="C275" s="506"/>
      <c r="D275" s="506" t="s">
        <v>1039</v>
      </c>
      <c r="E275" s="570">
        <f>SUM(E276:E280)-E276</f>
        <v>0</v>
      </c>
      <c r="F275" s="570">
        <f t="shared" ref="F275:P275" si="307">SUM(F276:F280)-F276</f>
        <v>0</v>
      </c>
      <c r="G275" s="570">
        <f t="shared" si="307"/>
        <v>0</v>
      </c>
      <c r="H275" s="570">
        <f t="shared" si="307"/>
        <v>0</v>
      </c>
      <c r="I275" s="570">
        <f t="shared" si="307"/>
        <v>0</v>
      </c>
      <c r="J275" s="570">
        <f t="shared" si="307"/>
        <v>1485138.96</v>
      </c>
      <c r="K275" s="570">
        <f t="shared" si="307"/>
        <v>0</v>
      </c>
      <c r="L275" s="570">
        <f t="shared" si="307"/>
        <v>1485138.96</v>
      </c>
      <c r="M275" s="570">
        <f t="shared" si="307"/>
        <v>0</v>
      </c>
      <c r="N275" s="570">
        <f t="shared" si="307"/>
        <v>0</v>
      </c>
      <c r="O275" s="570">
        <f t="shared" si="307"/>
        <v>0</v>
      </c>
      <c r="P275" s="570">
        <f t="shared" si="307"/>
        <v>1485138.96</v>
      </c>
      <c r="Q275" s="337"/>
      <c r="R275" s="317"/>
    </row>
    <row r="276" spans="1:18" s="154" customFormat="1" ht="138.75" thickTop="1" thickBot="1" x14ac:dyDescent="0.25">
      <c r="A276" s="464" t="s">
        <v>1040</v>
      </c>
      <c r="B276" s="464" t="s">
        <v>1041</v>
      </c>
      <c r="C276" s="464"/>
      <c r="D276" s="464" t="s">
        <v>1042</v>
      </c>
      <c r="E276" s="571">
        <f>SUM(E277:E278)</f>
        <v>0</v>
      </c>
      <c r="F276" s="571">
        <f t="shared" ref="F276:P276" si="308">SUM(F277:F278)</f>
        <v>0</v>
      </c>
      <c r="G276" s="571">
        <f t="shared" si="308"/>
        <v>0</v>
      </c>
      <c r="H276" s="571">
        <f t="shared" si="308"/>
        <v>0</v>
      </c>
      <c r="I276" s="571">
        <f t="shared" si="308"/>
        <v>0</v>
      </c>
      <c r="J276" s="571">
        <f t="shared" si="308"/>
        <v>765138.96</v>
      </c>
      <c r="K276" s="571">
        <f t="shared" si="308"/>
        <v>0</v>
      </c>
      <c r="L276" s="571">
        <f t="shared" si="308"/>
        <v>765138.96</v>
      </c>
      <c r="M276" s="571">
        <f t="shared" si="308"/>
        <v>0</v>
      </c>
      <c r="N276" s="571">
        <f t="shared" si="308"/>
        <v>0</v>
      </c>
      <c r="O276" s="571">
        <f t="shared" si="308"/>
        <v>0</v>
      </c>
      <c r="P276" s="571">
        <f t="shared" si="308"/>
        <v>765138.96</v>
      </c>
      <c r="Q276" s="337"/>
      <c r="R276" s="317"/>
    </row>
    <row r="277" spans="1:18" s="154" customFormat="1" ht="138.75" thickTop="1" thickBot="1" x14ac:dyDescent="0.25">
      <c r="A277" s="464" t="s">
        <v>335</v>
      </c>
      <c r="B277" s="464" t="s">
        <v>336</v>
      </c>
      <c r="C277" s="464" t="s">
        <v>54</v>
      </c>
      <c r="D277" s="464" t="s">
        <v>55</v>
      </c>
      <c r="E277" s="626">
        <f t="shared" ref="E277:E279" si="309">F277</f>
        <v>0</v>
      </c>
      <c r="F277" s="405"/>
      <c r="G277" s="405"/>
      <c r="H277" s="405"/>
      <c r="I277" s="405"/>
      <c r="J277" s="626">
        <f t="shared" si="303"/>
        <v>403900</v>
      </c>
      <c r="K277" s="405"/>
      <c r="L277" s="405">
        <f>(248900)+155000</f>
        <v>403900</v>
      </c>
      <c r="M277" s="405"/>
      <c r="N277" s="405"/>
      <c r="O277" s="627">
        <f t="shared" ref="O277:O278" si="310">K277</f>
        <v>0</v>
      </c>
      <c r="P277" s="626">
        <f t="shared" si="292"/>
        <v>403900</v>
      </c>
      <c r="Q277" s="181" t="b">
        <f>J277='d9'!F13+'d9'!F14+'d9'!F15+'d9'!F16</f>
        <v>1</v>
      </c>
      <c r="R277" s="280"/>
    </row>
    <row r="278" spans="1:18" s="154" customFormat="1" ht="48" thickTop="1" thickBot="1" x14ac:dyDescent="0.25">
      <c r="A278" s="628" t="s">
        <v>519</v>
      </c>
      <c r="B278" s="628" t="s">
        <v>520</v>
      </c>
      <c r="C278" s="628" t="s">
        <v>518</v>
      </c>
      <c r="D278" s="628" t="s">
        <v>521</v>
      </c>
      <c r="E278" s="626">
        <f t="shared" si="309"/>
        <v>0</v>
      </c>
      <c r="F278" s="405"/>
      <c r="G278" s="405"/>
      <c r="H278" s="405"/>
      <c r="I278" s="405"/>
      <c r="J278" s="626">
        <f t="shared" si="303"/>
        <v>361238.96</v>
      </c>
      <c r="K278" s="405"/>
      <c r="L278" s="405">
        <f>(70000)+291238.96</f>
        <v>361238.96</v>
      </c>
      <c r="M278" s="405"/>
      <c r="N278" s="405"/>
      <c r="O278" s="627">
        <f t="shared" si="310"/>
        <v>0</v>
      </c>
      <c r="P278" s="626">
        <f t="shared" si="292"/>
        <v>361238.96</v>
      </c>
      <c r="Q278" s="181" t="b">
        <f>J278='d9'!F17+'d9'!F18</f>
        <v>1</v>
      </c>
      <c r="R278" s="280"/>
    </row>
    <row r="279" spans="1:18" s="154" customFormat="1" ht="93" thickTop="1" thickBot="1" x14ac:dyDescent="0.25">
      <c r="A279" s="628" t="s">
        <v>581</v>
      </c>
      <c r="B279" s="628" t="s">
        <v>579</v>
      </c>
      <c r="C279" s="628" t="s">
        <v>582</v>
      </c>
      <c r="D279" s="628" t="s">
        <v>580</v>
      </c>
      <c r="E279" s="626">
        <f t="shared" si="309"/>
        <v>0</v>
      </c>
      <c r="F279" s="405"/>
      <c r="G279" s="405"/>
      <c r="H279" s="405"/>
      <c r="I279" s="405"/>
      <c r="J279" s="626">
        <f t="shared" si="303"/>
        <v>175000</v>
      </c>
      <c r="K279" s="405"/>
      <c r="L279" s="405">
        <f>(125000)+50000</f>
        <v>175000</v>
      </c>
      <c r="M279" s="405"/>
      <c r="N279" s="405"/>
      <c r="O279" s="627">
        <f>K279</f>
        <v>0</v>
      </c>
      <c r="P279" s="626">
        <f t="shared" si="292"/>
        <v>175000</v>
      </c>
      <c r="Q279" s="181" t="b">
        <f>J279='d9'!F19+'d9'!F20+'d9'!F21</f>
        <v>1</v>
      </c>
      <c r="R279" s="280"/>
    </row>
    <row r="280" spans="1:18" s="154" customFormat="1" ht="93" thickTop="1" thickBot="1" x14ac:dyDescent="0.25">
      <c r="A280" s="628" t="s">
        <v>337</v>
      </c>
      <c r="B280" s="628" t="s">
        <v>338</v>
      </c>
      <c r="C280" s="628" t="s">
        <v>56</v>
      </c>
      <c r="D280" s="628" t="s">
        <v>522</v>
      </c>
      <c r="E280" s="626">
        <v>0</v>
      </c>
      <c r="F280" s="405"/>
      <c r="G280" s="405"/>
      <c r="H280" s="405"/>
      <c r="I280" s="405"/>
      <c r="J280" s="626">
        <f t="shared" si="303"/>
        <v>545000</v>
      </c>
      <c r="K280" s="626"/>
      <c r="L280" s="405">
        <f>(187000)+358000</f>
        <v>545000</v>
      </c>
      <c r="M280" s="405"/>
      <c r="N280" s="405"/>
      <c r="O280" s="627">
        <f>K280</f>
        <v>0</v>
      </c>
      <c r="P280" s="626">
        <f t="shared" si="292"/>
        <v>545000</v>
      </c>
      <c r="Q280" s="181" t="b">
        <f>J280='d9'!F22+'d9'!F23+'d9'!F24+'d9'!F25+'d9'!F26+'d9'!F27+'d9'!F28</f>
        <v>1</v>
      </c>
      <c r="R280" s="280"/>
    </row>
    <row r="281" spans="1:18" ht="136.5" thickTop="1" thickBot="1" x14ac:dyDescent="0.25">
      <c r="A281" s="680" t="s">
        <v>183</v>
      </c>
      <c r="B281" s="680"/>
      <c r="C281" s="680"/>
      <c r="D281" s="681" t="s">
        <v>1116</v>
      </c>
      <c r="E281" s="682">
        <f>E282</f>
        <v>5014525</v>
      </c>
      <c r="F281" s="683">
        <f t="shared" ref="F281:G281" si="311">F282</f>
        <v>5014525</v>
      </c>
      <c r="G281" s="683">
        <f t="shared" si="311"/>
        <v>3622500</v>
      </c>
      <c r="H281" s="683">
        <f>H282</f>
        <v>72700</v>
      </c>
      <c r="I281" s="683">
        <f t="shared" ref="I281" si="312">I282</f>
        <v>0</v>
      </c>
      <c r="J281" s="682">
        <f>J282</f>
        <v>350000</v>
      </c>
      <c r="K281" s="683">
        <f>K282</f>
        <v>350000</v>
      </c>
      <c r="L281" s="683">
        <f>L282</f>
        <v>0</v>
      </c>
      <c r="M281" s="683">
        <f t="shared" ref="M281" si="313">M282</f>
        <v>0</v>
      </c>
      <c r="N281" s="682">
        <f>N282</f>
        <v>0</v>
      </c>
      <c r="O281" s="682">
        <f>O282</f>
        <v>350000</v>
      </c>
      <c r="P281" s="683">
        <f t="shared" ref="P281" si="314">P282</f>
        <v>5364525</v>
      </c>
    </row>
    <row r="282" spans="1:18" ht="181.5" thickTop="1" thickBot="1" x14ac:dyDescent="0.25">
      <c r="A282" s="684" t="s">
        <v>184</v>
      </c>
      <c r="B282" s="684"/>
      <c r="C282" s="684"/>
      <c r="D282" s="685" t="s">
        <v>1115</v>
      </c>
      <c r="E282" s="686">
        <f>E283+E285</f>
        <v>5014525</v>
      </c>
      <c r="F282" s="686">
        <f t="shared" ref="F282:I282" si="315">F283+F285</f>
        <v>5014525</v>
      </c>
      <c r="G282" s="686">
        <f t="shared" si="315"/>
        <v>3622500</v>
      </c>
      <c r="H282" s="686">
        <f t="shared" si="315"/>
        <v>72700</v>
      </c>
      <c r="I282" s="686">
        <f t="shared" si="315"/>
        <v>0</v>
      </c>
      <c r="J282" s="686">
        <f>L282+O282</f>
        <v>350000</v>
      </c>
      <c r="K282" s="686">
        <f t="shared" ref="K282:O282" si="316">K283+K285</f>
        <v>350000</v>
      </c>
      <c r="L282" s="686">
        <f t="shared" si="316"/>
        <v>0</v>
      </c>
      <c r="M282" s="686">
        <f t="shared" si="316"/>
        <v>0</v>
      </c>
      <c r="N282" s="686">
        <f t="shared" si="316"/>
        <v>0</v>
      </c>
      <c r="O282" s="686">
        <f t="shared" si="316"/>
        <v>350000</v>
      </c>
      <c r="P282" s="687">
        <f>E282+J282</f>
        <v>5364525</v>
      </c>
      <c r="Q282" s="181" t="b">
        <f>P282=P287+P289+P284</f>
        <v>1</v>
      </c>
      <c r="R282" s="181" t="b">
        <f>K282='d6'!J240</f>
        <v>1</v>
      </c>
    </row>
    <row r="283" spans="1:18" s="543" customFormat="1" ht="47.25" thickTop="1" thickBot="1" x14ac:dyDescent="0.25">
      <c r="A283" s="251" t="s">
        <v>1043</v>
      </c>
      <c r="B283" s="562" t="s">
        <v>880</v>
      </c>
      <c r="C283" s="562"/>
      <c r="D283" s="562" t="s">
        <v>881</v>
      </c>
      <c r="E283" s="547">
        <f>SUM(E284)</f>
        <v>5014525</v>
      </c>
      <c r="F283" s="547">
        <f t="shared" ref="F283:P283" si="317">SUM(F284)</f>
        <v>5014525</v>
      </c>
      <c r="G283" s="547">
        <f t="shared" si="317"/>
        <v>3622500</v>
      </c>
      <c r="H283" s="547">
        <f t="shared" si="317"/>
        <v>72700</v>
      </c>
      <c r="I283" s="547">
        <f t="shared" si="317"/>
        <v>0</v>
      </c>
      <c r="J283" s="547">
        <f t="shared" si="317"/>
        <v>100000</v>
      </c>
      <c r="K283" s="547">
        <f t="shared" si="317"/>
        <v>100000</v>
      </c>
      <c r="L283" s="547">
        <f t="shared" si="317"/>
        <v>0</v>
      </c>
      <c r="M283" s="547">
        <f t="shared" si="317"/>
        <v>0</v>
      </c>
      <c r="N283" s="547">
        <f t="shared" si="317"/>
        <v>0</v>
      </c>
      <c r="O283" s="547">
        <f t="shared" si="317"/>
        <v>100000</v>
      </c>
      <c r="P283" s="547">
        <f t="shared" si="317"/>
        <v>5114525</v>
      </c>
      <c r="Q283" s="181"/>
      <c r="R283" s="181"/>
    </row>
    <row r="284" spans="1:18" ht="230.25" thickTop="1" thickBot="1" x14ac:dyDescent="0.25">
      <c r="A284" s="360" t="s">
        <v>456</v>
      </c>
      <c r="B284" s="360" t="s">
        <v>261</v>
      </c>
      <c r="C284" s="360" t="s">
        <v>259</v>
      </c>
      <c r="D284" s="360" t="s">
        <v>260</v>
      </c>
      <c r="E284" s="415">
        <f>F284</f>
        <v>5014525</v>
      </c>
      <c r="F284" s="416">
        <v>5014525</v>
      </c>
      <c r="G284" s="416">
        <v>3622500</v>
      </c>
      <c r="H284" s="416">
        <f>(53320+2000+17380)</f>
        <v>72700</v>
      </c>
      <c r="I284" s="416"/>
      <c r="J284" s="415">
        <f>L284+O284</f>
        <v>100000</v>
      </c>
      <c r="K284" s="416">
        <v>100000</v>
      </c>
      <c r="L284" s="416"/>
      <c r="M284" s="416"/>
      <c r="N284" s="416"/>
      <c r="O284" s="417">
        <f>K284</f>
        <v>100000</v>
      </c>
      <c r="P284" s="415">
        <f>E284+J284</f>
        <v>5114525</v>
      </c>
      <c r="Q284" s="181" t="b">
        <f>K284='d6'!J241</f>
        <v>1</v>
      </c>
      <c r="R284" s="276"/>
    </row>
    <row r="285" spans="1:18" s="543" customFormat="1" ht="47.25" thickTop="1" thickBot="1" x14ac:dyDescent="0.25">
      <c r="A285" s="251" t="s">
        <v>1044</v>
      </c>
      <c r="B285" s="562" t="s">
        <v>948</v>
      </c>
      <c r="C285" s="546"/>
      <c r="D285" s="562" t="s">
        <v>995</v>
      </c>
      <c r="E285" s="545">
        <f t="shared" ref="E285:P285" si="318">E286+E288</f>
        <v>0</v>
      </c>
      <c r="F285" s="545">
        <f t="shared" si="318"/>
        <v>0</v>
      </c>
      <c r="G285" s="545">
        <f t="shared" si="318"/>
        <v>0</v>
      </c>
      <c r="H285" s="545">
        <f t="shared" si="318"/>
        <v>0</v>
      </c>
      <c r="I285" s="545">
        <f t="shared" si="318"/>
        <v>0</v>
      </c>
      <c r="J285" s="545">
        <f t="shared" si="318"/>
        <v>250000</v>
      </c>
      <c r="K285" s="545">
        <f t="shared" si="318"/>
        <v>250000</v>
      </c>
      <c r="L285" s="545">
        <f t="shared" si="318"/>
        <v>0</v>
      </c>
      <c r="M285" s="545">
        <f t="shared" si="318"/>
        <v>0</v>
      </c>
      <c r="N285" s="545">
        <f t="shared" si="318"/>
        <v>0</v>
      </c>
      <c r="O285" s="545">
        <f t="shared" si="318"/>
        <v>250000</v>
      </c>
      <c r="P285" s="545">
        <f t="shared" si="318"/>
        <v>250000</v>
      </c>
      <c r="Q285" s="276"/>
      <c r="R285" s="276"/>
    </row>
    <row r="286" spans="1:18" s="543" customFormat="1" ht="91.5" thickTop="1" thickBot="1" x14ac:dyDescent="0.25">
      <c r="A286" s="557" t="s">
        <v>1045</v>
      </c>
      <c r="B286" s="557" t="s">
        <v>1046</v>
      </c>
      <c r="C286" s="557"/>
      <c r="D286" s="557" t="s">
        <v>1047</v>
      </c>
      <c r="E286" s="555">
        <f>SUM(E287)</f>
        <v>0</v>
      </c>
      <c r="F286" s="555">
        <f t="shared" ref="F286:P286" si="319">SUM(F287)</f>
        <v>0</v>
      </c>
      <c r="G286" s="555">
        <f t="shared" si="319"/>
        <v>0</v>
      </c>
      <c r="H286" s="555">
        <f t="shared" si="319"/>
        <v>0</v>
      </c>
      <c r="I286" s="555">
        <f t="shared" si="319"/>
        <v>0</v>
      </c>
      <c r="J286" s="555">
        <f t="shared" si="319"/>
        <v>200000</v>
      </c>
      <c r="K286" s="555">
        <f t="shared" si="319"/>
        <v>200000</v>
      </c>
      <c r="L286" s="555">
        <f t="shared" si="319"/>
        <v>0</v>
      </c>
      <c r="M286" s="555">
        <f t="shared" si="319"/>
        <v>0</v>
      </c>
      <c r="N286" s="555">
        <f t="shared" si="319"/>
        <v>0</v>
      </c>
      <c r="O286" s="555">
        <f t="shared" si="319"/>
        <v>200000</v>
      </c>
      <c r="P286" s="555">
        <f t="shared" si="319"/>
        <v>200000</v>
      </c>
      <c r="Q286" s="276"/>
      <c r="R286" s="276"/>
    </row>
    <row r="287" spans="1:18" ht="93" thickTop="1" thickBot="1" x14ac:dyDescent="0.25">
      <c r="A287" s="360" t="s">
        <v>332</v>
      </c>
      <c r="B287" s="360" t="s">
        <v>333</v>
      </c>
      <c r="C287" s="360" t="s">
        <v>334</v>
      </c>
      <c r="D287" s="360" t="s">
        <v>507</v>
      </c>
      <c r="E287" s="415">
        <f>F287</f>
        <v>0</v>
      </c>
      <c r="F287" s="416"/>
      <c r="G287" s="416"/>
      <c r="H287" s="416"/>
      <c r="I287" s="416"/>
      <c r="J287" s="415">
        <f>L287+O287</f>
        <v>200000</v>
      </c>
      <c r="K287" s="416">
        <v>200000</v>
      </c>
      <c r="L287" s="416"/>
      <c r="M287" s="416"/>
      <c r="N287" s="416"/>
      <c r="O287" s="417">
        <v>200000</v>
      </c>
      <c r="P287" s="415">
        <f>E287+J287</f>
        <v>200000</v>
      </c>
    </row>
    <row r="288" spans="1:18" s="543" customFormat="1" ht="136.5" thickTop="1" thickBot="1" x14ac:dyDescent="0.25">
      <c r="A288" s="557" t="s">
        <v>1048</v>
      </c>
      <c r="B288" s="557" t="s">
        <v>887</v>
      </c>
      <c r="C288" s="544"/>
      <c r="D288" s="557" t="s">
        <v>1049</v>
      </c>
      <c r="E288" s="555">
        <f>SUM(E289)</f>
        <v>0</v>
      </c>
      <c r="F288" s="555">
        <f t="shared" ref="F288:P288" si="320">SUM(F289)</f>
        <v>0</v>
      </c>
      <c r="G288" s="555">
        <f t="shared" si="320"/>
        <v>0</v>
      </c>
      <c r="H288" s="555">
        <f t="shared" si="320"/>
        <v>0</v>
      </c>
      <c r="I288" s="555">
        <f t="shared" si="320"/>
        <v>0</v>
      </c>
      <c r="J288" s="555">
        <f t="shared" si="320"/>
        <v>50000</v>
      </c>
      <c r="K288" s="555">
        <f t="shared" si="320"/>
        <v>50000</v>
      </c>
      <c r="L288" s="555">
        <f t="shared" si="320"/>
        <v>0</v>
      </c>
      <c r="M288" s="555">
        <f t="shared" si="320"/>
        <v>0</v>
      </c>
      <c r="N288" s="555">
        <f t="shared" si="320"/>
        <v>0</v>
      </c>
      <c r="O288" s="555">
        <f t="shared" si="320"/>
        <v>50000</v>
      </c>
      <c r="P288" s="555">
        <f t="shared" si="320"/>
        <v>50000</v>
      </c>
      <c r="Q288" s="549"/>
      <c r="R288" s="549"/>
    </row>
    <row r="289" spans="1:18" ht="138.75" thickTop="1" thickBot="1" x14ac:dyDescent="0.25">
      <c r="A289" s="360" t="s">
        <v>404</v>
      </c>
      <c r="B289" s="360" t="s">
        <v>405</v>
      </c>
      <c r="C289" s="360" t="s">
        <v>191</v>
      </c>
      <c r="D289" s="360" t="s">
        <v>406</v>
      </c>
      <c r="E289" s="415">
        <f>F289</f>
        <v>0</v>
      </c>
      <c r="F289" s="416"/>
      <c r="G289" s="416"/>
      <c r="H289" s="416"/>
      <c r="I289" s="416"/>
      <c r="J289" s="415">
        <f>L289+O289</f>
        <v>50000</v>
      </c>
      <c r="K289" s="416">
        <v>50000</v>
      </c>
      <c r="L289" s="416"/>
      <c r="M289" s="416"/>
      <c r="N289" s="416"/>
      <c r="O289" s="417">
        <f>K289</f>
        <v>50000</v>
      </c>
      <c r="P289" s="415">
        <f>E289+J289</f>
        <v>50000</v>
      </c>
    </row>
    <row r="290" spans="1:18" ht="136.5" thickTop="1" thickBot="1" x14ac:dyDescent="0.25">
      <c r="A290" s="680" t="s">
        <v>189</v>
      </c>
      <c r="B290" s="680"/>
      <c r="C290" s="680"/>
      <c r="D290" s="681" t="s">
        <v>27</v>
      </c>
      <c r="E290" s="682">
        <f>E291</f>
        <v>87015885</v>
      </c>
      <c r="F290" s="683">
        <f t="shared" ref="F290:G290" si="321">F291</f>
        <v>87015885</v>
      </c>
      <c r="G290" s="683">
        <f t="shared" si="321"/>
        <v>7700000</v>
      </c>
      <c r="H290" s="683">
        <f>H291</f>
        <v>131350</v>
      </c>
      <c r="I290" s="683">
        <f t="shared" ref="I290" si="322">I291</f>
        <v>0</v>
      </c>
      <c r="J290" s="682">
        <f>J291</f>
        <v>0</v>
      </c>
      <c r="K290" s="683">
        <f>K291</f>
        <v>0</v>
      </c>
      <c r="L290" s="683">
        <f>L291</f>
        <v>0</v>
      </c>
      <c r="M290" s="683">
        <f t="shared" ref="M290" si="323">M291</f>
        <v>0</v>
      </c>
      <c r="N290" s="682">
        <f>N291</f>
        <v>0</v>
      </c>
      <c r="O290" s="682">
        <f>O291</f>
        <v>0</v>
      </c>
      <c r="P290" s="683">
        <f t="shared" ref="P290" si="324">P291</f>
        <v>87015885</v>
      </c>
    </row>
    <row r="291" spans="1:18" ht="136.5" thickTop="1" thickBot="1" x14ac:dyDescent="0.25">
      <c r="A291" s="684" t="s">
        <v>190</v>
      </c>
      <c r="B291" s="684"/>
      <c r="C291" s="684"/>
      <c r="D291" s="685" t="s">
        <v>42</v>
      </c>
      <c r="E291" s="686">
        <f>E292+E295+E299</f>
        <v>87015885</v>
      </c>
      <c r="F291" s="686">
        <f t="shared" ref="F291:I291" si="325">F292+F295+F299</f>
        <v>87015885</v>
      </c>
      <c r="G291" s="686">
        <f t="shared" si="325"/>
        <v>7700000</v>
      </c>
      <c r="H291" s="686">
        <f t="shared" si="325"/>
        <v>131350</v>
      </c>
      <c r="I291" s="686">
        <f t="shared" si="325"/>
        <v>0</v>
      </c>
      <c r="J291" s="686">
        <f>L291+O291</f>
        <v>0</v>
      </c>
      <c r="K291" s="686">
        <f t="shared" ref="K291:O291" si="326">K292+K295+K299</f>
        <v>0</v>
      </c>
      <c r="L291" s="686">
        <f t="shared" si="326"/>
        <v>0</v>
      </c>
      <c r="M291" s="686">
        <f t="shared" si="326"/>
        <v>0</v>
      </c>
      <c r="N291" s="686">
        <f t="shared" si="326"/>
        <v>0</v>
      </c>
      <c r="O291" s="686">
        <f t="shared" si="326"/>
        <v>0</v>
      </c>
      <c r="P291" s="687">
        <f>E291+J291</f>
        <v>87015885</v>
      </c>
      <c r="Q291" s="181" t="b">
        <f>P291=P296+P298+P301+P293+P294</f>
        <v>1</v>
      </c>
      <c r="R291" s="277"/>
    </row>
    <row r="292" spans="1:18" s="543" customFormat="1" ht="47.25" thickTop="1" thickBot="1" x14ac:dyDescent="0.25">
      <c r="A292" s="251" t="s">
        <v>1050</v>
      </c>
      <c r="B292" s="562" t="s">
        <v>880</v>
      </c>
      <c r="C292" s="562"/>
      <c r="D292" s="562" t="s">
        <v>881</v>
      </c>
      <c r="E292" s="547">
        <f>SUM(E293:E294)</f>
        <v>9678150</v>
      </c>
      <c r="F292" s="547">
        <f t="shared" ref="F292:P292" si="327">SUM(F293:F294)</f>
        <v>9678150</v>
      </c>
      <c r="G292" s="547">
        <f t="shared" si="327"/>
        <v>7700000</v>
      </c>
      <c r="H292" s="547">
        <f t="shared" si="327"/>
        <v>131350</v>
      </c>
      <c r="I292" s="547">
        <f t="shared" si="327"/>
        <v>0</v>
      </c>
      <c r="J292" s="547">
        <f t="shared" si="327"/>
        <v>0</v>
      </c>
      <c r="K292" s="547">
        <f t="shared" si="327"/>
        <v>0</v>
      </c>
      <c r="L292" s="547">
        <f t="shared" si="327"/>
        <v>0</v>
      </c>
      <c r="M292" s="547">
        <f t="shared" si="327"/>
        <v>0</v>
      </c>
      <c r="N292" s="547">
        <f t="shared" si="327"/>
        <v>0</v>
      </c>
      <c r="O292" s="547">
        <f t="shared" si="327"/>
        <v>0</v>
      </c>
      <c r="P292" s="547">
        <f t="shared" si="327"/>
        <v>9678150</v>
      </c>
      <c r="Q292" s="181"/>
      <c r="R292" s="277"/>
    </row>
    <row r="293" spans="1:18" ht="230.25" thickTop="1" thickBot="1" x14ac:dyDescent="0.25">
      <c r="A293" s="419" t="s">
        <v>458</v>
      </c>
      <c r="B293" s="419" t="s">
        <v>261</v>
      </c>
      <c r="C293" s="419" t="s">
        <v>259</v>
      </c>
      <c r="D293" s="419" t="s">
        <v>260</v>
      </c>
      <c r="E293" s="421">
        <f>F293</f>
        <v>9675150</v>
      </c>
      <c r="F293" s="405">
        <f>(7700000+1540000+152690+146035+7000+71000+4400+51000+4950+1075-3000)</f>
        <v>9675150</v>
      </c>
      <c r="G293" s="405">
        <v>7700000</v>
      </c>
      <c r="H293" s="405">
        <f>(71000+4400+51000+4950)</f>
        <v>131350</v>
      </c>
      <c r="I293" s="405"/>
      <c r="J293" s="421">
        <f>L293+O293</f>
        <v>0</v>
      </c>
      <c r="K293" s="405"/>
      <c r="L293" s="405"/>
      <c r="M293" s="405"/>
      <c r="N293" s="405"/>
      <c r="O293" s="423">
        <f>K293</f>
        <v>0</v>
      </c>
      <c r="P293" s="421">
        <f>E293+J293</f>
        <v>9675150</v>
      </c>
      <c r="Q293" s="276"/>
      <c r="R293" s="277"/>
    </row>
    <row r="294" spans="1:18" s="412" customFormat="1" ht="184.5" thickTop="1" thickBot="1" x14ac:dyDescent="0.25">
      <c r="A294" s="419" t="s">
        <v>829</v>
      </c>
      <c r="B294" s="419" t="s">
        <v>398</v>
      </c>
      <c r="C294" s="419" t="s">
        <v>815</v>
      </c>
      <c r="D294" s="419" t="s">
        <v>816</v>
      </c>
      <c r="E294" s="418">
        <f>F294</f>
        <v>3000</v>
      </c>
      <c r="F294" s="247">
        <v>3000</v>
      </c>
      <c r="G294" s="247"/>
      <c r="H294" s="247"/>
      <c r="I294" s="247"/>
      <c r="J294" s="415">
        <f t="shared" ref="J294" si="328">L294+O294</f>
        <v>0</v>
      </c>
      <c r="K294" s="247"/>
      <c r="L294" s="248"/>
      <c r="M294" s="248"/>
      <c r="N294" s="248"/>
      <c r="O294" s="417">
        <f t="shared" ref="O294" si="329">K294</f>
        <v>0</v>
      </c>
      <c r="P294" s="415">
        <f t="shared" ref="P294" si="330">+J294+E294</f>
        <v>3000</v>
      </c>
      <c r="Q294" s="276"/>
      <c r="R294" s="277"/>
    </row>
    <row r="295" spans="1:18" s="543" customFormat="1" ht="47.25" thickTop="1" thickBot="1" x14ac:dyDescent="0.25">
      <c r="A295" s="251" t="s">
        <v>1051</v>
      </c>
      <c r="B295" s="562" t="s">
        <v>892</v>
      </c>
      <c r="C295" s="562"/>
      <c r="D295" s="562" t="s">
        <v>893</v>
      </c>
      <c r="E295" s="418">
        <f>E296+E297</f>
        <v>4033835</v>
      </c>
      <c r="F295" s="418">
        <f t="shared" ref="F295:P295" si="331">F296+F297</f>
        <v>4033835</v>
      </c>
      <c r="G295" s="418">
        <f t="shared" si="331"/>
        <v>0</v>
      </c>
      <c r="H295" s="418">
        <f t="shared" si="331"/>
        <v>0</v>
      </c>
      <c r="I295" s="418">
        <f t="shared" si="331"/>
        <v>0</v>
      </c>
      <c r="J295" s="418">
        <f t="shared" si="331"/>
        <v>0</v>
      </c>
      <c r="K295" s="418">
        <f t="shared" si="331"/>
        <v>0</v>
      </c>
      <c r="L295" s="418">
        <f t="shared" si="331"/>
        <v>0</v>
      </c>
      <c r="M295" s="418">
        <f t="shared" si="331"/>
        <v>0</v>
      </c>
      <c r="N295" s="418">
        <f t="shared" si="331"/>
        <v>0</v>
      </c>
      <c r="O295" s="418">
        <f t="shared" si="331"/>
        <v>0</v>
      </c>
      <c r="P295" s="418">
        <f t="shared" si="331"/>
        <v>4033835</v>
      </c>
      <c r="Q295" s="276"/>
      <c r="R295" s="277"/>
    </row>
    <row r="296" spans="1:18" ht="91.5" thickTop="1" thickBot="1" x14ac:dyDescent="0.25">
      <c r="A296" s="579">
        <v>3718600</v>
      </c>
      <c r="B296" s="579">
        <v>8600</v>
      </c>
      <c r="C296" s="506" t="s">
        <v>398</v>
      </c>
      <c r="D296" s="579" t="s">
        <v>498</v>
      </c>
      <c r="E296" s="465">
        <f>F296</f>
        <v>1033835</v>
      </c>
      <c r="F296" s="465">
        <v>1033835</v>
      </c>
      <c r="G296" s="465"/>
      <c r="H296" s="465"/>
      <c r="I296" s="465"/>
      <c r="J296" s="465">
        <f>L296+O296</f>
        <v>0</v>
      </c>
      <c r="K296" s="465"/>
      <c r="L296" s="465"/>
      <c r="M296" s="465"/>
      <c r="N296" s="465"/>
      <c r="O296" s="580">
        <f>K296</f>
        <v>0</v>
      </c>
      <c r="P296" s="465">
        <f>E296+J296</f>
        <v>1033835</v>
      </c>
    </row>
    <row r="297" spans="1:18" s="543" customFormat="1" ht="47.25" thickTop="1" thickBot="1" x14ac:dyDescent="0.25">
      <c r="A297" s="579">
        <v>3718700</v>
      </c>
      <c r="B297" s="579">
        <v>8700</v>
      </c>
      <c r="C297" s="506"/>
      <c r="D297" s="579" t="s">
        <v>1052</v>
      </c>
      <c r="E297" s="465">
        <f>E298</f>
        <v>3000000</v>
      </c>
      <c r="F297" s="465">
        <f t="shared" ref="F297:P297" si="332">F298</f>
        <v>3000000</v>
      </c>
      <c r="G297" s="465">
        <f t="shared" si="332"/>
        <v>0</v>
      </c>
      <c r="H297" s="465">
        <f t="shared" si="332"/>
        <v>0</v>
      </c>
      <c r="I297" s="465">
        <f t="shared" si="332"/>
        <v>0</v>
      </c>
      <c r="J297" s="465">
        <f t="shared" si="332"/>
        <v>0</v>
      </c>
      <c r="K297" s="465">
        <f t="shared" si="332"/>
        <v>0</v>
      </c>
      <c r="L297" s="465">
        <f t="shared" si="332"/>
        <v>0</v>
      </c>
      <c r="M297" s="465">
        <f t="shared" si="332"/>
        <v>0</v>
      </c>
      <c r="N297" s="465">
        <f t="shared" si="332"/>
        <v>0</v>
      </c>
      <c r="O297" s="465">
        <f t="shared" si="332"/>
        <v>0</v>
      </c>
      <c r="P297" s="465">
        <f t="shared" si="332"/>
        <v>3000000</v>
      </c>
      <c r="Q297" s="549"/>
      <c r="R297" s="549"/>
    </row>
    <row r="298" spans="1:18" ht="93" thickTop="1" thickBot="1" x14ac:dyDescent="0.25">
      <c r="A298" s="436">
        <v>3718710</v>
      </c>
      <c r="B298" s="436">
        <v>8710</v>
      </c>
      <c r="C298" s="432" t="s">
        <v>44</v>
      </c>
      <c r="D298" s="434" t="s">
        <v>835</v>
      </c>
      <c r="E298" s="433">
        <f>F298</f>
        <v>3000000</v>
      </c>
      <c r="F298" s="405">
        <v>3000000</v>
      </c>
      <c r="G298" s="405"/>
      <c r="H298" s="405"/>
      <c r="I298" s="405"/>
      <c r="J298" s="433">
        <f>L298+O298</f>
        <v>0</v>
      </c>
      <c r="K298" s="405"/>
      <c r="L298" s="405"/>
      <c r="M298" s="405"/>
      <c r="N298" s="405"/>
      <c r="O298" s="431">
        <f>K298</f>
        <v>0</v>
      </c>
      <c r="P298" s="433">
        <f>E298+J298</f>
        <v>3000000</v>
      </c>
    </row>
    <row r="299" spans="1:18" s="543" customFormat="1" ht="47.25" thickTop="1" thickBot="1" x14ac:dyDescent="0.25">
      <c r="A299" s="562" t="s">
        <v>1053</v>
      </c>
      <c r="B299" s="562" t="s">
        <v>898</v>
      </c>
      <c r="C299" s="562"/>
      <c r="D299" s="562" t="s">
        <v>899</v>
      </c>
      <c r="E299" s="547">
        <f>E300</f>
        <v>73303900</v>
      </c>
      <c r="F299" s="547">
        <f t="shared" ref="F299:P300" si="333">F300</f>
        <v>73303900</v>
      </c>
      <c r="G299" s="547">
        <f t="shared" si="333"/>
        <v>0</v>
      </c>
      <c r="H299" s="547">
        <f t="shared" si="333"/>
        <v>0</v>
      </c>
      <c r="I299" s="547">
        <f t="shared" si="333"/>
        <v>0</v>
      </c>
      <c r="J299" s="547">
        <f t="shared" si="333"/>
        <v>0</v>
      </c>
      <c r="K299" s="547">
        <f t="shared" si="333"/>
        <v>0</v>
      </c>
      <c r="L299" s="547">
        <f t="shared" si="333"/>
        <v>0</v>
      </c>
      <c r="M299" s="547">
        <f t="shared" si="333"/>
        <v>0</v>
      </c>
      <c r="N299" s="547">
        <f t="shared" si="333"/>
        <v>0</v>
      </c>
      <c r="O299" s="547">
        <f t="shared" si="333"/>
        <v>0</v>
      </c>
      <c r="P299" s="547">
        <f t="shared" si="333"/>
        <v>73303900</v>
      </c>
      <c r="Q299" s="549"/>
      <c r="R299" s="549"/>
    </row>
    <row r="300" spans="1:18" s="543" customFormat="1" ht="91.5" thickTop="1" thickBot="1" x14ac:dyDescent="0.25">
      <c r="A300" s="579">
        <v>3719100</v>
      </c>
      <c r="B300" s="506" t="s">
        <v>1055</v>
      </c>
      <c r="C300" s="506"/>
      <c r="D300" s="506" t="s">
        <v>1054</v>
      </c>
      <c r="E300" s="465">
        <f>E301</f>
        <v>73303900</v>
      </c>
      <c r="F300" s="465">
        <f t="shared" si="333"/>
        <v>73303900</v>
      </c>
      <c r="G300" s="465">
        <f t="shared" si="333"/>
        <v>0</v>
      </c>
      <c r="H300" s="465">
        <f t="shared" si="333"/>
        <v>0</v>
      </c>
      <c r="I300" s="465">
        <f t="shared" si="333"/>
        <v>0</v>
      </c>
      <c r="J300" s="465">
        <f t="shared" si="333"/>
        <v>0</v>
      </c>
      <c r="K300" s="465">
        <f t="shared" si="333"/>
        <v>0</v>
      </c>
      <c r="L300" s="465">
        <f t="shared" si="333"/>
        <v>0</v>
      </c>
      <c r="M300" s="465">
        <f t="shared" si="333"/>
        <v>0</v>
      </c>
      <c r="N300" s="465">
        <f t="shared" si="333"/>
        <v>0</v>
      </c>
      <c r="O300" s="465">
        <f t="shared" si="333"/>
        <v>0</v>
      </c>
      <c r="P300" s="465">
        <f t="shared" si="333"/>
        <v>73303900</v>
      </c>
      <c r="Q300" s="549"/>
      <c r="R300" s="549"/>
    </row>
    <row r="301" spans="1:18" ht="48" thickTop="1" thickBot="1" x14ac:dyDescent="0.25">
      <c r="A301" s="436">
        <v>3719110</v>
      </c>
      <c r="B301" s="436">
        <v>9110</v>
      </c>
      <c r="C301" s="432" t="s">
        <v>45</v>
      </c>
      <c r="D301" s="434" t="s">
        <v>497</v>
      </c>
      <c r="E301" s="433">
        <f>F301</f>
        <v>73303900</v>
      </c>
      <c r="F301" s="405">
        <v>73303900</v>
      </c>
      <c r="G301" s="405"/>
      <c r="H301" s="405"/>
      <c r="I301" s="405"/>
      <c r="J301" s="433">
        <f>L301+O301</f>
        <v>0</v>
      </c>
      <c r="K301" s="405"/>
      <c r="L301" s="405"/>
      <c r="M301" s="405"/>
      <c r="N301" s="405"/>
      <c r="O301" s="431">
        <f>K301</f>
        <v>0</v>
      </c>
      <c r="P301" s="433">
        <f>E301+J301</f>
        <v>73303900</v>
      </c>
    </row>
    <row r="302" spans="1:18" ht="159.75" customHeight="1" thickTop="1" thickBot="1" x14ac:dyDescent="0.25">
      <c r="A302" s="325" t="s">
        <v>418</v>
      </c>
      <c r="B302" s="325" t="s">
        <v>418</v>
      </c>
      <c r="C302" s="325" t="s">
        <v>418</v>
      </c>
      <c r="D302" s="326" t="s">
        <v>428</v>
      </c>
      <c r="E302" s="437">
        <f>E17+E41+E149+E69+E90+E131++E223+E241+E291+E259+E270+E282+E249+E195+E176</f>
        <v>2657950029.6599998</v>
      </c>
      <c r="F302" s="437">
        <f>F17+F41+F149+F69+F90+F131++F223+F241+F291+F259+F270+F282+F249+F195+F176</f>
        <v>2657950029.6599998</v>
      </c>
      <c r="G302" s="437">
        <f>G17+G41+G149+G69+G90+G131++G223+G241+G291+G259+G270+G282+G249+G195+G176</f>
        <v>1434828740.47</v>
      </c>
      <c r="H302" s="437">
        <f>H17+H41+H149+H69+H90+H131++H223+H241+H291+H259+H270+H282+H249+H195+H176</f>
        <v>101293241.78999999</v>
      </c>
      <c r="I302" s="437">
        <f>I17+I41+I149+I69+I90+I131++I223+I241+I291+I259+I270+I282+I249+I195+I176</f>
        <v>0</v>
      </c>
      <c r="J302" s="437">
        <f>J17+J41+J149+J69+J90+J131++J223+J241+J291+J259+J270+J282+J249+J195+J176</f>
        <v>509024864.91000003</v>
      </c>
      <c r="K302" s="437">
        <f>K17+K41+K149+K69+K90+K131++K223+K241+K291+K259+K270+K282+K249+K195+K176</f>
        <v>346106659.33999997</v>
      </c>
      <c r="L302" s="437">
        <f>L17+L41+L149+L69+L90+L131++L223+L241+L291+L259+L270+L282+L249+L195+L176</f>
        <v>160771023.54000002</v>
      </c>
      <c r="M302" s="437">
        <f>M17+M41+M149+M69+M90+M131++M223+M241+M291+M259+M270+M282+M249+M195+M176</f>
        <v>49533322</v>
      </c>
      <c r="N302" s="437">
        <f>N17+N41+N149+N69+N90+N131++N223+N241+N291+N259+N270+N282+N249+N195+N176</f>
        <v>9357568</v>
      </c>
      <c r="O302" s="437">
        <f>O17+O41+O149+O69+O90+O131++O223+O241+O291+O259+O270+O282+O249+O195+O176</f>
        <v>348253841.37</v>
      </c>
      <c r="P302" s="437">
        <f>P17+P41+P149+P69+P90+P131++P223+P241+P291+P259+P270+P282+P249+P195+P176</f>
        <v>3166974894.5700002</v>
      </c>
      <c r="Q302" s="84" t="b">
        <f>K302='d6'!J245</f>
        <v>1</v>
      </c>
      <c r="R302" s="84" t="b">
        <f>P302=J302+E302</f>
        <v>1</v>
      </c>
    </row>
    <row r="303" spans="1:18" ht="49.5" customHeight="1" thickTop="1" x14ac:dyDescent="0.2">
      <c r="A303" s="833" t="s">
        <v>554</v>
      </c>
      <c r="B303" s="834"/>
      <c r="C303" s="834"/>
      <c r="D303" s="834"/>
      <c r="E303" s="834"/>
      <c r="F303" s="834"/>
      <c r="G303" s="834"/>
      <c r="H303" s="834"/>
      <c r="I303" s="834"/>
      <c r="J303" s="834"/>
      <c r="K303" s="834"/>
      <c r="L303" s="834"/>
      <c r="M303" s="834"/>
      <c r="N303" s="834"/>
      <c r="O303" s="834"/>
      <c r="P303" s="834"/>
      <c r="Q303" s="282"/>
    </row>
    <row r="304" spans="1:18" ht="60.75" hidden="1" x14ac:dyDescent="0.2">
      <c r="A304" s="193"/>
      <c r="B304" s="194"/>
      <c r="C304" s="194"/>
      <c r="D304" s="194"/>
      <c r="E304" s="131">
        <f>F304</f>
        <v>2657950029.6599998</v>
      </c>
      <c r="F304" s="131">
        <f>((2638170564+6058967+642850)-'d4'!F17+'d2'!E22)+16026676.66</f>
        <v>2657950029.6599998</v>
      </c>
      <c r="G304" s="131">
        <f>(354000+540000+1494859+80242670+1114143912+4186600+68381820+89280550+40854695+37511680)-3284345.53+1122300</f>
        <v>1434828740.47</v>
      </c>
      <c r="H304" s="131">
        <f>(6000+3000+20785+3339900+87477970+201540+2063407+3907125+2243165+730080+50000+6058967)-4296997.21+25300+63000-165000-635000+200000</f>
        <v>101293241.79000001</v>
      </c>
      <c r="I304" s="131"/>
      <c r="J304" s="131">
        <f>(356021747.58+79713450)+73413409.53-123742.2</f>
        <v>509024864.91000003</v>
      </c>
      <c r="K304" s="131">
        <f>((356021747.58+79713450)-4201200-630900-155853885)+73413409.53-123742.2-1155966.58-127015.03-854238.96-95000</f>
        <v>346106659.34000009</v>
      </c>
      <c r="L304" s="131">
        <f>((4201200-49000)+630900+(155853885-1788820-106000))+78600-9947+1155966.58+854238.96-50000</f>
        <v>160771023.54000002</v>
      </c>
      <c r="M304" s="131">
        <f>866362+41217060+104000+7345900</f>
        <v>49533322</v>
      </c>
      <c r="N304" s="131">
        <f>308978+8654190+137000+257400</f>
        <v>9357568</v>
      </c>
      <c r="O304" s="131">
        <f>((356021747.58+79713450)-(4201200-49000)-630900-(155853885-1788820-106000))+16400+9947+(73413409.53-123742.2-95000-1155966.58-854238.96)+50000</f>
        <v>348253841.37</v>
      </c>
      <c r="P304" s="131">
        <f>(2994192311.58+6058967+80356300)-'d4'!F20+'d2'!E22+(89440086.19-123742.2)</f>
        <v>3166974894.5699997</v>
      </c>
      <c r="Q304" s="84" t="b">
        <f>E304+J304=P304</f>
        <v>1</v>
      </c>
      <c r="R304" s="282"/>
    </row>
    <row r="305" spans="1:18" ht="45.75" x14ac:dyDescent="0.65">
      <c r="A305" s="193"/>
      <c r="B305" s="194"/>
      <c r="C305" s="194"/>
      <c r="D305" s="202" t="s">
        <v>1272</v>
      </c>
      <c r="E305" s="120"/>
      <c r="F305" s="120"/>
      <c r="G305" s="120"/>
      <c r="H305" s="202"/>
      <c r="I305" s="179"/>
      <c r="J305" s="179"/>
      <c r="K305" s="202" t="s">
        <v>1273</v>
      </c>
      <c r="L305" s="179"/>
      <c r="M305" s="179"/>
      <c r="N305" s="179"/>
      <c r="O305" s="179"/>
      <c r="P305" s="179"/>
      <c r="Q305" s="282"/>
    </row>
    <row r="306" spans="1:18" s="198" customFormat="1" ht="45.75" x14ac:dyDescent="0.65">
      <c r="A306" s="199"/>
      <c r="B306" s="200"/>
      <c r="C306" s="200"/>
      <c r="D306" s="814"/>
      <c r="E306" s="814"/>
      <c r="F306" s="814"/>
      <c r="G306" s="814"/>
      <c r="H306" s="814"/>
      <c r="I306" s="814"/>
      <c r="J306" s="814"/>
      <c r="K306" s="814"/>
      <c r="L306" s="814"/>
      <c r="M306" s="814"/>
      <c r="N306" s="814"/>
      <c r="O306" s="814"/>
      <c r="P306" s="814"/>
      <c r="Q306" s="282"/>
      <c r="R306" s="266"/>
    </row>
    <row r="307" spans="1:18" s="198" customFormat="1" ht="45.75" x14ac:dyDescent="0.65">
      <c r="A307" s="199"/>
      <c r="B307" s="200"/>
      <c r="C307" s="200"/>
      <c r="D307" s="202" t="s">
        <v>621</v>
      </c>
      <c r="E307" s="120"/>
      <c r="F307" s="120"/>
      <c r="G307" s="120"/>
      <c r="H307" s="202"/>
      <c r="I307" s="179"/>
      <c r="J307" s="179"/>
      <c r="K307" s="202" t="s">
        <v>622</v>
      </c>
      <c r="L307" s="179"/>
      <c r="M307" s="179"/>
      <c r="N307" s="179"/>
      <c r="O307" s="179"/>
      <c r="P307" s="179"/>
      <c r="Q307" s="282"/>
      <c r="R307" s="266"/>
    </row>
    <row r="308" spans="1:18" ht="45.75" x14ac:dyDescent="0.65">
      <c r="A308" s="191"/>
      <c r="B308" s="191"/>
      <c r="C308" s="191"/>
      <c r="D308" s="814"/>
      <c r="E308" s="814"/>
      <c r="F308" s="814"/>
      <c r="G308" s="814"/>
      <c r="H308" s="814"/>
      <c r="I308" s="814"/>
      <c r="J308" s="814"/>
      <c r="K308" s="814"/>
      <c r="L308" s="814"/>
      <c r="M308" s="814"/>
      <c r="N308" s="814"/>
      <c r="O308" s="814"/>
      <c r="P308" s="814"/>
      <c r="Q308" s="283"/>
    </row>
    <row r="309" spans="1:18" ht="150.75" hidden="1" customHeight="1" x14ac:dyDescent="0.65">
      <c r="D309" s="814" t="s">
        <v>623</v>
      </c>
      <c r="E309" s="814"/>
      <c r="F309" s="814"/>
      <c r="G309" s="814"/>
      <c r="H309" s="814"/>
      <c r="I309" s="814"/>
      <c r="J309" s="814"/>
      <c r="K309" s="814"/>
      <c r="L309" s="814"/>
      <c r="M309" s="814"/>
      <c r="N309" s="814"/>
      <c r="O309" s="814"/>
      <c r="P309" s="814"/>
    </row>
    <row r="310" spans="1:18" ht="95.25" customHeight="1" x14ac:dyDescent="0.55000000000000004">
      <c r="G310" s="373"/>
      <c r="H310" s="373"/>
      <c r="Q310" s="274"/>
    </row>
    <row r="311" spans="1:18" hidden="1" x14ac:dyDescent="0.2">
      <c r="E311" s="4"/>
      <c r="F311" s="3"/>
      <c r="G311" s="373"/>
      <c r="H311" s="373"/>
      <c r="J311" s="4"/>
      <c r="K311" s="4"/>
    </row>
    <row r="312" spans="1:18" hidden="1" x14ac:dyDescent="0.2">
      <c r="E312" s="4"/>
      <c r="F312" s="3"/>
      <c r="G312" s="373"/>
      <c r="H312" s="373"/>
      <c r="J312" s="4"/>
      <c r="K312" s="4"/>
    </row>
    <row r="313" spans="1:18" ht="60.75" x14ac:dyDescent="0.2">
      <c r="E313" s="84" t="b">
        <f>E304=E302</f>
        <v>1</v>
      </c>
      <c r="F313" s="84" t="b">
        <f>F304=F302</f>
        <v>1</v>
      </c>
      <c r="G313" s="84" t="b">
        <f>G304=G302</f>
        <v>1</v>
      </c>
      <c r="H313" s="84" t="b">
        <f t="shared" ref="H313:O313" si="334">H304=H302</f>
        <v>1</v>
      </c>
      <c r="I313" s="84" t="b">
        <f>I304=I302</f>
        <v>1</v>
      </c>
      <c r="J313" s="84" t="b">
        <f>J304=J302</f>
        <v>1</v>
      </c>
      <c r="K313" s="84" t="b">
        <f>K304=K302</f>
        <v>1</v>
      </c>
      <c r="L313" s="84" t="b">
        <f t="shared" si="334"/>
        <v>1</v>
      </c>
      <c r="M313" s="84" t="b">
        <f t="shared" si="334"/>
        <v>1</v>
      </c>
      <c r="N313" s="84" t="b">
        <f t="shared" si="334"/>
        <v>1</v>
      </c>
      <c r="O313" s="84" t="b">
        <f t="shared" si="334"/>
        <v>1</v>
      </c>
      <c r="P313" s="84" t="b">
        <f>P304=P302</f>
        <v>1</v>
      </c>
    </row>
    <row r="314" spans="1:18" ht="61.5" x14ac:dyDescent="0.2">
      <c r="E314" s="84" t="b">
        <f>E302=F302</f>
        <v>1</v>
      </c>
      <c r="F314" s="182">
        <f>F298/E302*100</f>
        <v>0.11286893908926326</v>
      </c>
      <c r="G314" s="91" t="s">
        <v>351</v>
      </c>
      <c r="H314" s="380"/>
      <c r="I314" s="183"/>
      <c r="J314" s="84" t="b">
        <f>J304=L304+O304</f>
        <v>1</v>
      </c>
      <c r="K314" s="184"/>
      <c r="L314" s="84"/>
      <c r="M314" s="183"/>
      <c r="N314" s="183"/>
      <c r="O314" s="84"/>
      <c r="P314" s="84" t="b">
        <f>E302+J302=P302</f>
        <v>1</v>
      </c>
    </row>
    <row r="315" spans="1:18" ht="60.75" x14ac:dyDescent="0.2">
      <c r="E315" s="185"/>
      <c r="F315" s="186"/>
      <c r="G315" s="185"/>
      <c r="H315" s="381"/>
      <c r="I315" s="185"/>
      <c r="J315" s="4"/>
      <c r="K315" s="4"/>
    </row>
    <row r="316" spans="1:18" ht="61.5" x14ac:dyDescent="0.2">
      <c r="A316" s="189"/>
      <c r="B316" s="189"/>
      <c r="C316" s="189"/>
      <c r="D316" s="6"/>
      <c r="E316" s="189"/>
      <c r="F316" s="91">
        <f>F298/P302*100</f>
        <v>9.4727621780131874E-2</v>
      </c>
      <c r="G316" s="91" t="s">
        <v>351</v>
      </c>
      <c r="H316" s="380"/>
      <c r="I316" s="6"/>
      <c r="J316" s="96"/>
      <c r="K316" s="96"/>
      <c r="L316" s="96"/>
      <c r="M316" s="96"/>
      <c r="N316" s="96"/>
      <c r="O316" s="96"/>
      <c r="P316" s="96"/>
    </row>
    <row r="317" spans="1:18" ht="61.5" x14ac:dyDescent="0.2">
      <c r="D317" s="6"/>
      <c r="E317" s="96"/>
      <c r="F317" s="187"/>
      <c r="G317" s="84"/>
      <c r="H317" s="380"/>
      <c r="I317" s="6"/>
      <c r="J317" s="96"/>
      <c r="K317" s="96"/>
      <c r="L317" s="157"/>
      <c r="P317" s="84"/>
      <c r="Q317" s="278"/>
      <c r="R317" s="281"/>
    </row>
    <row r="318" spans="1:18" ht="60.75" x14ac:dyDescent="0.2">
      <c r="A318" s="189"/>
      <c r="B318" s="189"/>
      <c r="C318" s="189"/>
      <c r="D318" s="6"/>
      <c r="E318" s="180"/>
      <c r="F318" s="180">
        <f>F304-F302</f>
        <v>0</v>
      </c>
      <c r="G318" s="180"/>
      <c r="H318" s="180"/>
      <c r="I318" s="188"/>
      <c r="J318" s="180"/>
      <c r="K318" s="180"/>
      <c r="L318" s="180"/>
      <c r="M318" s="180"/>
      <c r="N318" s="180"/>
      <c r="O318" s="180"/>
      <c r="P318" s="180"/>
      <c r="Q318" s="278"/>
      <c r="R318" s="281"/>
    </row>
    <row r="319" spans="1:18" ht="60.75" x14ac:dyDescent="0.2">
      <c r="D319" s="6"/>
      <c r="E319" s="96"/>
      <c r="F319" s="118"/>
      <c r="G319" s="343"/>
      <c r="O319" s="84"/>
      <c r="P319" s="84"/>
    </row>
    <row r="320" spans="1:18" ht="60.75" x14ac:dyDescent="0.2">
      <c r="A320" s="189"/>
      <c r="B320" s="189"/>
      <c r="C320" s="189"/>
      <c r="D320" s="6"/>
      <c r="E320" s="96"/>
      <c r="F320" s="91"/>
      <c r="G320" s="157"/>
      <c r="I320" s="195"/>
      <c r="J320" s="4"/>
      <c r="K320" s="4"/>
      <c r="L320" s="189"/>
      <c r="M320" s="189"/>
      <c r="N320" s="189"/>
      <c r="O320" s="189"/>
      <c r="P320" s="84"/>
    </row>
    <row r="321" spans="1:16" ht="62.25" x14ac:dyDescent="0.8">
      <c r="A321" s="189"/>
      <c r="B321" s="189"/>
      <c r="C321" s="189"/>
      <c r="D321" s="189"/>
      <c r="E321" s="9"/>
      <c r="F321" s="91"/>
      <c r="J321" s="4"/>
      <c r="K321" s="4"/>
      <c r="L321" s="189"/>
      <c r="M321" s="189"/>
      <c r="N321" s="189"/>
      <c r="O321" s="189"/>
      <c r="P321" s="99"/>
    </row>
    <row r="322" spans="1:16" ht="45.75" x14ac:dyDescent="0.2">
      <c r="E322" s="158">
        <f>E298/E302</f>
        <v>1.1286893908926327E-3</v>
      </c>
      <c r="F322" s="118"/>
    </row>
    <row r="323" spans="1:16" ht="45.75" x14ac:dyDescent="0.2">
      <c r="A323" s="189"/>
      <c r="B323" s="189"/>
      <c r="C323" s="189"/>
      <c r="D323" s="189"/>
      <c r="E323" s="9"/>
      <c r="F323" s="91"/>
      <c r="L323" s="189"/>
      <c r="M323" s="189"/>
      <c r="N323" s="189"/>
      <c r="O323" s="189"/>
      <c r="P323" s="189"/>
    </row>
    <row r="324" spans="1:16" ht="45.75" x14ac:dyDescent="0.2">
      <c r="E324" s="10"/>
      <c r="F324" s="118"/>
    </row>
    <row r="325" spans="1:16" ht="45.75" x14ac:dyDescent="0.2">
      <c r="E325" s="10"/>
      <c r="F325" s="118"/>
    </row>
    <row r="326" spans="1:16" ht="45.75" x14ac:dyDescent="0.2">
      <c r="E326" s="10"/>
      <c r="F326" s="118"/>
    </row>
    <row r="327" spans="1:16" ht="45.75" x14ac:dyDescent="0.2">
      <c r="A327" s="189"/>
      <c r="B327" s="189"/>
      <c r="C327" s="189"/>
      <c r="D327" s="189"/>
      <c r="E327" s="10"/>
      <c r="F327" s="118"/>
      <c r="G327" s="189"/>
      <c r="H327" s="189"/>
      <c r="I327" s="189"/>
      <c r="J327" s="189"/>
      <c r="K327" s="189"/>
      <c r="L327" s="189"/>
      <c r="M327" s="189"/>
      <c r="N327" s="189"/>
      <c r="O327" s="189"/>
      <c r="P327" s="189"/>
    </row>
    <row r="328" spans="1:16" ht="45.75" x14ac:dyDescent="0.2">
      <c r="A328" s="189"/>
      <c r="B328" s="189"/>
      <c r="C328" s="189"/>
      <c r="D328" s="189"/>
      <c r="E328" s="10"/>
      <c r="F328" s="118"/>
      <c r="G328" s="189"/>
      <c r="H328" s="189"/>
      <c r="I328" s="189"/>
      <c r="J328" s="189"/>
      <c r="K328" s="189"/>
      <c r="L328" s="189"/>
      <c r="M328" s="189"/>
      <c r="N328" s="189"/>
      <c r="O328" s="189"/>
      <c r="P328" s="189"/>
    </row>
    <row r="329" spans="1:16" ht="45.75" x14ac:dyDescent="0.2">
      <c r="A329" s="189"/>
      <c r="B329" s="189"/>
      <c r="C329" s="189"/>
      <c r="D329" s="189"/>
      <c r="E329" s="10"/>
      <c r="F329" s="118"/>
      <c r="G329" s="189"/>
      <c r="H329" s="189"/>
      <c r="I329" s="189"/>
      <c r="J329" s="189"/>
      <c r="K329" s="189"/>
      <c r="L329" s="189"/>
      <c r="M329" s="189"/>
      <c r="N329" s="189"/>
      <c r="O329" s="189"/>
      <c r="P329" s="189"/>
    </row>
    <row r="330" spans="1:16" ht="45.75" x14ac:dyDescent="0.2">
      <c r="A330" s="189"/>
      <c r="B330" s="189"/>
      <c r="C330" s="189"/>
      <c r="D330" s="189"/>
      <c r="E330" s="10"/>
      <c r="F330" s="118"/>
      <c r="G330" s="189"/>
      <c r="H330" s="189"/>
      <c r="I330" s="189"/>
      <c r="J330" s="189"/>
      <c r="K330" s="189"/>
      <c r="L330" s="189"/>
      <c r="M330" s="189"/>
      <c r="N330" s="189"/>
      <c r="O330" s="189"/>
      <c r="P330" s="189"/>
    </row>
  </sheetData>
  <mergeCells count="102">
    <mergeCell ref="D306:P306"/>
    <mergeCell ref="O49:O50"/>
    <mergeCell ref="P49:P50"/>
    <mergeCell ref="G49:G50"/>
    <mergeCell ref="H49:H50"/>
    <mergeCell ref="I49:I50"/>
    <mergeCell ref="J49:J50"/>
    <mergeCell ref="K49:K50"/>
    <mergeCell ref="A49:A50"/>
    <mergeCell ref="B49:B50"/>
    <mergeCell ref="C49:C50"/>
    <mergeCell ref="E49:E50"/>
    <mergeCell ref="F49:F50"/>
    <mergeCell ref="L49:L50"/>
    <mergeCell ref="M49:M50"/>
    <mergeCell ref="N49:N50"/>
    <mergeCell ref="G128:G129"/>
    <mergeCell ref="H128:H129"/>
    <mergeCell ref="I128:I129"/>
    <mergeCell ref="A128:A129"/>
    <mergeCell ref="B128:B129"/>
    <mergeCell ref="C128:C129"/>
    <mergeCell ref="E128:E129"/>
    <mergeCell ref="F128:F129"/>
    <mergeCell ref="A192:A193"/>
    <mergeCell ref="B192:B193"/>
    <mergeCell ref="C192:C193"/>
    <mergeCell ref="J128:J129"/>
    <mergeCell ref="P192:P193"/>
    <mergeCell ref="K128:K129"/>
    <mergeCell ref="L128:L129"/>
    <mergeCell ref="M128:M129"/>
    <mergeCell ref="N128:N129"/>
    <mergeCell ref="O128:O129"/>
    <mergeCell ref="P128:P129"/>
    <mergeCell ref="O215:O216"/>
    <mergeCell ref="P215:P216"/>
    <mergeCell ref="K192:K193"/>
    <mergeCell ref="L192:L193"/>
    <mergeCell ref="K215:K216"/>
    <mergeCell ref="L215:L216"/>
    <mergeCell ref="M215:M216"/>
    <mergeCell ref="N215:N216"/>
    <mergeCell ref="M192:M193"/>
    <mergeCell ref="N192:N193"/>
    <mergeCell ref="O192:O193"/>
    <mergeCell ref="A215:A216"/>
    <mergeCell ref="B215:B216"/>
    <mergeCell ref="C215:C216"/>
    <mergeCell ref="E215:E216"/>
    <mergeCell ref="F215:F216"/>
    <mergeCell ref="G215:G216"/>
    <mergeCell ref="H215:H216"/>
    <mergeCell ref="I215:I216"/>
    <mergeCell ref="J215:J216"/>
    <mergeCell ref="N2:Q2"/>
    <mergeCell ref="N3:Q3"/>
    <mergeCell ref="O4:P4"/>
    <mergeCell ref="A6:P6"/>
    <mergeCell ref="A7:P7"/>
    <mergeCell ref="A9:B9"/>
    <mergeCell ref="J12:O12"/>
    <mergeCell ref="P12:P14"/>
    <mergeCell ref="E13:E14"/>
    <mergeCell ref="F13:F14"/>
    <mergeCell ref="G13:H13"/>
    <mergeCell ref="I13:I14"/>
    <mergeCell ref="J13:J14"/>
    <mergeCell ref="K13:K14"/>
    <mergeCell ref="L13:L14"/>
    <mergeCell ref="M13:N13"/>
    <mergeCell ref="O13:O14"/>
    <mergeCell ref="A10:B10"/>
    <mergeCell ref="A12:A14"/>
    <mergeCell ref="B12:B14"/>
    <mergeCell ref="C12:C14"/>
    <mergeCell ref="D12:D14"/>
    <mergeCell ref="E12:I12"/>
    <mergeCell ref="D309:P309"/>
    <mergeCell ref="A303:P303"/>
    <mergeCell ref="D308:P308"/>
    <mergeCell ref="K29:K30"/>
    <mergeCell ref="L29:L30"/>
    <mergeCell ref="M29:M30"/>
    <mergeCell ref="N29:N30"/>
    <mergeCell ref="O29:O30"/>
    <mergeCell ref="P29:P30"/>
    <mergeCell ref="E192:E193"/>
    <mergeCell ref="F192:F193"/>
    <mergeCell ref="G192:G193"/>
    <mergeCell ref="H192:H193"/>
    <mergeCell ref="I192:I193"/>
    <mergeCell ref="J192:J193"/>
    <mergeCell ref="A29:A30"/>
    <mergeCell ref="E29:E30"/>
    <mergeCell ref="F29:F30"/>
    <mergeCell ref="G29:G30"/>
    <mergeCell ref="H29:H30"/>
    <mergeCell ref="I29:I30"/>
    <mergeCell ref="B29:B30"/>
    <mergeCell ref="C29:C30"/>
    <mergeCell ref="J29:J30"/>
  </mergeCells>
  <conditionalFormatting sqref="Q293:R295 Q291:Q292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282:R283 Q284:Q286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291:R292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259:R261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251:Q257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251:R257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Q249:Q250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249:R250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284:R286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241:R242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241:Q247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R243:R247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270:R271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272:R276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270:Q276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R262:R268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Q277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Q27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Q280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Q278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  <rowBreaks count="3" manualBreakCount="3">
    <brk id="36" min="9" max="15" man="1"/>
    <brk id="78" max="15" man="1"/>
    <brk id="262" min="9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4"/>
  <dimension ref="A2:R166"/>
  <sheetViews>
    <sheetView showGridLines="0" view="pageBreakPreview" topLeftCell="B13" zoomScaleNormal="85" zoomScaleSheetLayoutView="100" workbookViewId="0">
      <selection activeCell="D21" sqref="D21:K21"/>
    </sheetView>
  </sheetViews>
  <sheetFormatPr defaultColWidth="7.85546875" defaultRowHeight="12.75" x14ac:dyDescent="0.2"/>
  <cols>
    <col min="1" max="1" width="0" style="8" hidden="1" customWidth="1"/>
    <col min="2" max="2" width="13" style="65" customWidth="1"/>
    <col min="3" max="3" width="13.5703125" style="65" customWidth="1"/>
    <col min="4" max="4" width="15.28515625" style="65" customWidth="1"/>
    <col min="5" max="5" width="38.85546875" style="65" customWidth="1"/>
    <col min="6" max="6" width="11.85546875" style="65" bestFit="1" customWidth="1"/>
    <col min="7" max="7" width="11.85546875" style="65" customWidth="1"/>
    <col min="8" max="8" width="13.28515625" style="65" customWidth="1"/>
    <col min="9" max="9" width="12.5703125" style="65" customWidth="1"/>
    <col min="10" max="10" width="12.140625" style="65" customWidth="1"/>
    <col min="11" max="11" width="18.140625" style="65" customWidth="1"/>
    <col min="12" max="12" width="13.5703125" style="65" customWidth="1"/>
    <col min="13" max="13" width="13" style="65" customWidth="1"/>
    <col min="14" max="14" width="11.42578125" style="65" customWidth="1"/>
    <col min="15" max="15" width="12.7109375" style="65" customWidth="1"/>
    <col min="16" max="16" width="12.5703125" style="65" customWidth="1"/>
    <col min="17" max="17" width="12.7109375" style="65" customWidth="1"/>
    <col min="18" max="18" width="10" style="285" bestFit="1" customWidth="1"/>
    <col min="19" max="16384" width="7.85546875" style="65"/>
  </cols>
  <sheetData>
    <row r="2" spans="1:18" ht="64.5" customHeight="1" x14ac:dyDescent="0.2">
      <c r="B2" s="8"/>
      <c r="C2" s="8"/>
      <c r="D2" s="8"/>
      <c r="M2" s="891" t="s">
        <v>1268</v>
      </c>
      <c r="N2" s="891"/>
      <c r="O2" s="891"/>
      <c r="P2" s="891"/>
      <c r="Q2" s="891"/>
    </row>
    <row r="3" spans="1:18" ht="18.75" x14ac:dyDescent="0.2">
      <c r="B3" s="877"/>
      <c r="C3" s="877"/>
      <c r="D3" s="8"/>
      <c r="E3" s="887" t="s">
        <v>713</v>
      </c>
      <c r="F3" s="887"/>
      <c r="G3" s="887"/>
      <c r="H3" s="887"/>
      <c r="I3" s="887"/>
      <c r="J3" s="887"/>
      <c r="K3" s="887"/>
      <c r="L3" s="887"/>
      <c r="M3" s="887"/>
      <c r="N3" s="67"/>
      <c r="O3" s="67"/>
      <c r="P3" s="67"/>
      <c r="Q3" s="67"/>
    </row>
    <row r="4" spans="1:18" s="240" customFormat="1" ht="21" customHeight="1" x14ac:dyDescent="0.2">
      <c r="A4" s="8"/>
      <c r="B4" s="238"/>
      <c r="C4" s="239"/>
      <c r="D4" s="69"/>
      <c r="E4" s="887" t="s">
        <v>712</v>
      </c>
      <c r="F4" s="888"/>
      <c r="G4" s="888"/>
      <c r="H4" s="888"/>
      <c r="I4" s="888"/>
      <c r="J4" s="888"/>
      <c r="K4" s="888"/>
      <c r="L4" s="888"/>
      <c r="M4" s="888"/>
      <c r="N4" s="8"/>
      <c r="O4" s="8"/>
      <c r="P4" s="8"/>
      <c r="Q4" s="70"/>
      <c r="R4" s="285"/>
    </row>
    <row r="5" spans="1:18" s="135" customFormat="1" ht="12" customHeight="1" x14ac:dyDescent="0.2">
      <c r="A5" s="8"/>
      <c r="B5" s="878">
        <v>22564000000</v>
      </c>
      <c r="C5" s="879"/>
      <c r="D5" s="69"/>
      <c r="E5" s="136"/>
      <c r="F5" s="136"/>
      <c r="G5" s="136"/>
      <c r="H5" s="136"/>
      <c r="I5" s="136"/>
      <c r="J5" s="136"/>
      <c r="K5" s="136"/>
      <c r="L5" s="136"/>
      <c r="M5" s="136"/>
      <c r="N5" s="8"/>
      <c r="O5" s="8"/>
      <c r="P5" s="8"/>
      <c r="Q5" s="70"/>
      <c r="R5" s="285"/>
    </row>
    <row r="6" spans="1:18" s="135" customFormat="1" ht="12" customHeight="1" x14ac:dyDescent="0.2">
      <c r="A6" s="8"/>
      <c r="B6" s="880" t="s">
        <v>546</v>
      </c>
      <c r="C6" s="881"/>
      <c r="D6" s="69"/>
      <c r="E6" s="136"/>
      <c r="F6" s="136"/>
      <c r="G6" s="136"/>
      <c r="H6" s="136"/>
      <c r="I6" s="136"/>
      <c r="J6" s="136"/>
      <c r="K6" s="136"/>
      <c r="L6" s="136"/>
      <c r="M6" s="136"/>
      <c r="N6" s="8"/>
      <c r="O6" s="8"/>
      <c r="P6" s="8"/>
      <c r="Q6" s="70"/>
      <c r="R6" s="285"/>
    </row>
    <row r="7" spans="1:18" ht="21" customHeight="1" thickBot="1" x14ac:dyDescent="0.35">
      <c r="B7" s="68"/>
      <c r="C7" s="68"/>
      <c r="D7" s="69"/>
      <c r="E7" s="66"/>
      <c r="F7" s="66"/>
      <c r="G7" s="66"/>
      <c r="H7" s="66"/>
      <c r="I7" s="66"/>
      <c r="J7" s="66"/>
      <c r="K7" s="66"/>
      <c r="L7" s="66"/>
      <c r="M7" s="66"/>
      <c r="N7" s="8"/>
      <c r="O7" s="8"/>
      <c r="P7" s="8"/>
      <c r="Q7" s="142" t="s">
        <v>441</v>
      </c>
    </row>
    <row r="8" spans="1:18" ht="17.45" customHeight="1" thickTop="1" thickBot="1" x14ac:dyDescent="0.25">
      <c r="A8" s="71"/>
      <c r="B8" s="883" t="s">
        <v>547</v>
      </c>
      <c r="C8" s="884" t="s">
        <v>548</v>
      </c>
      <c r="D8" s="884" t="s">
        <v>427</v>
      </c>
      <c r="E8" s="884" t="s">
        <v>716</v>
      </c>
      <c r="F8" s="883" t="s">
        <v>143</v>
      </c>
      <c r="G8" s="883"/>
      <c r="H8" s="883"/>
      <c r="I8" s="883"/>
      <c r="J8" s="883" t="s">
        <v>144</v>
      </c>
      <c r="K8" s="883"/>
      <c r="L8" s="883"/>
      <c r="M8" s="883"/>
      <c r="N8" s="883" t="s">
        <v>426</v>
      </c>
      <c r="O8" s="883"/>
      <c r="P8" s="883"/>
      <c r="Q8" s="883"/>
    </row>
    <row r="9" spans="1:18" ht="28.5" customHeight="1" thickTop="1" thickBot="1" x14ac:dyDescent="0.25">
      <c r="A9" s="72"/>
      <c r="B9" s="883"/>
      <c r="C9" s="860"/>
      <c r="D9" s="860"/>
      <c r="E9" s="885"/>
      <c r="F9" s="886" t="s">
        <v>423</v>
      </c>
      <c r="G9" s="886" t="s">
        <v>424</v>
      </c>
      <c r="H9" s="889"/>
      <c r="I9" s="886" t="s">
        <v>425</v>
      </c>
      <c r="J9" s="886" t="s">
        <v>423</v>
      </c>
      <c r="K9" s="886" t="s">
        <v>424</v>
      </c>
      <c r="L9" s="889"/>
      <c r="M9" s="886" t="s">
        <v>425</v>
      </c>
      <c r="N9" s="886" t="s">
        <v>423</v>
      </c>
      <c r="O9" s="886" t="s">
        <v>424</v>
      </c>
      <c r="P9" s="889"/>
      <c r="Q9" s="886" t="s">
        <v>425</v>
      </c>
    </row>
    <row r="10" spans="1:18" ht="65.25" customHeight="1" thickTop="1" thickBot="1" x14ac:dyDescent="0.25">
      <c r="A10" s="65"/>
      <c r="B10" s="883"/>
      <c r="C10" s="860"/>
      <c r="D10" s="860"/>
      <c r="E10" s="860"/>
      <c r="F10" s="886"/>
      <c r="G10" s="256" t="s">
        <v>421</v>
      </c>
      <c r="H10" s="256" t="s">
        <v>422</v>
      </c>
      <c r="I10" s="886"/>
      <c r="J10" s="886"/>
      <c r="K10" s="256" t="s">
        <v>421</v>
      </c>
      <c r="L10" s="256" t="s">
        <v>422</v>
      </c>
      <c r="M10" s="886"/>
      <c r="N10" s="886"/>
      <c r="O10" s="256" t="s">
        <v>421</v>
      </c>
      <c r="P10" s="256" t="s">
        <v>422</v>
      </c>
      <c r="Q10" s="886"/>
    </row>
    <row r="11" spans="1:18" ht="15" customHeight="1" thickTop="1" thickBot="1" x14ac:dyDescent="0.25">
      <c r="A11" s="65"/>
      <c r="B11" s="257">
        <v>1</v>
      </c>
      <c r="C11" s="258">
        <v>2</v>
      </c>
      <c r="D11" s="257">
        <v>3</v>
      </c>
      <c r="E11" s="258">
        <v>4</v>
      </c>
      <c r="F11" s="257">
        <v>5</v>
      </c>
      <c r="G11" s="258">
        <v>6</v>
      </c>
      <c r="H11" s="257">
        <v>7</v>
      </c>
      <c r="I11" s="258">
        <v>8</v>
      </c>
      <c r="J11" s="257">
        <v>9</v>
      </c>
      <c r="K11" s="258">
        <v>10</v>
      </c>
      <c r="L11" s="257">
        <v>11</v>
      </c>
      <c r="M11" s="258">
        <v>12</v>
      </c>
      <c r="N11" s="257">
        <v>13</v>
      </c>
      <c r="O11" s="258">
        <v>14</v>
      </c>
      <c r="P11" s="257">
        <v>15</v>
      </c>
      <c r="Q11" s="258">
        <v>16</v>
      </c>
    </row>
    <row r="12" spans="1:18" s="74" customFormat="1" ht="46.5" thickTop="1" thickBot="1" x14ac:dyDescent="0.25">
      <c r="A12" s="73"/>
      <c r="B12" s="688" t="s">
        <v>22</v>
      </c>
      <c r="C12" s="688"/>
      <c r="D12" s="688"/>
      <c r="E12" s="689" t="s">
        <v>23</v>
      </c>
      <c r="F12" s="690">
        <f>F13</f>
        <v>200000</v>
      </c>
      <c r="G12" s="690">
        <f t="shared" ref="G12:Q12" si="0">G13</f>
        <v>223742.2</v>
      </c>
      <c r="H12" s="690">
        <f t="shared" si="0"/>
        <v>0</v>
      </c>
      <c r="I12" s="690">
        <f>I13</f>
        <v>423742.2</v>
      </c>
      <c r="J12" s="690">
        <f t="shared" si="0"/>
        <v>0</v>
      </c>
      <c r="K12" s="690">
        <f t="shared" si="0"/>
        <v>-100000</v>
      </c>
      <c r="L12" s="690">
        <f t="shared" si="0"/>
        <v>0</v>
      </c>
      <c r="M12" s="690">
        <f>M13</f>
        <v>-100000</v>
      </c>
      <c r="N12" s="690">
        <f t="shared" si="0"/>
        <v>200000</v>
      </c>
      <c r="O12" s="690">
        <f t="shared" si="0"/>
        <v>123742.20000000001</v>
      </c>
      <c r="P12" s="690">
        <f t="shared" si="0"/>
        <v>0</v>
      </c>
      <c r="Q12" s="690">
        <f t="shared" si="0"/>
        <v>323742.2</v>
      </c>
      <c r="R12" s="286"/>
    </row>
    <row r="13" spans="1:18" ht="44.25" thickTop="1" thickBot="1" x14ac:dyDescent="0.25">
      <c r="B13" s="691" t="s">
        <v>21</v>
      </c>
      <c r="C13" s="691"/>
      <c r="D13" s="691"/>
      <c r="E13" s="692" t="s">
        <v>37</v>
      </c>
      <c r="F13" s="693">
        <f>F17</f>
        <v>200000</v>
      </c>
      <c r="G13" s="693">
        <f t="shared" ref="G13:H13" si="1">G17</f>
        <v>223742.2</v>
      </c>
      <c r="H13" s="693">
        <f t="shared" si="1"/>
        <v>0</v>
      </c>
      <c r="I13" s="693">
        <f>I17</f>
        <v>423742.2</v>
      </c>
      <c r="J13" s="693">
        <f>J18</f>
        <v>0</v>
      </c>
      <c r="K13" s="693">
        <f>K18+K17+K19</f>
        <v>-100000</v>
      </c>
      <c r="L13" s="693">
        <f t="shared" ref="L13" si="2">L18</f>
        <v>0</v>
      </c>
      <c r="M13" s="693">
        <f>M18+M17+M19</f>
        <v>-100000</v>
      </c>
      <c r="N13" s="693">
        <f>N18+N17+N19</f>
        <v>200000</v>
      </c>
      <c r="O13" s="693">
        <f>O18+O17+O19</f>
        <v>123742.20000000001</v>
      </c>
      <c r="P13" s="693">
        <f>P18+P17+P19</f>
        <v>0</v>
      </c>
      <c r="Q13" s="693">
        <f>Q18+Q17+Q19</f>
        <v>323742.2</v>
      </c>
    </row>
    <row r="14" spans="1:18" s="548" customFormat="1" ht="15.75" thickTop="1" thickBot="1" x14ac:dyDescent="0.25">
      <c r="A14" s="8"/>
      <c r="B14" s="586" t="s">
        <v>1056</v>
      </c>
      <c r="C14" s="586" t="s">
        <v>892</v>
      </c>
      <c r="D14" s="586"/>
      <c r="E14" s="587" t="s">
        <v>1057</v>
      </c>
      <c r="F14" s="584">
        <f>F15</f>
        <v>200000</v>
      </c>
      <c r="G14" s="584">
        <f t="shared" ref="G14:Q15" si="3">G15</f>
        <v>223742.2</v>
      </c>
      <c r="H14" s="584">
        <f t="shared" si="3"/>
        <v>0</v>
      </c>
      <c r="I14" s="584">
        <f t="shared" si="3"/>
        <v>423742.2</v>
      </c>
      <c r="J14" s="584">
        <f t="shared" si="3"/>
        <v>0</v>
      </c>
      <c r="K14" s="584">
        <f t="shared" si="3"/>
        <v>-100000</v>
      </c>
      <c r="L14" s="584">
        <f t="shared" si="3"/>
        <v>0</v>
      </c>
      <c r="M14" s="584">
        <f t="shared" si="3"/>
        <v>-100000</v>
      </c>
      <c r="N14" s="584">
        <f t="shared" si="3"/>
        <v>200000</v>
      </c>
      <c r="O14" s="584">
        <f t="shared" si="3"/>
        <v>123742.20000000001</v>
      </c>
      <c r="P14" s="584">
        <f t="shared" si="3"/>
        <v>0</v>
      </c>
      <c r="Q14" s="584">
        <f t="shared" si="3"/>
        <v>323742.2</v>
      </c>
      <c r="R14" s="285"/>
    </row>
    <row r="15" spans="1:18" s="548" customFormat="1" ht="16.5" thickTop="1" thickBot="1" x14ac:dyDescent="0.25">
      <c r="A15" s="8"/>
      <c r="B15" s="588" t="s">
        <v>1058</v>
      </c>
      <c r="C15" s="588" t="s">
        <v>1059</v>
      </c>
      <c r="D15" s="588"/>
      <c r="E15" s="581" t="s">
        <v>1060</v>
      </c>
      <c r="F15" s="589">
        <f>F16</f>
        <v>200000</v>
      </c>
      <c r="G15" s="589">
        <f t="shared" si="3"/>
        <v>223742.2</v>
      </c>
      <c r="H15" s="589">
        <f t="shared" si="3"/>
        <v>0</v>
      </c>
      <c r="I15" s="589">
        <f t="shared" si="3"/>
        <v>423742.2</v>
      </c>
      <c r="J15" s="589">
        <f t="shared" si="3"/>
        <v>0</v>
      </c>
      <c r="K15" s="589">
        <f t="shared" si="3"/>
        <v>-100000</v>
      </c>
      <c r="L15" s="589">
        <f t="shared" si="3"/>
        <v>0</v>
      </c>
      <c r="M15" s="589">
        <f t="shared" si="3"/>
        <v>-100000</v>
      </c>
      <c r="N15" s="589">
        <f t="shared" si="3"/>
        <v>200000</v>
      </c>
      <c r="O15" s="589">
        <f t="shared" si="3"/>
        <v>123742.20000000001</v>
      </c>
      <c r="P15" s="589">
        <f t="shared" si="3"/>
        <v>0</v>
      </c>
      <c r="Q15" s="589">
        <f t="shared" si="3"/>
        <v>323742.2</v>
      </c>
      <c r="R15" s="285"/>
    </row>
    <row r="16" spans="1:18" s="548" customFormat="1" ht="76.5" thickTop="1" thickBot="1" x14ac:dyDescent="0.25">
      <c r="A16" s="8"/>
      <c r="B16" s="329" t="s">
        <v>1061</v>
      </c>
      <c r="C16" s="583" t="s">
        <v>1062</v>
      </c>
      <c r="D16" s="583"/>
      <c r="E16" s="582" t="s">
        <v>1094</v>
      </c>
      <c r="F16" s="585">
        <f>SUM(F17:F18)</f>
        <v>200000</v>
      </c>
      <c r="G16" s="585">
        <f t="shared" ref="G16:Q16" si="4">SUM(G17:G18)</f>
        <v>223742.2</v>
      </c>
      <c r="H16" s="585">
        <f t="shared" si="4"/>
        <v>0</v>
      </c>
      <c r="I16" s="585">
        <f t="shared" si="4"/>
        <v>423742.2</v>
      </c>
      <c r="J16" s="585">
        <f t="shared" si="4"/>
        <v>0</v>
      </c>
      <c r="K16" s="585">
        <f t="shared" si="4"/>
        <v>-100000</v>
      </c>
      <c r="L16" s="585">
        <f t="shared" si="4"/>
        <v>0</v>
      </c>
      <c r="M16" s="585">
        <f t="shared" si="4"/>
        <v>-100000</v>
      </c>
      <c r="N16" s="585">
        <f t="shared" si="4"/>
        <v>200000</v>
      </c>
      <c r="O16" s="585">
        <f t="shared" si="4"/>
        <v>123742.20000000001</v>
      </c>
      <c r="P16" s="585">
        <f t="shared" si="4"/>
        <v>0</v>
      </c>
      <c r="Q16" s="585">
        <f t="shared" si="4"/>
        <v>323742.2</v>
      </c>
      <c r="R16" s="285"/>
    </row>
    <row r="17" spans="1:18" ht="76.5" thickTop="1" thickBot="1" x14ac:dyDescent="0.25">
      <c r="B17" s="329" t="s">
        <v>503</v>
      </c>
      <c r="C17" s="329" t="s">
        <v>505</v>
      </c>
      <c r="D17" s="329" t="s">
        <v>52</v>
      </c>
      <c r="E17" s="330" t="s">
        <v>1096</v>
      </c>
      <c r="F17" s="331">
        <v>200000</v>
      </c>
      <c r="G17" s="331">
        <f>(100000)+123742.2</f>
        <v>223742.2</v>
      </c>
      <c r="H17" s="331">
        <v>0</v>
      </c>
      <c r="I17" s="331">
        <f>F17+G17</f>
        <v>423742.2</v>
      </c>
      <c r="J17" s="331">
        <v>0</v>
      </c>
      <c r="K17" s="331">
        <v>0</v>
      </c>
      <c r="L17" s="331"/>
      <c r="M17" s="331">
        <f>J17+K17</f>
        <v>0</v>
      </c>
      <c r="N17" s="331">
        <f>F17+J17</f>
        <v>200000</v>
      </c>
      <c r="O17" s="331">
        <f>G17+K17</f>
        <v>223742.2</v>
      </c>
      <c r="P17" s="331"/>
      <c r="Q17" s="331">
        <f>I17+M17</f>
        <v>423742.2</v>
      </c>
    </row>
    <row r="18" spans="1:18" ht="76.5" thickTop="1" thickBot="1" x14ac:dyDescent="0.25">
      <c r="B18" s="329" t="s">
        <v>504</v>
      </c>
      <c r="C18" s="329" t="s">
        <v>506</v>
      </c>
      <c r="D18" s="329" t="s">
        <v>52</v>
      </c>
      <c r="E18" s="330" t="s">
        <v>1095</v>
      </c>
      <c r="F18" s="331"/>
      <c r="G18" s="331">
        <f>H18+I18</f>
        <v>0</v>
      </c>
      <c r="H18" s="331"/>
      <c r="I18" s="331"/>
      <c r="J18" s="331"/>
      <c r="K18" s="331">
        <v>-100000</v>
      </c>
      <c r="L18" s="331"/>
      <c r="M18" s="331">
        <f>J18+K18</f>
        <v>-100000</v>
      </c>
      <c r="N18" s="331">
        <f>F18+J18</f>
        <v>0</v>
      </c>
      <c r="O18" s="331">
        <v>-100000</v>
      </c>
      <c r="P18" s="331"/>
      <c r="Q18" s="331">
        <f>I18+M18</f>
        <v>-100000</v>
      </c>
    </row>
    <row r="19" spans="1:18" s="155" customFormat="1" ht="61.5" hidden="1" thickTop="1" thickBot="1" x14ac:dyDescent="0.25">
      <c r="A19" s="8"/>
      <c r="B19" s="329" t="s">
        <v>562</v>
      </c>
      <c r="C19" s="329" t="s">
        <v>563</v>
      </c>
      <c r="D19" s="329" t="s">
        <v>52</v>
      </c>
      <c r="E19" s="330" t="s">
        <v>561</v>
      </c>
      <c r="F19" s="331"/>
      <c r="G19" s="331"/>
      <c r="H19" s="331"/>
      <c r="I19" s="331"/>
      <c r="J19" s="331"/>
      <c r="K19" s="331"/>
      <c r="L19" s="331"/>
      <c r="M19" s="331">
        <f>J19+K19</f>
        <v>0</v>
      </c>
      <c r="N19" s="331"/>
      <c r="O19" s="331">
        <f>G19+K19</f>
        <v>0</v>
      </c>
      <c r="P19" s="331"/>
      <c r="Q19" s="331">
        <f>I19+M19</f>
        <v>0</v>
      </c>
      <c r="R19" s="285"/>
    </row>
    <row r="20" spans="1:18" ht="27.75" customHeight="1" thickTop="1" thickBot="1" x14ac:dyDescent="0.25">
      <c r="B20" s="332" t="s">
        <v>418</v>
      </c>
      <c r="C20" s="332" t="s">
        <v>418</v>
      </c>
      <c r="D20" s="332" t="s">
        <v>418</v>
      </c>
      <c r="E20" s="333" t="s">
        <v>428</v>
      </c>
      <c r="F20" s="328">
        <f t="shared" ref="F20:M20" si="5">F12</f>
        <v>200000</v>
      </c>
      <c r="G20" s="328">
        <f t="shared" si="5"/>
        <v>223742.2</v>
      </c>
      <c r="H20" s="328">
        <f t="shared" si="5"/>
        <v>0</v>
      </c>
      <c r="I20" s="328">
        <f>I12</f>
        <v>423742.2</v>
      </c>
      <c r="J20" s="328">
        <f t="shared" si="5"/>
        <v>0</v>
      </c>
      <c r="K20" s="328">
        <f t="shared" si="5"/>
        <v>-100000</v>
      </c>
      <c r="L20" s="328">
        <f t="shared" si="5"/>
        <v>0</v>
      </c>
      <c r="M20" s="328">
        <f t="shared" si="5"/>
        <v>-100000</v>
      </c>
      <c r="N20" s="328">
        <f>N17+N18</f>
        <v>200000</v>
      </c>
      <c r="O20" s="328">
        <f>O17+O18</f>
        <v>123742.20000000001</v>
      </c>
      <c r="P20" s="328">
        <f>P17+P18</f>
        <v>0</v>
      </c>
      <c r="Q20" s="328">
        <f>Q17+Q18</f>
        <v>323742.2</v>
      </c>
    </row>
    <row r="21" spans="1:18" s="170" customFormat="1" ht="27.75" customHeight="1" thickTop="1" x14ac:dyDescent="0.25">
      <c r="A21" s="162"/>
      <c r="B21" s="168"/>
      <c r="C21" s="168"/>
      <c r="D21" s="203" t="s">
        <v>1272</v>
      </c>
      <c r="E21" s="204"/>
      <c r="F21" s="204"/>
      <c r="G21" s="204"/>
      <c r="H21" s="203"/>
      <c r="I21" s="196"/>
      <c r="J21" s="196"/>
      <c r="K21" s="203" t="s">
        <v>1273</v>
      </c>
      <c r="L21" s="169"/>
      <c r="M21" s="169"/>
      <c r="N21" s="169"/>
      <c r="O21" s="169"/>
      <c r="P21" s="169"/>
      <c r="Q21" s="169"/>
      <c r="R21" s="287"/>
    </row>
    <row r="22" spans="1:18" s="170" customFormat="1" ht="27.75" customHeight="1" x14ac:dyDescent="0.25">
      <c r="A22" s="162"/>
      <c r="B22" s="168"/>
      <c r="C22" s="177"/>
      <c r="D22" s="203" t="s">
        <v>621</v>
      </c>
      <c r="E22" s="204"/>
      <c r="F22" s="204"/>
      <c r="G22" s="204"/>
      <c r="H22" s="203"/>
      <c r="I22" s="196"/>
      <c r="J22" s="196"/>
      <c r="K22" s="203" t="s">
        <v>622</v>
      </c>
      <c r="L22" s="197"/>
      <c r="M22" s="197"/>
      <c r="N22" s="178"/>
      <c r="O22" s="178"/>
      <c r="P22" s="178"/>
      <c r="Q22" s="169"/>
      <c r="R22" s="287"/>
    </row>
    <row r="23" spans="1:18" ht="39.75" hidden="1" customHeight="1" x14ac:dyDescent="0.25">
      <c r="B23" s="101"/>
      <c r="C23" s="176"/>
      <c r="D23" s="890" t="s">
        <v>624</v>
      </c>
      <c r="E23" s="890"/>
      <c r="F23" s="890"/>
      <c r="G23" s="890"/>
      <c r="H23" s="890"/>
      <c r="I23" s="890"/>
      <c r="J23" s="890"/>
      <c r="K23" s="890"/>
      <c r="L23" s="890"/>
      <c r="M23" s="890"/>
      <c r="N23" s="890"/>
      <c r="O23" s="890"/>
      <c r="P23" s="890"/>
      <c r="Q23" s="102"/>
    </row>
    <row r="24" spans="1:18" ht="15.75" customHeight="1" x14ac:dyDescent="0.25">
      <c r="B24" s="101"/>
      <c r="C24" s="101"/>
      <c r="D24" s="890"/>
      <c r="E24" s="890"/>
      <c r="F24" s="890"/>
      <c r="G24" s="890"/>
      <c r="H24" s="890"/>
      <c r="I24" s="890"/>
      <c r="J24" s="890"/>
      <c r="K24" s="890"/>
      <c r="L24" s="890"/>
      <c r="M24" s="890"/>
      <c r="N24" s="890"/>
      <c r="O24" s="890"/>
      <c r="P24" s="890"/>
      <c r="Q24" s="102"/>
    </row>
    <row r="25" spans="1:18" ht="15" x14ac:dyDescent="0.25">
      <c r="D25" s="890"/>
      <c r="E25" s="890"/>
      <c r="F25" s="890"/>
      <c r="G25" s="890"/>
      <c r="H25" s="890"/>
      <c r="I25" s="890"/>
      <c r="J25" s="890"/>
      <c r="K25" s="890"/>
      <c r="L25" s="890"/>
      <c r="M25" s="890"/>
      <c r="N25" s="890"/>
      <c r="O25" s="890"/>
      <c r="P25" s="890"/>
    </row>
    <row r="26" spans="1:18" ht="15" x14ac:dyDescent="0.25">
      <c r="D26" s="890"/>
      <c r="E26" s="890"/>
      <c r="F26" s="890"/>
      <c r="G26" s="890"/>
      <c r="H26" s="890"/>
      <c r="I26" s="890"/>
      <c r="J26" s="890"/>
      <c r="K26" s="890"/>
      <c r="L26" s="890"/>
      <c r="M26" s="890"/>
      <c r="N26" s="890"/>
      <c r="O26" s="890"/>
      <c r="P26" s="890"/>
    </row>
    <row r="27" spans="1:18" ht="15" x14ac:dyDescent="0.2">
      <c r="D27" s="103"/>
      <c r="E27" s="104"/>
      <c r="F27" s="105"/>
      <c r="G27" s="103">
        <f>H27+I27</f>
        <v>0</v>
      </c>
      <c r="H27" s="103"/>
      <c r="I27" s="106"/>
      <c r="J27" s="104"/>
      <c r="K27" s="106"/>
      <c r="L27" s="103"/>
      <c r="M27" s="103"/>
      <c r="N27" s="106"/>
      <c r="O27" s="107"/>
      <c r="P27" s="108"/>
    </row>
    <row r="28" spans="1:18" ht="15" x14ac:dyDescent="0.25">
      <c r="D28" s="109"/>
      <c r="E28" s="109"/>
      <c r="F28" s="109"/>
      <c r="G28" s="109">
        <f>H28+I28</f>
        <v>0</v>
      </c>
      <c r="H28" s="109"/>
      <c r="I28" s="109"/>
      <c r="J28" s="109"/>
      <c r="K28" s="109"/>
      <c r="L28" s="109"/>
      <c r="M28" s="109"/>
      <c r="N28" s="109"/>
      <c r="O28" s="109"/>
      <c r="P28" s="109"/>
    </row>
    <row r="29" spans="1:18" x14ac:dyDescent="0.2">
      <c r="G29" s="65">
        <f>H29+I29</f>
        <v>0</v>
      </c>
    </row>
    <row r="30" spans="1:18" x14ac:dyDescent="0.2">
      <c r="G30" s="65">
        <f>H30+I30</f>
        <v>0</v>
      </c>
    </row>
    <row r="31" spans="1:18" x14ac:dyDescent="0.2">
      <c r="G31" s="65">
        <f>H31+I31</f>
        <v>0</v>
      </c>
    </row>
    <row r="53" spans="7:7" x14ac:dyDescent="0.2">
      <c r="G53" s="65">
        <f>H53+I53</f>
        <v>0</v>
      </c>
    </row>
    <row r="55" spans="7:7" x14ac:dyDescent="0.2">
      <c r="G55" s="65">
        <f t="shared" ref="G55:G73" si="6">H55+I55</f>
        <v>0</v>
      </c>
    </row>
    <row r="56" spans="7:7" x14ac:dyDescent="0.2">
      <c r="G56" s="65">
        <f t="shared" si="6"/>
        <v>0</v>
      </c>
    </row>
    <row r="57" spans="7:7" x14ac:dyDescent="0.2">
      <c r="G57" s="65">
        <f t="shared" si="6"/>
        <v>0</v>
      </c>
    </row>
    <row r="58" spans="7:7" x14ac:dyDescent="0.2">
      <c r="G58" s="65">
        <f t="shared" si="6"/>
        <v>0</v>
      </c>
    </row>
    <row r="59" spans="7:7" x14ac:dyDescent="0.2">
      <c r="G59" s="65">
        <f t="shared" si="6"/>
        <v>0</v>
      </c>
    </row>
    <row r="60" spans="7:7" x14ac:dyDescent="0.2">
      <c r="G60" s="65">
        <f t="shared" si="6"/>
        <v>0</v>
      </c>
    </row>
    <row r="61" spans="7:7" x14ac:dyDescent="0.2">
      <c r="G61" s="65">
        <f t="shared" si="6"/>
        <v>0</v>
      </c>
    </row>
    <row r="62" spans="7:7" x14ac:dyDescent="0.2">
      <c r="G62" s="65">
        <f t="shared" si="6"/>
        <v>0</v>
      </c>
    </row>
    <row r="63" spans="7:7" x14ac:dyDescent="0.2">
      <c r="G63" s="65">
        <f t="shared" si="6"/>
        <v>0</v>
      </c>
    </row>
    <row r="64" spans="7:7" x14ac:dyDescent="0.2">
      <c r="G64" s="65">
        <f t="shared" si="6"/>
        <v>0</v>
      </c>
    </row>
    <row r="65" spans="7:7" x14ac:dyDescent="0.2">
      <c r="G65" s="65">
        <f t="shared" si="6"/>
        <v>0</v>
      </c>
    </row>
    <row r="66" spans="7:7" x14ac:dyDescent="0.2">
      <c r="G66" s="65">
        <f t="shared" si="6"/>
        <v>0</v>
      </c>
    </row>
    <row r="67" spans="7:7" x14ac:dyDescent="0.2">
      <c r="G67" s="65">
        <f t="shared" si="6"/>
        <v>0</v>
      </c>
    </row>
    <row r="68" spans="7:7" x14ac:dyDescent="0.2">
      <c r="G68" s="65">
        <f t="shared" si="6"/>
        <v>0</v>
      </c>
    </row>
    <row r="69" spans="7:7" x14ac:dyDescent="0.2">
      <c r="G69" s="65">
        <f t="shared" si="6"/>
        <v>0</v>
      </c>
    </row>
    <row r="70" spans="7:7" x14ac:dyDescent="0.2">
      <c r="G70" s="65">
        <f t="shared" si="6"/>
        <v>0</v>
      </c>
    </row>
    <row r="71" spans="7:7" x14ac:dyDescent="0.2">
      <c r="G71" s="65">
        <f t="shared" si="6"/>
        <v>0</v>
      </c>
    </row>
    <row r="72" spans="7:7" x14ac:dyDescent="0.2">
      <c r="G72" s="65">
        <f t="shared" si="6"/>
        <v>0</v>
      </c>
    </row>
    <row r="73" spans="7:7" x14ac:dyDescent="0.2">
      <c r="G73" s="65">
        <f t="shared" si="6"/>
        <v>0</v>
      </c>
    </row>
    <row r="75" spans="7:7" x14ac:dyDescent="0.2">
      <c r="G75" s="65">
        <f>H75+I75</f>
        <v>0</v>
      </c>
    </row>
    <row r="76" spans="7:7" x14ac:dyDescent="0.2">
      <c r="G76" s="65">
        <f>H76+I76</f>
        <v>0</v>
      </c>
    </row>
    <row r="77" spans="7:7" x14ac:dyDescent="0.2">
      <c r="G77" s="65">
        <f>H77+I77</f>
        <v>0</v>
      </c>
    </row>
    <row r="78" spans="7:7" x14ac:dyDescent="0.2">
      <c r="G78" s="65">
        <f>H78+I78</f>
        <v>0</v>
      </c>
    </row>
    <row r="80" spans="7:7" x14ac:dyDescent="0.2">
      <c r="G80" s="65">
        <f>H80+I80</f>
        <v>0</v>
      </c>
    </row>
    <row r="83" spans="7:7" x14ac:dyDescent="0.2">
      <c r="G83" s="882"/>
    </row>
    <row r="84" spans="7:7" x14ac:dyDescent="0.2">
      <c r="G84" s="810"/>
    </row>
    <row r="120" spans="7:7" x14ac:dyDescent="0.2">
      <c r="G120" s="65">
        <f>H120+I120</f>
        <v>0</v>
      </c>
    </row>
    <row r="122" spans="7:7" x14ac:dyDescent="0.2">
      <c r="G122" s="65">
        <f t="shared" ref="G122:G132" si="7">H122+I122</f>
        <v>0</v>
      </c>
    </row>
    <row r="123" spans="7:7" x14ac:dyDescent="0.2">
      <c r="G123" s="65">
        <f t="shared" si="7"/>
        <v>0</v>
      </c>
    </row>
    <row r="124" spans="7:7" x14ac:dyDescent="0.2">
      <c r="G124" s="65">
        <f t="shared" si="7"/>
        <v>0</v>
      </c>
    </row>
    <row r="125" spans="7:7" x14ac:dyDescent="0.2">
      <c r="G125" s="65">
        <f t="shared" si="7"/>
        <v>0</v>
      </c>
    </row>
    <row r="126" spans="7:7" x14ac:dyDescent="0.2">
      <c r="G126" s="65">
        <f t="shared" si="7"/>
        <v>0</v>
      </c>
    </row>
    <row r="127" spans="7:7" x14ac:dyDescent="0.2">
      <c r="G127" s="65">
        <f t="shared" si="7"/>
        <v>0</v>
      </c>
    </row>
    <row r="128" spans="7:7" x14ac:dyDescent="0.2">
      <c r="G128" s="65">
        <f t="shared" si="7"/>
        <v>0</v>
      </c>
    </row>
    <row r="129" spans="7:10" x14ac:dyDescent="0.2">
      <c r="G129" s="65">
        <f t="shared" si="7"/>
        <v>0</v>
      </c>
    </row>
    <row r="130" spans="7:10" x14ac:dyDescent="0.2">
      <c r="G130" s="65">
        <f t="shared" si="7"/>
        <v>0</v>
      </c>
    </row>
    <row r="131" spans="7:10" x14ac:dyDescent="0.2">
      <c r="G131" s="65">
        <f t="shared" si="7"/>
        <v>0</v>
      </c>
    </row>
    <row r="132" spans="7:10" x14ac:dyDescent="0.2">
      <c r="G132" s="65">
        <f t="shared" si="7"/>
        <v>0</v>
      </c>
    </row>
    <row r="134" spans="7:10" x14ac:dyDescent="0.2">
      <c r="G134" s="65">
        <f>H135+I135</f>
        <v>0</v>
      </c>
    </row>
    <row r="135" spans="7:10" x14ac:dyDescent="0.2">
      <c r="G135" s="65">
        <f t="shared" ref="G135" si="8">H135+I135</f>
        <v>0</v>
      </c>
    </row>
    <row r="136" spans="7:10" x14ac:dyDescent="0.2">
      <c r="G136" s="65">
        <f>H136+I136</f>
        <v>0</v>
      </c>
    </row>
    <row r="137" spans="7:10" x14ac:dyDescent="0.2">
      <c r="G137" s="65">
        <f>H137+I137</f>
        <v>0</v>
      </c>
    </row>
    <row r="138" spans="7:10" x14ac:dyDescent="0.2">
      <c r="G138" s="65">
        <f>H138+I138</f>
        <v>0</v>
      </c>
    </row>
    <row r="139" spans="7:10" x14ac:dyDescent="0.2">
      <c r="G139" s="65">
        <f>H139+I139</f>
        <v>0</v>
      </c>
    </row>
    <row r="144" spans="7:10" ht="46.5" x14ac:dyDescent="0.65">
      <c r="J144" s="127"/>
    </row>
    <row r="147" spans="7:10" ht="46.5" x14ac:dyDescent="0.65">
      <c r="G147" s="127">
        <f>H147+I147</f>
        <v>0</v>
      </c>
      <c r="J147" s="127"/>
    </row>
    <row r="166" spans="11:11" ht="90" x14ac:dyDescent="1.1499999999999999">
      <c r="K166" s="125" t="b">
        <f>G166=H166+I166</f>
        <v>1</v>
      </c>
    </row>
  </sheetData>
  <mergeCells count="27">
    <mergeCell ref="O9:P9"/>
    <mergeCell ref="D26:P26"/>
    <mergeCell ref="D23:P23"/>
    <mergeCell ref="D25:P25"/>
    <mergeCell ref="M2:Q2"/>
    <mergeCell ref="E3:M3"/>
    <mergeCell ref="J8:M8"/>
    <mergeCell ref="N8:Q8"/>
    <mergeCell ref="Q9:Q10"/>
    <mergeCell ref="M9:M10"/>
    <mergeCell ref="N9:N10"/>
    <mergeCell ref="J9:J10"/>
    <mergeCell ref="D24:P24"/>
    <mergeCell ref="G9:H9"/>
    <mergeCell ref="K9:L9"/>
    <mergeCell ref="B3:C3"/>
    <mergeCell ref="B5:C5"/>
    <mergeCell ref="B6:C6"/>
    <mergeCell ref="G83:G84"/>
    <mergeCell ref="B8:B10"/>
    <mergeCell ref="C8:C10"/>
    <mergeCell ref="D8:D10"/>
    <mergeCell ref="E8:E10"/>
    <mergeCell ref="F8:I8"/>
    <mergeCell ref="F9:F10"/>
    <mergeCell ref="I9:I10"/>
    <mergeCell ref="E4:M4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1"/>
  <sheetViews>
    <sheetView view="pageBreakPreview" topLeftCell="A44" zoomScale="40" zoomScaleNormal="25" zoomScaleSheetLayoutView="40" zoomScalePageLayoutView="10" workbookViewId="0">
      <selection activeCell="O50" sqref="O50"/>
    </sheetView>
  </sheetViews>
  <sheetFormatPr defaultColWidth="9.140625" defaultRowHeight="12.75" x14ac:dyDescent="0.2"/>
  <cols>
    <col min="1" max="1" width="62.28515625" style="1" customWidth="1"/>
    <col min="2" max="2" width="49.140625" style="1" customWidth="1"/>
    <col min="3" max="3" width="131.5703125" style="1" customWidth="1"/>
    <col min="4" max="4" width="69.7109375" style="1" customWidth="1"/>
    <col min="5" max="5" width="32.42578125" style="346" customWidth="1"/>
    <col min="6" max="6" width="29.85546875" style="346" customWidth="1"/>
    <col min="7" max="16384" width="9.140625" style="346"/>
  </cols>
  <sheetData>
    <row r="1" spans="1:15" ht="48.75" customHeight="1" x14ac:dyDescent="0.35">
      <c r="B1" s="362"/>
      <c r="C1" s="362"/>
      <c r="D1" s="369" t="s">
        <v>756</v>
      </c>
      <c r="E1" s="363"/>
      <c r="F1" s="363"/>
      <c r="G1" s="363"/>
      <c r="H1" s="363"/>
    </row>
    <row r="2" spans="1:15" ht="84.75" customHeight="1" x14ac:dyDescent="0.35">
      <c r="A2" s="347"/>
      <c r="B2" s="362"/>
      <c r="C2" s="362"/>
      <c r="D2" s="369" t="s">
        <v>1269</v>
      </c>
      <c r="E2" s="363"/>
      <c r="F2" s="363"/>
      <c r="G2" s="363"/>
      <c r="H2" s="363"/>
    </row>
    <row r="3" spans="1:15" ht="40.700000000000003" customHeight="1" x14ac:dyDescent="0.2">
      <c r="A3" s="347"/>
      <c r="B3" s="347"/>
      <c r="C3" s="355"/>
      <c r="D3" s="348"/>
      <c r="N3" s="849"/>
      <c r="O3" s="849"/>
    </row>
    <row r="4" spans="1:15" ht="45.75" hidden="1" x14ac:dyDescent="0.2">
      <c r="A4" s="347"/>
      <c r="B4" s="347"/>
      <c r="C4" s="355"/>
      <c r="D4" s="348"/>
      <c r="N4" s="849"/>
      <c r="O4" s="851"/>
    </row>
    <row r="5" spans="1:15" ht="45.75" x14ac:dyDescent="0.2">
      <c r="A5" s="852" t="s">
        <v>720</v>
      </c>
      <c r="B5" s="852"/>
      <c r="C5" s="852"/>
      <c r="D5" s="852"/>
      <c r="N5" s="849"/>
      <c r="O5" s="851"/>
    </row>
    <row r="6" spans="1:15" ht="45" x14ac:dyDescent="0.2">
      <c r="A6" s="852" t="s">
        <v>638</v>
      </c>
      <c r="B6" s="852"/>
      <c r="C6" s="852"/>
      <c r="D6" s="852"/>
    </row>
    <row r="7" spans="1:15" ht="45" x14ac:dyDescent="0.2">
      <c r="A7" s="852"/>
      <c r="B7" s="852"/>
      <c r="C7" s="852"/>
      <c r="D7" s="852"/>
    </row>
    <row r="8" spans="1:15" ht="45.75" x14ac:dyDescent="0.65">
      <c r="A8" s="853">
        <v>22564000000</v>
      </c>
      <c r="B8" s="820"/>
      <c r="C8" s="820"/>
      <c r="D8" s="820"/>
    </row>
    <row r="9" spans="1:15" ht="45.75" x14ac:dyDescent="0.2">
      <c r="A9" s="858" t="s">
        <v>546</v>
      </c>
      <c r="B9" s="820"/>
      <c r="C9" s="820"/>
      <c r="D9" s="820"/>
    </row>
    <row r="10" spans="1:15" s="350" customFormat="1" ht="45.75" x14ac:dyDescent="0.2">
      <c r="A10" s="357"/>
      <c r="B10" s="351"/>
      <c r="C10" s="351"/>
      <c r="D10" s="351"/>
    </row>
    <row r="11" spans="1:15" ht="53.45" customHeight="1" x14ac:dyDescent="0.2">
      <c r="A11" s="852" t="s">
        <v>760</v>
      </c>
      <c r="B11" s="850"/>
      <c r="C11" s="850"/>
      <c r="D11" s="850"/>
    </row>
    <row r="12" spans="1:15" s="350" customFormat="1" ht="45" x14ac:dyDescent="0.2">
      <c r="A12" s="356"/>
      <c r="B12" s="354"/>
      <c r="C12" s="354"/>
      <c r="D12" s="354"/>
    </row>
    <row r="13" spans="1:15" s="350" customFormat="1" ht="53.45" customHeight="1" thickBot="1" x14ac:dyDescent="0.25">
      <c r="A13" s="356"/>
      <c r="B13" s="356"/>
      <c r="C13" s="356"/>
      <c r="D13" s="6" t="s">
        <v>441</v>
      </c>
    </row>
    <row r="14" spans="1:15" ht="140.25" customHeight="1" thickTop="1" thickBot="1" x14ac:dyDescent="0.25">
      <c r="A14" s="324" t="s">
        <v>762</v>
      </c>
      <c r="B14" s="895" t="s">
        <v>761</v>
      </c>
      <c r="C14" s="896"/>
      <c r="D14" s="324" t="s">
        <v>420</v>
      </c>
    </row>
    <row r="15" spans="1:15" s="2" customFormat="1" ht="47.25" thickTop="1" thickBot="1" x14ac:dyDescent="0.25">
      <c r="A15" s="360" t="s">
        <v>2</v>
      </c>
      <c r="B15" s="897" t="s">
        <v>3</v>
      </c>
      <c r="C15" s="896"/>
      <c r="D15" s="360" t="s">
        <v>14</v>
      </c>
    </row>
    <row r="16" spans="1:15" s="2" customFormat="1" ht="66.75" customHeight="1" thickTop="1" thickBot="1" x14ac:dyDescent="0.25">
      <c r="A16" s="892" t="s">
        <v>763</v>
      </c>
      <c r="B16" s="893"/>
      <c r="C16" s="893"/>
      <c r="D16" s="894"/>
    </row>
    <row r="17" spans="1:4" s="2" customFormat="1" ht="47.25" thickTop="1" thickBot="1" x14ac:dyDescent="0.25">
      <c r="A17" s="366" t="s">
        <v>774</v>
      </c>
      <c r="B17" s="898" t="s">
        <v>480</v>
      </c>
      <c r="C17" s="899"/>
      <c r="D17" s="374">
        <v>623112400</v>
      </c>
    </row>
    <row r="18" spans="1:4" s="2" customFormat="1" ht="47.25" thickTop="1" thickBot="1" x14ac:dyDescent="0.25">
      <c r="A18" s="366" t="s">
        <v>773</v>
      </c>
      <c r="B18" s="898" t="s">
        <v>797</v>
      </c>
      <c r="C18" s="900"/>
      <c r="D18" s="368">
        <v>623112400</v>
      </c>
    </row>
    <row r="19" spans="1:4" s="2" customFormat="1" ht="47.25" thickTop="1" thickBot="1" x14ac:dyDescent="0.25">
      <c r="A19" s="307" t="s">
        <v>718</v>
      </c>
      <c r="B19" s="901" t="s">
        <v>719</v>
      </c>
      <c r="C19" s="902"/>
      <c r="D19" s="308">
        <v>623112400</v>
      </c>
    </row>
    <row r="20" spans="1:4" s="2" customFormat="1" ht="85.5" customHeight="1" thickTop="1" thickBot="1" x14ac:dyDescent="0.25">
      <c r="A20" s="366" t="s">
        <v>789</v>
      </c>
      <c r="B20" s="898" t="s">
        <v>378</v>
      </c>
      <c r="C20" s="900"/>
      <c r="D20" s="374">
        <f>D21</f>
        <v>12117934</v>
      </c>
    </row>
    <row r="21" spans="1:4" s="2" customFormat="1" ht="193.5" customHeight="1" thickTop="1" thickBot="1" x14ac:dyDescent="0.25">
      <c r="A21" s="366" t="s">
        <v>790</v>
      </c>
      <c r="B21" s="898" t="s">
        <v>798</v>
      </c>
      <c r="C21" s="900"/>
      <c r="D21" s="368">
        <f>D22</f>
        <v>12117934</v>
      </c>
    </row>
    <row r="22" spans="1:4" s="2" customFormat="1" ht="66.75" customHeight="1" thickTop="1" thickBot="1" x14ac:dyDescent="0.25">
      <c r="A22" s="307" t="s">
        <v>787</v>
      </c>
      <c r="B22" s="901" t="s">
        <v>788</v>
      </c>
      <c r="C22" s="902"/>
      <c r="D22" s="370">
        <v>12117934</v>
      </c>
    </row>
    <row r="23" spans="1:4" s="2" customFormat="1" ht="66.75" customHeight="1" thickTop="1" thickBot="1" x14ac:dyDescent="0.25">
      <c r="A23" s="366" t="s">
        <v>791</v>
      </c>
      <c r="B23" s="898" t="s">
        <v>792</v>
      </c>
      <c r="C23" s="900"/>
      <c r="D23" s="374">
        <f>D24+D25+D27+D26</f>
        <v>24303274</v>
      </c>
    </row>
    <row r="24" spans="1:4" s="2" customFormat="1" ht="142.5" customHeight="1" thickTop="1" thickBot="1" x14ac:dyDescent="0.25">
      <c r="A24" s="366" t="s">
        <v>793</v>
      </c>
      <c r="B24" s="898" t="s">
        <v>794</v>
      </c>
      <c r="C24" s="900"/>
      <c r="D24" s="368">
        <v>7340558</v>
      </c>
    </row>
    <row r="25" spans="1:4" s="2" customFormat="1" ht="136.5" customHeight="1" thickTop="1" thickBot="1" x14ac:dyDescent="0.25">
      <c r="A25" s="366" t="s">
        <v>795</v>
      </c>
      <c r="B25" s="898" t="s">
        <v>794</v>
      </c>
      <c r="C25" s="900"/>
      <c r="D25" s="374">
        <v>7118182</v>
      </c>
    </row>
    <row r="26" spans="1:4" s="2" customFormat="1" ht="47.25" thickTop="1" thickBot="1" x14ac:dyDescent="0.25">
      <c r="A26" s="366">
        <v>41053900</v>
      </c>
      <c r="B26" s="898" t="s">
        <v>400</v>
      </c>
      <c r="C26" s="900"/>
      <c r="D26" s="374">
        <v>707334</v>
      </c>
    </row>
    <row r="27" spans="1:4" s="2" customFormat="1" ht="149.25" customHeight="1" thickTop="1" thickBot="1" x14ac:dyDescent="0.25">
      <c r="A27" s="366" t="s">
        <v>796</v>
      </c>
      <c r="B27" s="898" t="s">
        <v>799</v>
      </c>
      <c r="C27" s="900"/>
      <c r="D27" s="374">
        <v>9137200</v>
      </c>
    </row>
    <row r="28" spans="1:4" s="2" customFormat="1" ht="66.75" customHeight="1" thickTop="1" thickBot="1" x14ac:dyDescent="0.25">
      <c r="A28" s="307" t="s">
        <v>787</v>
      </c>
      <c r="B28" s="901" t="s">
        <v>788</v>
      </c>
      <c r="C28" s="902"/>
      <c r="D28" s="370">
        <v>24303274</v>
      </c>
    </row>
    <row r="29" spans="1:4" ht="61.5" customHeight="1" thickTop="1" thickBot="1" x14ac:dyDescent="0.25">
      <c r="A29" s="892" t="s">
        <v>764</v>
      </c>
      <c r="B29" s="893"/>
      <c r="C29" s="893"/>
      <c r="D29" s="894"/>
    </row>
    <row r="30" spans="1:4" ht="47.25" thickTop="1" thickBot="1" x14ac:dyDescent="0.25">
      <c r="A30" s="360"/>
      <c r="B30" s="901"/>
      <c r="C30" s="902"/>
      <c r="D30" s="358">
        <v>0</v>
      </c>
    </row>
    <row r="31" spans="1:4" ht="81" customHeight="1" thickTop="1" thickBot="1" x14ac:dyDescent="0.25">
      <c r="A31" s="752" t="s">
        <v>418</v>
      </c>
      <c r="B31" s="903" t="s">
        <v>765</v>
      </c>
      <c r="C31" s="904"/>
      <c r="D31" s="753">
        <f>D32+D33</f>
        <v>659533608</v>
      </c>
    </row>
    <row r="32" spans="1:4" s="350" customFormat="1" ht="47.25" thickTop="1" thickBot="1" x14ac:dyDescent="0.25">
      <c r="A32" s="360" t="s">
        <v>418</v>
      </c>
      <c r="B32" s="901" t="s">
        <v>423</v>
      </c>
      <c r="C32" s="902"/>
      <c r="D32" s="358">
        <f>D28+D22+D19</f>
        <v>659533608</v>
      </c>
    </row>
    <row r="33" spans="1:6" s="350" customFormat="1" ht="47.25" thickTop="1" thickBot="1" x14ac:dyDescent="0.25">
      <c r="A33" s="360" t="s">
        <v>418</v>
      </c>
      <c r="B33" s="901" t="s">
        <v>424</v>
      </c>
      <c r="C33" s="902"/>
      <c r="D33" s="358">
        <v>0</v>
      </c>
    </row>
    <row r="34" spans="1:6" s="350" customFormat="1" ht="31.7" customHeight="1" thickTop="1" x14ac:dyDescent="0.2">
      <c r="A34" s="352"/>
      <c r="B34" s="353"/>
      <c r="C34" s="353"/>
      <c r="D34" s="353"/>
    </row>
    <row r="35" spans="1:6" s="350" customFormat="1" ht="31.7" customHeight="1" x14ac:dyDescent="0.2">
      <c r="A35" s="352"/>
      <c r="B35" s="353"/>
      <c r="C35" s="353"/>
      <c r="D35" s="353"/>
    </row>
    <row r="36" spans="1:6" s="350" customFormat="1" ht="60" customHeight="1" x14ac:dyDescent="0.2">
      <c r="A36" s="852" t="s">
        <v>766</v>
      </c>
      <c r="B36" s="850"/>
      <c r="C36" s="850"/>
      <c r="D36" s="850"/>
    </row>
    <row r="37" spans="1:6" s="350" customFormat="1" ht="45" x14ac:dyDescent="0.2">
      <c r="A37" s="356"/>
      <c r="B37" s="354"/>
      <c r="C37" s="354"/>
      <c r="D37" s="354"/>
    </row>
    <row r="38" spans="1:6" s="350" customFormat="1" ht="54" customHeight="1" thickBot="1" x14ac:dyDescent="0.25">
      <c r="A38" s="352"/>
      <c r="B38" s="353"/>
      <c r="C38" s="353"/>
      <c r="D38" s="6" t="s">
        <v>441</v>
      </c>
    </row>
    <row r="39" spans="1:6" s="350" customFormat="1" ht="325.5" customHeight="1" thickTop="1" thickBot="1" x14ac:dyDescent="0.25">
      <c r="A39" s="324" t="s">
        <v>767</v>
      </c>
      <c r="B39" s="361" t="s">
        <v>548</v>
      </c>
      <c r="C39" s="324" t="s">
        <v>768</v>
      </c>
      <c r="D39" s="324" t="s">
        <v>420</v>
      </c>
    </row>
    <row r="40" spans="1:6" s="350" customFormat="1" ht="50.25" customHeight="1" thickTop="1" thickBot="1" x14ac:dyDescent="0.25">
      <c r="A40" s="360" t="s">
        <v>2</v>
      </c>
      <c r="B40" s="360" t="s">
        <v>3</v>
      </c>
      <c r="C40" s="360"/>
      <c r="D40" s="360" t="s">
        <v>14</v>
      </c>
    </row>
    <row r="41" spans="1:6" s="350" customFormat="1" ht="65.25" customHeight="1" thickTop="1" thickBot="1" x14ac:dyDescent="0.25">
      <c r="A41" s="892" t="s">
        <v>769</v>
      </c>
      <c r="B41" s="893"/>
      <c r="C41" s="893"/>
      <c r="D41" s="894"/>
    </row>
    <row r="42" spans="1:6" s="350" customFormat="1" ht="230.25" thickTop="1" thickBot="1" x14ac:dyDescent="0.25">
      <c r="A42" s="366" t="s">
        <v>270</v>
      </c>
      <c r="B42" s="366" t="s">
        <v>271</v>
      </c>
      <c r="C42" s="367" t="s">
        <v>486</v>
      </c>
      <c r="D42" s="368">
        <f>SUM(D43:D44)</f>
        <v>300000</v>
      </c>
      <c r="E42" s="359" t="b">
        <f>D42='d3'!E37</f>
        <v>1</v>
      </c>
      <c r="F42" s="2"/>
    </row>
    <row r="43" spans="1:6" s="350" customFormat="1" ht="93" thickTop="1" thickBot="1" x14ac:dyDescent="0.25">
      <c r="A43" s="307" t="s">
        <v>717</v>
      </c>
      <c r="B43" s="307"/>
      <c r="C43" s="364" t="s">
        <v>724</v>
      </c>
      <c r="D43" s="308">
        <v>150000</v>
      </c>
      <c r="E43" s="2"/>
      <c r="F43" s="2"/>
    </row>
    <row r="44" spans="1:6" s="350" customFormat="1" ht="93" thickTop="1" thickBot="1" x14ac:dyDescent="0.25">
      <c r="A44" s="307" t="s">
        <v>725</v>
      </c>
      <c r="B44" s="307"/>
      <c r="C44" s="364" t="s">
        <v>726</v>
      </c>
      <c r="D44" s="308">
        <v>150000</v>
      </c>
      <c r="E44" s="2"/>
      <c r="F44" s="2"/>
    </row>
    <row r="45" spans="1:6" s="350" customFormat="1" ht="47.25" thickTop="1" thickBot="1" x14ac:dyDescent="0.25">
      <c r="A45" s="366" t="s">
        <v>721</v>
      </c>
      <c r="B45" s="366" t="s">
        <v>399</v>
      </c>
      <c r="C45" s="367" t="s">
        <v>400</v>
      </c>
      <c r="D45" s="368">
        <f>SUM(D46)</f>
        <v>120100</v>
      </c>
      <c r="E45" s="359" t="b">
        <f>D45='d3'!E38</f>
        <v>1</v>
      </c>
      <c r="F45" s="2"/>
    </row>
    <row r="46" spans="1:6" s="350" customFormat="1" ht="93" thickTop="1" thickBot="1" x14ac:dyDescent="0.25">
      <c r="A46" s="307" t="s">
        <v>722</v>
      </c>
      <c r="B46" s="307"/>
      <c r="C46" s="364" t="s">
        <v>723</v>
      </c>
      <c r="D46" s="308">
        <v>120100</v>
      </c>
      <c r="E46" s="2"/>
      <c r="F46" s="2"/>
    </row>
    <row r="47" spans="1:6" s="741" customFormat="1" ht="184.5" thickTop="1" thickBot="1" x14ac:dyDescent="0.25">
      <c r="A47" s="366" t="s">
        <v>572</v>
      </c>
      <c r="B47" s="366" t="s">
        <v>573</v>
      </c>
      <c r="C47" s="367" t="s">
        <v>574</v>
      </c>
      <c r="D47" s="368">
        <f>D48</f>
        <v>2700000</v>
      </c>
      <c r="E47" s="744" t="b">
        <f>D47='d3'!E39</f>
        <v>1</v>
      </c>
      <c r="F47" s="2"/>
    </row>
    <row r="48" spans="1:6" s="741" customFormat="1" ht="47.25" thickTop="1" thickBot="1" x14ac:dyDescent="0.25">
      <c r="A48" s="749" t="s">
        <v>1097</v>
      </c>
      <c r="B48" s="749"/>
      <c r="C48" s="364" t="s">
        <v>719</v>
      </c>
      <c r="D48" s="308">
        <f>500000+400000+80000+400000+80000+60000+200000+80000+300000+500000+100000</f>
        <v>2700000</v>
      </c>
      <c r="E48" s="2"/>
      <c r="F48" s="2"/>
    </row>
    <row r="49" spans="1:6" s="350" customFormat="1" ht="47.25" thickTop="1" thickBot="1" x14ac:dyDescent="0.25">
      <c r="A49" s="366" t="s">
        <v>746</v>
      </c>
      <c r="B49" s="366" t="s">
        <v>399</v>
      </c>
      <c r="C49" s="367" t="s">
        <v>400</v>
      </c>
      <c r="D49" s="368">
        <f>SUM(D50)</f>
        <v>558137</v>
      </c>
      <c r="E49" s="359" t="b">
        <f>D49='d3'!E147</f>
        <v>1</v>
      </c>
      <c r="F49" s="2"/>
    </row>
    <row r="50" spans="1:6" s="350" customFormat="1" ht="93" thickTop="1" thickBot="1" x14ac:dyDescent="0.25">
      <c r="A50" s="307" t="s">
        <v>727</v>
      </c>
      <c r="B50" s="307"/>
      <c r="C50" s="364" t="s">
        <v>728</v>
      </c>
      <c r="D50" s="308">
        <v>558137</v>
      </c>
      <c r="E50" s="2"/>
      <c r="F50" s="2"/>
    </row>
    <row r="51" spans="1:6" s="642" customFormat="1" ht="47.25" thickTop="1" thickBot="1" x14ac:dyDescent="0.25">
      <c r="A51" s="647" t="s">
        <v>1151</v>
      </c>
      <c r="B51" s="647" t="s">
        <v>399</v>
      </c>
      <c r="C51" s="648" t="s">
        <v>400</v>
      </c>
      <c r="D51" s="649">
        <f>SUM(D52)</f>
        <v>700000</v>
      </c>
      <c r="E51" s="744" t="b">
        <f>D51='d3'!E268</f>
        <v>1</v>
      </c>
      <c r="F51" s="2"/>
    </row>
    <row r="52" spans="1:6" s="642" customFormat="1" ht="47.25" thickTop="1" thickBot="1" x14ac:dyDescent="0.25">
      <c r="A52" s="645" t="s">
        <v>787</v>
      </c>
      <c r="B52" s="645"/>
      <c r="C52" s="650" t="s">
        <v>788</v>
      </c>
      <c r="D52" s="651">
        <v>700000</v>
      </c>
      <c r="E52" s="2"/>
      <c r="F52" s="2"/>
    </row>
    <row r="53" spans="1:6" s="350" customFormat="1" ht="47.25" thickTop="1" thickBot="1" x14ac:dyDescent="0.25">
      <c r="A53" s="366" t="s">
        <v>771</v>
      </c>
      <c r="B53" s="366" t="s">
        <v>772</v>
      </c>
      <c r="C53" s="367" t="s">
        <v>497</v>
      </c>
      <c r="D53" s="368">
        <f>SUM(D54)</f>
        <v>73303900</v>
      </c>
      <c r="E53" s="744" t="b">
        <f>D53='d3'!E301</f>
        <v>1</v>
      </c>
      <c r="F53" s="2"/>
    </row>
    <row r="54" spans="1:6" s="350" customFormat="1" ht="47.25" thickTop="1" thickBot="1" x14ac:dyDescent="0.25">
      <c r="A54" s="307" t="s">
        <v>1097</v>
      </c>
      <c r="B54" s="307"/>
      <c r="C54" s="364" t="s">
        <v>719</v>
      </c>
      <c r="D54" s="308">
        <v>73303900</v>
      </c>
      <c r="E54" s="2"/>
      <c r="F54" s="2"/>
    </row>
    <row r="55" spans="1:6" s="350" customFormat="1" ht="77.25" customHeight="1" thickTop="1" thickBot="1" x14ac:dyDescent="0.25">
      <c r="A55" s="892" t="s">
        <v>770</v>
      </c>
      <c r="B55" s="893"/>
      <c r="C55" s="893"/>
      <c r="D55" s="894"/>
      <c r="E55" s="2"/>
      <c r="F55" s="2"/>
    </row>
    <row r="56" spans="1:6" s="741" customFormat="1" ht="205.5" customHeight="1" thickTop="1" thickBot="1" x14ac:dyDescent="0.25">
      <c r="A56" s="366" t="s">
        <v>572</v>
      </c>
      <c r="B56" s="366" t="s">
        <v>573</v>
      </c>
      <c r="C56" s="367" t="s">
        <v>574</v>
      </c>
      <c r="D56" s="649">
        <f>D57</f>
        <v>960000</v>
      </c>
      <c r="E56" s="744" t="b">
        <f>D56='d3'!J39</f>
        <v>1</v>
      </c>
      <c r="F56" s="2"/>
    </row>
    <row r="57" spans="1:6" s="741" customFormat="1" ht="77.25" customHeight="1" thickTop="1" thickBot="1" x14ac:dyDescent="0.25">
      <c r="A57" s="749" t="s">
        <v>1097</v>
      </c>
      <c r="B57" s="749"/>
      <c r="C57" s="364" t="s">
        <v>719</v>
      </c>
      <c r="D57" s="308">
        <f>80000+300000+500000+80000</f>
        <v>960000</v>
      </c>
      <c r="E57" s="2"/>
      <c r="F57" s="2"/>
    </row>
    <row r="58" spans="1:6" s="350" customFormat="1" ht="47.25" thickTop="1" thickBot="1" x14ac:dyDescent="0.25">
      <c r="A58" s="647" t="s">
        <v>1151</v>
      </c>
      <c r="B58" s="647" t="s">
        <v>399</v>
      </c>
      <c r="C58" s="648" t="s">
        <v>400</v>
      </c>
      <c r="D58" s="649">
        <f>SUM(D59)</f>
        <v>1000000</v>
      </c>
      <c r="E58" s="744" t="b">
        <f>D58='d3'!J268</f>
        <v>1</v>
      </c>
      <c r="F58" s="2"/>
    </row>
    <row r="59" spans="1:6" s="642" customFormat="1" ht="47.25" thickTop="1" thickBot="1" x14ac:dyDescent="0.25">
      <c r="A59" s="645" t="s">
        <v>787</v>
      </c>
      <c r="B59" s="645"/>
      <c r="C59" s="650" t="s">
        <v>788</v>
      </c>
      <c r="D59" s="651">
        <v>1000000</v>
      </c>
      <c r="E59" s="2"/>
      <c r="F59" s="2"/>
    </row>
    <row r="60" spans="1:6" s="350" customFormat="1" ht="84.75" customHeight="1" thickTop="1" thickBot="1" x14ac:dyDescent="0.25">
      <c r="A60" s="752" t="s">
        <v>418</v>
      </c>
      <c r="B60" s="752" t="s">
        <v>418</v>
      </c>
      <c r="C60" s="754" t="s">
        <v>765</v>
      </c>
      <c r="D60" s="753">
        <f>D49+D45+D42+D53+D51+D58+D47+D56</f>
        <v>79642137</v>
      </c>
      <c r="E60" s="744" t="b">
        <f>D60=D61+D62</f>
        <v>1</v>
      </c>
      <c r="F60" s="741"/>
    </row>
    <row r="61" spans="1:6" ht="47.25" thickTop="1" thickBot="1" x14ac:dyDescent="0.25">
      <c r="A61" s="360" t="s">
        <v>418</v>
      </c>
      <c r="B61" s="360" t="s">
        <v>418</v>
      </c>
      <c r="C61" s="365" t="s">
        <v>423</v>
      </c>
      <c r="D61" s="358">
        <f>'d3'!E299+'d3'!E266+'d3'!E145+'d3'!E35</f>
        <v>77682137</v>
      </c>
      <c r="E61" s="644" t="b">
        <f>D61=D42+D45+D49+D51+D53+D47</f>
        <v>1</v>
      </c>
      <c r="F61" s="2"/>
    </row>
    <row r="62" spans="1:6" s="350" customFormat="1" ht="47.25" thickTop="1" thickBot="1" x14ac:dyDescent="0.25">
      <c r="A62" s="360" t="s">
        <v>418</v>
      </c>
      <c r="B62" s="360" t="s">
        <v>418</v>
      </c>
      <c r="C62" s="365" t="s">
        <v>424</v>
      </c>
      <c r="D62" s="358">
        <f>'d3'!J35+'d3'!J145+'d3'!J266+'d3'!J299</f>
        <v>1960000</v>
      </c>
      <c r="E62" s="644" t="b">
        <f>D62=D58+D56</f>
        <v>1</v>
      </c>
      <c r="F62" s="2"/>
    </row>
    <row r="63" spans="1:6" s="350" customFormat="1" ht="31.7" customHeight="1" thickTop="1" x14ac:dyDescent="0.2">
      <c r="A63" s="352"/>
      <c r="B63" s="353"/>
      <c r="C63" s="353"/>
      <c r="D63" s="353"/>
    </row>
    <row r="64" spans="1:6" s="350" customFormat="1" ht="31.7" customHeight="1" x14ac:dyDescent="0.2">
      <c r="A64" s="352"/>
      <c r="B64" s="353"/>
      <c r="C64" s="353"/>
      <c r="D64" s="353"/>
    </row>
    <row r="65" spans="1:9" s="350" customFormat="1" ht="31.7" customHeight="1" x14ac:dyDescent="0.2">
      <c r="A65" s="352"/>
      <c r="B65" s="353"/>
      <c r="C65" s="353"/>
      <c r="D65" s="353"/>
    </row>
    <row r="66" spans="1:9" ht="45" customHeight="1" x14ac:dyDescent="0.65">
      <c r="A66" s="349"/>
      <c r="B66" s="202" t="s">
        <v>1272</v>
      </c>
      <c r="C66" s="202"/>
      <c r="D66" s="202" t="s">
        <v>1273</v>
      </c>
      <c r="E66" s="204"/>
      <c r="F66" s="203"/>
      <c r="G66" s="196"/>
      <c r="H66" s="196"/>
      <c r="I66" s="203"/>
    </row>
    <row r="67" spans="1:9" ht="61.5" customHeight="1" x14ac:dyDescent="0.65">
      <c r="A67" s="347"/>
      <c r="B67" s="814"/>
      <c r="C67" s="814"/>
      <c r="D67" s="814"/>
    </row>
    <row r="68" spans="1:9" ht="45.75" x14ac:dyDescent="0.65">
      <c r="B68" s="202" t="s">
        <v>621</v>
      </c>
      <c r="C68" s="202"/>
      <c r="D68" s="202" t="s">
        <v>622</v>
      </c>
    </row>
    <row r="69" spans="1:9" ht="45.75" x14ac:dyDescent="0.65">
      <c r="B69" s="814"/>
      <c r="C69" s="814"/>
      <c r="D69" s="814"/>
    </row>
    <row r="72" spans="1:9" x14ac:dyDescent="0.2">
      <c r="A72" s="346"/>
      <c r="B72" s="346"/>
      <c r="C72" s="350"/>
    </row>
    <row r="74" spans="1:9" x14ac:dyDescent="0.2">
      <c r="A74" s="346"/>
      <c r="B74" s="346"/>
      <c r="C74" s="350"/>
    </row>
    <row r="78" spans="1:9" x14ac:dyDescent="0.2">
      <c r="A78" s="346"/>
      <c r="B78" s="346"/>
      <c r="C78" s="350"/>
      <c r="D78" s="346"/>
    </row>
    <row r="79" spans="1:9" x14ac:dyDescent="0.2">
      <c r="A79" s="346"/>
      <c r="B79" s="346"/>
      <c r="C79" s="350"/>
      <c r="D79" s="346"/>
    </row>
    <row r="80" spans="1:9" x14ac:dyDescent="0.2">
      <c r="A80" s="346"/>
      <c r="B80" s="346"/>
      <c r="C80" s="350"/>
      <c r="D80" s="346"/>
    </row>
    <row r="81" spans="1:4" x14ac:dyDescent="0.2">
      <c r="A81" s="346"/>
      <c r="B81" s="346"/>
      <c r="C81" s="350"/>
      <c r="D81" s="346"/>
    </row>
  </sheetData>
  <mergeCells count="34">
    <mergeCell ref="B26:C26"/>
    <mergeCell ref="B67:D67"/>
    <mergeCell ref="B69:D69"/>
    <mergeCell ref="A41:D41"/>
    <mergeCell ref="A55:D55"/>
    <mergeCell ref="B30:C30"/>
    <mergeCell ref="B32:C32"/>
    <mergeCell ref="B33:C33"/>
    <mergeCell ref="B31:C31"/>
    <mergeCell ref="A16:D16"/>
    <mergeCell ref="A29:D29"/>
    <mergeCell ref="A36:D36"/>
    <mergeCell ref="B14:C14"/>
    <mergeCell ref="B15:C15"/>
    <mergeCell ref="B17:C17"/>
    <mergeCell ref="B20:C20"/>
    <mergeCell ref="B21:C21"/>
    <mergeCell ref="B23:C23"/>
    <mergeCell ref="B24:C24"/>
    <mergeCell ref="B25:C25"/>
    <mergeCell ref="B27:C27"/>
    <mergeCell ref="B19:C19"/>
    <mergeCell ref="B18:C18"/>
    <mergeCell ref="B22:C22"/>
    <mergeCell ref="B28:C28"/>
    <mergeCell ref="A5:D5"/>
    <mergeCell ref="A6:D6"/>
    <mergeCell ref="A7:D7"/>
    <mergeCell ref="A11:D11"/>
    <mergeCell ref="N3:O3"/>
    <mergeCell ref="N4:O4"/>
    <mergeCell ref="N5:O5"/>
    <mergeCell ref="A8:D8"/>
    <mergeCell ref="A9:D9"/>
  </mergeCells>
  <pageMargins left="0.23622047244094491" right="0.27559055118110237" top="0.27559055118110237" bottom="0.15748031496062992" header="0.23622047244094491" footer="0.27559055118110237"/>
  <pageSetup paperSize="9" scale="32" fitToHeight="0" orientation="portrait" r:id="rId1"/>
  <headerFooter alignWithMargins="0">
    <oddFooter>&amp;C&amp;"Times New Roman Cyr,курсив"Сторінка &amp;P з &amp;N</oddFooter>
  </headerFooter>
  <rowBreaks count="2" manualBreakCount="2">
    <brk id="35" max="3" man="1"/>
    <brk id="68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85"/>
  <sheetViews>
    <sheetView view="pageBreakPreview" topLeftCell="B1" zoomScale="70" zoomScaleNormal="40" zoomScaleSheetLayoutView="70" workbookViewId="0">
      <pane ySplit="11" topLeftCell="A164" activePane="bottomLeft" state="frozen"/>
      <selection activeCell="F175" sqref="F175"/>
      <selection pane="bottomLeft" activeCell="J166" sqref="J166"/>
    </sheetView>
  </sheetViews>
  <sheetFormatPr defaultColWidth="7.85546875" defaultRowHeight="12.75" x14ac:dyDescent="0.2"/>
  <cols>
    <col min="1" max="1" width="3.28515625" style="314" hidden="1" customWidth="1"/>
    <col min="2" max="3" width="15.42578125" style="776" customWidth="1"/>
    <col min="4" max="4" width="16.85546875" style="776" customWidth="1"/>
    <col min="5" max="5" width="41.5703125" style="776" customWidth="1"/>
    <col min="6" max="6" width="38.5703125" style="776" customWidth="1"/>
    <col min="7" max="11" width="18.140625" style="789" customWidth="1"/>
    <col min="12" max="12" width="30.7109375" style="314" customWidth="1"/>
    <col min="13" max="13" width="16.5703125" style="314" customWidth="1"/>
    <col min="14" max="14" width="13.7109375" style="314" customWidth="1"/>
    <col min="15" max="15" width="12.7109375" style="314" customWidth="1"/>
    <col min="16" max="16384" width="7.85546875" style="314"/>
  </cols>
  <sheetData>
    <row r="1" spans="2:11" s="7" customFormat="1" ht="22.7" customHeight="1" x14ac:dyDescent="0.25">
      <c r="B1" s="909"/>
      <c r="C1" s="909"/>
      <c r="D1" s="909"/>
      <c r="E1" s="909"/>
      <c r="F1" s="909"/>
      <c r="G1" s="909"/>
      <c r="H1" s="909"/>
      <c r="I1" s="909"/>
      <c r="J1" s="909"/>
      <c r="K1" s="909"/>
    </row>
    <row r="2" spans="2:11" ht="41.25" customHeight="1" x14ac:dyDescent="0.2">
      <c r="G2" s="891" t="s">
        <v>1270</v>
      </c>
      <c r="H2" s="891"/>
      <c r="I2" s="891"/>
      <c r="J2" s="891"/>
      <c r="K2" s="891"/>
    </row>
    <row r="3" spans="2:11" ht="29.25" customHeight="1" x14ac:dyDescent="0.2">
      <c r="G3" s="770"/>
      <c r="H3" s="770"/>
      <c r="I3" s="770"/>
      <c r="J3" s="770"/>
      <c r="K3" s="770"/>
    </row>
    <row r="4" spans="2:11" ht="31.5" customHeight="1" x14ac:dyDescent="0.2">
      <c r="B4" s="910" t="s">
        <v>705</v>
      </c>
      <c r="C4" s="887"/>
      <c r="D4" s="887"/>
      <c r="E4" s="887"/>
      <c r="F4" s="887"/>
      <c r="G4" s="887"/>
      <c r="H4" s="887"/>
      <c r="I4" s="887"/>
      <c r="J4" s="887"/>
      <c r="K4" s="887"/>
    </row>
    <row r="5" spans="2:11" ht="57" customHeight="1" x14ac:dyDescent="0.2">
      <c r="B5" s="910" t="s">
        <v>755</v>
      </c>
      <c r="C5" s="887"/>
      <c r="D5" s="887"/>
      <c r="E5" s="887"/>
      <c r="F5" s="887"/>
      <c r="G5" s="887"/>
      <c r="H5" s="887"/>
      <c r="I5" s="887"/>
      <c r="J5" s="887"/>
      <c r="K5" s="887"/>
    </row>
    <row r="6" spans="2:11" ht="22.5" x14ac:dyDescent="0.2">
      <c r="B6" s="772"/>
      <c r="C6" s="769"/>
      <c r="D6" s="769"/>
      <c r="E6" s="769"/>
      <c r="F6" s="769"/>
      <c r="G6" s="769"/>
      <c r="H6" s="769"/>
      <c r="I6" s="769"/>
      <c r="J6" s="769"/>
      <c r="K6" s="769"/>
    </row>
    <row r="7" spans="2:11" ht="18.75" x14ac:dyDescent="0.2">
      <c r="B7" s="911">
        <v>22564000000</v>
      </c>
      <c r="C7" s="912"/>
      <c r="D7" s="769"/>
      <c r="E7" s="769"/>
      <c r="F7" s="769"/>
      <c r="G7" s="769"/>
      <c r="H7" s="769"/>
      <c r="I7" s="769"/>
      <c r="J7" s="769"/>
      <c r="K7" s="769"/>
    </row>
    <row r="8" spans="2:11" ht="18.75" x14ac:dyDescent="0.2">
      <c r="B8" s="913" t="s">
        <v>546</v>
      </c>
      <c r="C8" s="914"/>
      <c r="D8" s="769"/>
      <c r="E8" s="769"/>
      <c r="F8" s="769"/>
      <c r="G8" s="769"/>
      <c r="H8" s="769"/>
      <c r="I8" s="769"/>
      <c r="J8" s="769"/>
      <c r="K8" s="769"/>
    </row>
    <row r="9" spans="2:11" ht="6" customHeight="1" thickBot="1" x14ac:dyDescent="0.25">
      <c r="B9" s="777"/>
      <c r="C9" s="778"/>
      <c r="D9" s="769"/>
      <c r="E9" s="769"/>
      <c r="F9" s="769"/>
      <c r="G9" s="769"/>
      <c r="H9" s="769"/>
      <c r="I9" s="769"/>
      <c r="J9" s="769"/>
      <c r="K9" s="769"/>
    </row>
    <row r="10" spans="2:11" ht="120" customHeight="1" thickTop="1" thickBot="1" x14ac:dyDescent="0.25">
      <c r="B10" s="159" t="s">
        <v>547</v>
      </c>
      <c r="C10" s="159" t="s">
        <v>548</v>
      </c>
      <c r="D10" s="159" t="s">
        <v>427</v>
      </c>
      <c r="E10" s="159" t="s">
        <v>716</v>
      </c>
      <c r="F10" s="160" t="s">
        <v>584</v>
      </c>
      <c r="G10" s="160" t="s">
        <v>585</v>
      </c>
      <c r="H10" s="160" t="s">
        <v>586</v>
      </c>
      <c r="I10" s="160" t="s">
        <v>587</v>
      </c>
      <c r="J10" s="160" t="s">
        <v>588</v>
      </c>
      <c r="K10" s="160" t="s">
        <v>589</v>
      </c>
    </row>
    <row r="11" spans="2:11" ht="20.25" customHeight="1" thickTop="1" thickBot="1" x14ac:dyDescent="0.25">
      <c r="B11" s="156">
        <v>1</v>
      </c>
      <c r="C11" s="156">
        <v>2</v>
      </c>
      <c r="D11" s="156">
        <v>3</v>
      </c>
      <c r="E11" s="156">
        <v>4</v>
      </c>
      <c r="F11" s="156">
        <v>5</v>
      </c>
      <c r="G11" s="156">
        <v>6</v>
      </c>
      <c r="H11" s="156">
        <v>7</v>
      </c>
      <c r="I11" s="156">
        <v>8</v>
      </c>
      <c r="J11" s="156">
        <v>9</v>
      </c>
      <c r="K11" s="156">
        <v>10</v>
      </c>
    </row>
    <row r="12" spans="2:11" ht="39.75" customHeight="1" thickTop="1" thickBot="1" x14ac:dyDescent="0.25">
      <c r="B12" s="688" t="s">
        <v>169</v>
      </c>
      <c r="C12" s="688"/>
      <c r="D12" s="688"/>
      <c r="E12" s="689" t="s">
        <v>171</v>
      </c>
      <c r="F12" s="694"/>
      <c r="G12" s="690"/>
      <c r="H12" s="690"/>
      <c r="I12" s="690"/>
      <c r="J12" s="694">
        <f>J13</f>
        <v>5314500</v>
      </c>
      <c r="K12" s="694"/>
    </row>
    <row r="13" spans="2:11" ht="47.25" customHeight="1" thickTop="1" thickBot="1" x14ac:dyDescent="0.25">
      <c r="B13" s="691" t="s">
        <v>170</v>
      </c>
      <c r="C13" s="691"/>
      <c r="D13" s="691"/>
      <c r="E13" s="692" t="s">
        <v>172</v>
      </c>
      <c r="F13" s="695"/>
      <c r="G13" s="695"/>
      <c r="H13" s="695"/>
      <c r="I13" s="695"/>
      <c r="J13" s="695">
        <f>SUM(J14:J17)</f>
        <v>5314500</v>
      </c>
      <c r="K13" s="695"/>
    </row>
    <row r="14" spans="2:11" ht="76.5" thickTop="1" thickBot="1" x14ac:dyDescent="0.25">
      <c r="B14" s="454" t="s">
        <v>257</v>
      </c>
      <c r="C14" s="454" t="s">
        <v>258</v>
      </c>
      <c r="D14" s="454" t="s">
        <v>259</v>
      </c>
      <c r="E14" s="454" t="s">
        <v>256</v>
      </c>
      <c r="F14" s="452" t="s">
        <v>590</v>
      </c>
      <c r="G14" s="541"/>
      <c r="H14" s="542"/>
      <c r="I14" s="541"/>
      <c r="J14" s="453">
        <f>(977200+330000+15000+241300)+336000+900000+55000</f>
        <v>2854500</v>
      </c>
      <c r="K14" s="453"/>
    </row>
    <row r="15" spans="2:11" ht="31.5" thickTop="1" thickBot="1" x14ac:dyDescent="0.25">
      <c r="B15" s="451" t="s">
        <v>263</v>
      </c>
      <c r="C15" s="451" t="s">
        <v>264</v>
      </c>
      <c r="D15" s="451" t="s">
        <v>265</v>
      </c>
      <c r="E15" s="451" t="s">
        <v>262</v>
      </c>
      <c r="F15" s="452" t="s">
        <v>590</v>
      </c>
      <c r="G15" s="541"/>
      <c r="H15" s="542"/>
      <c r="I15" s="541"/>
      <c r="J15" s="453">
        <v>1500000</v>
      </c>
      <c r="K15" s="453"/>
    </row>
    <row r="16" spans="2:11" ht="61.5" thickTop="1" thickBot="1" x14ac:dyDescent="0.25">
      <c r="B16" s="451" t="s">
        <v>572</v>
      </c>
      <c r="C16" s="451" t="s">
        <v>573</v>
      </c>
      <c r="D16" s="451" t="s">
        <v>45</v>
      </c>
      <c r="E16" s="451" t="s">
        <v>574</v>
      </c>
      <c r="F16" s="452" t="s">
        <v>590</v>
      </c>
      <c r="G16" s="541"/>
      <c r="H16" s="542"/>
      <c r="I16" s="541"/>
      <c r="J16" s="453">
        <f>80000+500000+80000</f>
        <v>660000</v>
      </c>
      <c r="K16" s="453"/>
    </row>
    <row r="17" spans="1:13" ht="61.5" thickTop="1" thickBot="1" x14ac:dyDescent="0.25">
      <c r="B17" s="451" t="s">
        <v>572</v>
      </c>
      <c r="C17" s="451" t="s">
        <v>573</v>
      </c>
      <c r="D17" s="451" t="s">
        <v>45</v>
      </c>
      <c r="E17" s="451" t="s">
        <v>574</v>
      </c>
      <c r="F17" s="452" t="s">
        <v>1253</v>
      </c>
      <c r="G17" s="541"/>
      <c r="H17" s="542"/>
      <c r="I17" s="541"/>
      <c r="J17" s="453">
        <v>300000</v>
      </c>
      <c r="K17" s="453"/>
    </row>
    <row r="18" spans="1:13" ht="46.5" thickTop="1" thickBot="1" x14ac:dyDescent="0.25">
      <c r="A18" s="779"/>
      <c r="B18" s="688" t="s">
        <v>173</v>
      </c>
      <c r="C18" s="688"/>
      <c r="D18" s="688"/>
      <c r="E18" s="689" t="s">
        <v>0</v>
      </c>
      <c r="F18" s="694"/>
      <c r="G18" s="690"/>
      <c r="H18" s="690"/>
      <c r="I18" s="690"/>
      <c r="J18" s="694">
        <f>J19</f>
        <v>41396880.25</v>
      </c>
      <c r="K18" s="694"/>
    </row>
    <row r="19" spans="1:13" ht="44.25" thickTop="1" thickBot="1" x14ac:dyDescent="0.25">
      <c r="A19" s="779"/>
      <c r="B19" s="691" t="s">
        <v>174</v>
      </c>
      <c r="C19" s="691"/>
      <c r="D19" s="691"/>
      <c r="E19" s="692" t="s">
        <v>1</v>
      </c>
      <c r="F19" s="695"/>
      <c r="G19" s="695"/>
      <c r="H19" s="695"/>
      <c r="I19" s="695"/>
      <c r="J19" s="695">
        <f>SUM(J20:J74)</f>
        <v>41396880.25</v>
      </c>
      <c r="K19" s="695"/>
    </row>
    <row r="20" spans="1:13" ht="31.5" thickTop="1" thickBot="1" x14ac:dyDescent="0.25">
      <c r="B20" s="454" t="s">
        <v>223</v>
      </c>
      <c r="C20" s="454" t="s">
        <v>224</v>
      </c>
      <c r="D20" s="454" t="s">
        <v>226</v>
      </c>
      <c r="E20" s="454" t="s">
        <v>227</v>
      </c>
      <c r="F20" s="452" t="s">
        <v>590</v>
      </c>
      <c r="G20" s="455"/>
      <c r="H20" s="456"/>
      <c r="I20" s="456"/>
      <c r="J20" s="453">
        <f>(30333+15000)+48000</f>
        <v>93333</v>
      </c>
      <c r="K20" s="453"/>
    </row>
    <row r="21" spans="1:13" ht="91.5" thickTop="1" thickBot="1" x14ac:dyDescent="0.25">
      <c r="B21" s="451" t="s">
        <v>223</v>
      </c>
      <c r="C21" s="451" t="s">
        <v>224</v>
      </c>
      <c r="D21" s="451" t="s">
        <v>226</v>
      </c>
      <c r="E21" s="451" t="s">
        <v>227</v>
      </c>
      <c r="F21" s="457" t="s">
        <v>780</v>
      </c>
      <c r="G21" s="458" t="s">
        <v>609</v>
      </c>
      <c r="H21" s="459">
        <v>2392044</v>
      </c>
      <c r="I21" s="460">
        <f>(984339.94+460000)/H21</f>
        <v>0.60380993827872731</v>
      </c>
      <c r="J21" s="461">
        <f>(800000)+59561.14</f>
        <v>859561.14</v>
      </c>
      <c r="K21" s="460">
        <v>1</v>
      </c>
      <c r="L21" s="461"/>
      <c r="M21" s="780"/>
    </row>
    <row r="22" spans="1:13" ht="106.5" thickTop="1" thickBot="1" x14ac:dyDescent="0.25">
      <c r="B22" s="451" t="s">
        <v>223</v>
      </c>
      <c r="C22" s="451" t="s">
        <v>224</v>
      </c>
      <c r="D22" s="451" t="s">
        <v>226</v>
      </c>
      <c r="E22" s="451" t="s">
        <v>227</v>
      </c>
      <c r="F22" s="462" t="s">
        <v>1212</v>
      </c>
      <c r="G22" s="458" t="s">
        <v>690</v>
      </c>
      <c r="H22" s="459"/>
      <c r="I22" s="463">
        <v>0</v>
      </c>
      <c r="J22" s="461">
        <v>160000</v>
      </c>
      <c r="K22" s="463">
        <v>1</v>
      </c>
    </row>
    <row r="23" spans="1:13" ht="76.5" thickTop="1" thickBot="1" x14ac:dyDescent="0.25">
      <c r="B23" s="454" t="s">
        <v>223</v>
      </c>
      <c r="C23" s="454" t="s">
        <v>224</v>
      </c>
      <c r="D23" s="454" t="s">
        <v>226</v>
      </c>
      <c r="E23" s="454" t="s">
        <v>227</v>
      </c>
      <c r="F23" s="452" t="s">
        <v>591</v>
      </c>
      <c r="G23" s="455" t="s">
        <v>609</v>
      </c>
      <c r="H23" s="456">
        <v>8521327.8499999996</v>
      </c>
      <c r="I23" s="463">
        <f>((999840+3536574)/H23)</f>
        <v>0.53235998894233372</v>
      </c>
      <c r="J23" s="453">
        <f>(3100000)+500000+542134.23</f>
        <v>4142134.23</v>
      </c>
      <c r="K23" s="463">
        <v>1</v>
      </c>
    </row>
    <row r="24" spans="1:13" ht="61.5" thickTop="1" thickBot="1" x14ac:dyDescent="0.25">
      <c r="B24" s="454" t="s">
        <v>223</v>
      </c>
      <c r="C24" s="454" t="s">
        <v>224</v>
      </c>
      <c r="D24" s="454" t="s">
        <v>226</v>
      </c>
      <c r="E24" s="454" t="s">
        <v>227</v>
      </c>
      <c r="F24" s="452" t="s">
        <v>592</v>
      </c>
      <c r="G24" s="455" t="s">
        <v>542</v>
      </c>
      <c r="H24" s="456">
        <v>742721</v>
      </c>
      <c r="I24" s="463">
        <f>((300000)/H24)</f>
        <v>0.40392017998683222</v>
      </c>
      <c r="J24" s="453">
        <v>440000</v>
      </c>
      <c r="K24" s="463">
        <f>(300000+J24)/H24</f>
        <v>0.99633644396751941</v>
      </c>
    </row>
    <row r="25" spans="1:13" ht="61.5" thickTop="1" thickBot="1" x14ac:dyDescent="0.25">
      <c r="B25" s="454" t="s">
        <v>223</v>
      </c>
      <c r="C25" s="454" t="s">
        <v>224</v>
      </c>
      <c r="D25" s="454" t="s">
        <v>226</v>
      </c>
      <c r="E25" s="454" t="s">
        <v>227</v>
      </c>
      <c r="F25" s="457" t="s">
        <v>1243</v>
      </c>
      <c r="G25" s="458" t="s">
        <v>600</v>
      </c>
      <c r="H25" s="459">
        <v>4313491</v>
      </c>
      <c r="I25" s="463">
        <f>((56889.6)/H25)</f>
        <v>1.3188760565398189E-2</v>
      </c>
      <c r="J25" s="453">
        <v>500000</v>
      </c>
      <c r="K25" s="463">
        <f>((56889.6+J25)/H25)</f>
        <v>0.12910415252981866</v>
      </c>
    </row>
    <row r="26" spans="1:13" ht="16.5" hidden="1" thickTop="1" thickBot="1" x14ac:dyDescent="0.25">
      <c r="B26" s="454"/>
      <c r="C26" s="454"/>
      <c r="D26" s="454"/>
      <c r="E26" s="454"/>
      <c r="F26" s="452"/>
      <c r="G26" s="455"/>
      <c r="H26" s="456"/>
      <c r="I26" s="463"/>
      <c r="J26" s="453"/>
      <c r="K26" s="463"/>
    </row>
    <row r="27" spans="1:13" ht="46.5" thickTop="1" thickBot="1" x14ac:dyDescent="0.25">
      <c r="B27" s="454" t="s">
        <v>223</v>
      </c>
      <c r="C27" s="454" t="s">
        <v>224</v>
      </c>
      <c r="D27" s="454" t="s">
        <v>226</v>
      </c>
      <c r="E27" s="454" t="s">
        <v>227</v>
      </c>
      <c r="F27" s="452" t="s">
        <v>781</v>
      </c>
      <c r="G27" s="458" t="s">
        <v>690</v>
      </c>
      <c r="H27" s="459"/>
      <c r="I27" s="460">
        <v>0</v>
      </c>
      <c r="J27" s="461">
        <v>130000</v>
      </c>
      <c r="K27" s="463">
        <v>1</v>
      </c>
    </row>
    <row r="28" spans="1:13" ht="91.5" thickTop="1" thickBot="1" x14ac:dyDescent="0.25">
      <c r="B28" s="454" t="s">
        <v>223</v>
      </c>
      <c r="C28" s="454" t="s">
        <v>224</v>
      </c>
      <c r="D28" s="454" t="s">
        <v>226</v>
      </c>
      <c r="E28" s="454" t="s">
        <v>227</v>
      </c>
      <c r="F28" s="457" t="s">
        <v>1240</v>
      </c>
      <c r="G28" s="458" t="s">
        <v>690</v>
      </c>
      <c r="H28" s="459"/>
      <c r="I28" s="460">
        <v>0</v>
      </c>
      <c r="J28" s="461">
        <v>700000</v>
      </c>
      <c r="K28" s="463">
        <v>1</v>
      </c>
    </row>
    <row r="29" spans="1:13" ht="91.5" thickTop="1" thickBot="1" x14ac:dyDescent="0.25">
      <c r="B29" s="454" t="s">
        <v>223</v>
      </c>
      <c r="C29" s="454" t="s">
        <v>224</v>
      </c>
      <c r="D29" s="454" t="s">
        <v>226</v>
      </c>
      <c r="E29" s="454" t="s">
        <v>227</v>
      </c>
      <c r="F29" s="457" t="s">
        <v>1241</v>
      </c>
      <c r="G29" s="458" t="s">
        <v>690</v>
      </c>
      <c r="H29" s="459">
        <v>551412</v>
      </c>
      <c r="I29" s="460">
        <v>0</v>
      </c>
      <c r="J29" s="461">
        <v>300000</v>
      </c>
      <c r="K29" s="463">
        <f>(J29)/H29</f>
        <v>0.5440578007007465</v>
      </c>
    </row>
    <row r="30" spans="1:13" ht="76.5" thickTop="1" thickBot="1" x14ac:dyDescent="0.25">
      <c r="B30" s="454" t="s">
        <v>223</v>
      </c>
      <c r="C30" s="454" t="s">
        <v>224</v>
      </c>
      <c r="D30" s="454" t="s">
        <v>226</v>
      </c>
      <c r="E30" s="454" t="s">
        <v>227</v>
      </c>
      <c r="F30" s="457" t="s">
        <v>1242</v>
      </c>
      <c r="G30" s="458" t="s">
        <v>690</v>
      </c>
      <c r="H30" s="459"/>
      <c r="I30" s="460">
        <v>0</v>
      </c>
      <c r="J30" s="461">
        <v>49000</v>
      </c>
      <c r="K30" s="463">
        <v>1</v>
      </c>
    </row>
    <row r="31" spans="1:13" ht="31.5" thickTop="1" thickBot="1" x14ac:dyDescent="0.25">
      <c r="B31" s="451" t="s">
        <v>836</v>
      </c>
      <c r="C31" s="451" t="s">
        <v>837</v>
      </c>
      <c r="D31" s="451" t="s">
        <v>229</v>
      </c>
      <c r="E31" s="451" t="s">
        <v>838</v>
      </c>
      <c r="F31" s="452" t="s">
        <v>590</v>
      </c>
      <c r="G31" s="455"/>
      <c r="H31" s="456"/>
      <c r="I31" s="463"/>
      <c r="J31" s="453">
        <f>(2000000+3000000+1970000+92450+400000-1970000)+400000+17500+75000+42000+48000+1738790+1007090+291970</f>
        <v>9112800</v>
      </c>
      <c r="K31" s="463"/>
    </row>
    <row r="32" spans="1:13" ht="61.5" thickTop="1" thickBot="1" x14ac:dyDescent="0.25">
      <c r="B32" s="451" t="s">
        <v>836</v>
      </c>
      <c r="C32" s="451" t="s">
        <v>837</v>
      </c>
      <c r="D32" s="451" t="s">
        <v>229</v>
      </c>
      <c r="E32" s="451" t="s">
        <v>838</v>
      </c>
      <c r="F32" s="478" t="s">
        <v>1213</v>
      </c>
      <c r="G32" s="455" t="s">
        <v>690</v>
      </c>
      <c r="H32" s="456"/>
      <c r="I32" s="463">
        <v>0</v>
      </c>
      <c r="J32" s="459">
        <v>200000</v>
      </c>
      <c r="K32" s="463">
        <v>1</v>
      </c>
    </row>
    <row r="33" spans="2:12" ht="61.5" thickTop="1" thickBot="1" x14ac:dyDescent="0.25">
      <c r="B33" s="451" t="s">
        <v>836</v>
      </c>
      <c r="C33" s="451" t="s">
        <v>837</v>
      </c>
      <c r="D33" s="451" t="s">
        <v>229</v>
      </c>
      <c r="E33" s="451" t="s">
        <v>838</v>
      </c>
      <c r="F33" s="462" t="s">
        <v>1224</v>
      </c>
      <c r="G33" s="455" t="s">
        <v>690</v>
      </c>
      <c r="H33" s="456"/>
      <c r="I33" s="463">
        <v>0</v>
      </c>
      <c r="J33" s="459">
        <v>92850.01</v>
      </c>
      <c r="K33" s="463">
        <v>1</v>
      </c>
    </row>
    <row r="34" spans="2:12" ht="166.5" thickTop="1" thickBot="1" x14ac:dyDescent="0.25">
      <c r="B34" s="451" t="s">
        <v>836</v>
      </c>
      <c r="C34" s="451" t="s">
        <v>837</v>
      </c>
      <c r="D34" s="451" t="s">
        <v>229</v>
      </c>
      <c r="E34" s="451" t="s">
        <v>838</v>
      </c>
      <c r="F34" s="462" t="s">
        <v>1238</v>
      </c>
      <c r="G34" s="455" t="s">
        <v>690</v>
      </c>
      <c r="H34" s="456">
        <v>500000</v>
      </c>
      <c r="I34" s="463">
        <v>0</v>
      </c>
      <c r="J34" s="459">
        <v>500000</v>
      </c>
      <c r="K34" s="463">
        <v>1</v>
      </c>
      <c r="L34" s="314" t="s">
        <v>1232</v>
      </c>
    </row>
    <row r="35" spans="2:12" ht="61.5" thickTop="1" thickBot="1" x14ac:dyDescent="0.25">
      <c r="B35" s="451" t="s">
        <v>836</v>
      </c>
      <c r="C35" s="451" t="s">
        <v>837</v>
      </c>
      <c r="D35" s="451" t="s">
        <v>229</v>
      </c>
      <c r="E35" s="451" t="s">
        <v>838</v>
      </c>
      <c r="F35" s="462" t="s">
        <v>1218</v>
      </c>
      <c r="G35" s="455" t="s">
        <v>690</v>
      </c>
      <c r="H35" s="456"/>
      <c r="I35" s="463">
        <v>0</v>
      </c>
      <c r="J35" s="459">
        <v>220000</v>
      </c>
      <c r="K35" s="463">
        <v>1</v>
      </c>
    </row>
    <row r="36" spans="2:12" ht="61.5" thickTop="1" thickBot="1" x14ac:dyDescent="0.25">
      <c r="B36" s="451" t="s">
        <v>836</v>
      </c>
      <c r="C36" s="451" t="s">
        <v>837</v>
      </c>
      <c r="D36" s="451" t="s">
        <v>229</v>
      </c>
      <c r="E36" s="451" t="s">
        <v>838</v>
      </c>
      <c r="F36" s="462" t="s">
        <v>1219</v>
      </c>
      <c r="G36" s="455" t="s">
        <v>690</v>
      </c>
      <c r="H36" s="456"/>
      <c r="I36" s="463">
        <v>0</v>
      </c>
      <c r="J36" s="459">
        <v>250000</v>
      </c>
      <c r="K36" s="463">
        <v>1</v>
      </c>
    </row>
    <row r="37" spans="2:12" ht="61.5" thickTop="1" thickBot="1" x14ac:dyDescent="0.25">
      <c r="B37" s="451" t="s">
        <v>836</v>
      </c>
      <c r="C37" s="451" t="s">
        <v>837</v>
      </c>
      <c r="D37" s="451" t="s">
        <v>229</v>
      </c>
      <c r="E37" s="451" t="s">
        <v>838</v>
      </c>
      <c r="F37" s="462" t="s">
        <v>1274</v>
      </c>
      <c r="G37" s="455" t="s">
        <v>690</v>
      </c>
      <c r="H37" s="456"/>
      <c r="I37" s="463">
        <v>0</v>
      </c>
      <c r="J37" s="459">
        <v>78000</v>
      </c>
      <c r="K37" s="463">
        <v>1</v>
      </c>
    </row>
    <row r="38" spans="2:12" ht="91.5" thickTop="1" thickBot="1" x14ac:dyDescent="0.25">
      <c r="B38" s="451" t="s">
        <v>836</v>
      </c>
      <c r="C38" s="451" t="s">
        <v>837</v>
      </c>
      <c r="D38" s="451" t="s">
        <v>229</v>
      </c>
      <c r="E38" s="451" t="s">
        <v>838</v>
      </c>
      <c r="F38" s="478" t="s">
        <v>1246</v>
      </c>
      <c r="G38" s="455" t="s">
        <v>690</v>
      </c>
      <c r="H38" s="456"/>
      <c r="I38" s="463">
        <v>0</v>
      </c>
      <c r="J38" s="459">
        <v>1000000</v>
      </c>
      <c r="K38" s="463">
        <v>1</v>
      </c>
    </row>
    <row r="39" spans="2:12" ht="121.5" thickTop="1" thickBot="1" x14ac:dyDescent="0.25">
      <c r="B39" s="451" t="s">
        <v>836</v>
      </c>
      <c r="C39" s="451" t="s">
        <v>837</v>
      </c>
      <c r="D39" s="451" t="s">
        <v>229</v>
      </c>
      <c r="E39" s="451" t="s">
        <v>838</v>
      </c>
      <c r="F39" s="462" t="s">
        <v>1248</v>
      </c>
      <c r="G39" s="455" t="s">
        <v>690</v>
      </c>
      <c r="H39" s="456"/>
      <c r="I39" s="463">
        <v>0</v>
      </c>
      <c r="J39" s="459">
        <v>292490.88</v>
      </c>
      <c r="K39" s="463">
        <v>1</v>
      </c>
    </row>
    <row r="40" spans="2:12" ht="61.5" thickTop="1" thickBot="1" x14ac:dyDescent="0.25">
      <c r="B40" s="451" t="s">
        <v>836</v>
      </c>
      <c r="C40" s="451" t="s">
        <v>837</v>
      </c>
      <c r="D40" s="451" t="s">
        <v>229</v>
      </c>
      <c r="E40" s="451" t="s">
        <v>838</v>
      </c>
      <c r="F40" s="462" t="s">
        <v>1220</v>
      </c>
      <c r="G40" s="455" t="s">
        <v>690</v>
      </c>
      <c r="H40" s="456"/>
      <c r="I40" s="463">
        <v>0</v>
      </c>
      <c r="J40" s="459">
        <v>250000</v>
      </c>
      <c r="K40" s="463">
        <v>1</v>
      </c>
    </row>
    <row r="41" spans="2:12" ht="76.5" thickTop="1" thickBot="1" x14ac:dyDescent="0.25">
      <c r="B41" s="451" t="s">
        <v>836</v>
      </c>
      <c r="C41" s="451" t="s">
        <v>837</v>
      </c>
      <c r="D41" s="451" t="s">
        <v>229</v>
      </c>
      <c r="E41" s="451" t="s">
        <v>838</v>
      </c>
      <c r="F41" s="462" t="s">
        <v>1251</v>
      </c>
      <c r="G41" s="458" t="s">
        <v>609</v>
      </c>
      <c r="H41" s="459">
        <f>299957+110000</f>
        <v>409957</v>
      </c>
      <c r="I41" s="460">
        <f>299827.84/H41</f>
        <v>0.73136411867586115</v>
      </c>
      <c r="J41" s="459">
        <v>110000</v>
      </c>
      <c r="K41" s="463">
        <f>(299827.84+J41)/H41</f>
        <v>0.99968494256714735</v>
      </c>
    </row>
    <row r="42" spans="2:12" ht="46.5" thickTop="1" thickBot="1" x14ac:dyDescent="0.25">
      <c r="B42" s="451" t="s">
        <v>836</v>
      </c>
      <c r="C42" s="451" t="s">
        <v>837</v>
      </c>
      <c r="D42" s="451" t="s">
        <v>229</v>
      </c>
      <c r="E42" s="451" t="s">
        <v>838</v>
      </c>
      <c r="F42" s="478" t="s">
        <v>1214</v>
      </c>
      <c r="G42" s="455" t="s">
        <v>690</v>
      </c>
      <c r="H42" s="456"/>
      <c r="I42" s="463">
        <v>0</v>
      </c>
      <c r="J42" s="461">
        <v>50000</v>
      </c>
      <c r="K42" s="463">
        <v>1</v>
      </c>
    </row>
    <row r="43" spans="2:12" ht="106.5" thickTop="1" thickBot="1" x14ac:dyDescent="0.25">
      <c r="B43" s="451" t="s">
        <v>836</v>
      </c>
      <c r="C43" s="451" t="s">
        <v>837</v>
      </c>
      <c r="D43" s="451" t="s">
        <v>229</v>
      </c>
      <c r="E43" s="451" t="s">
        <v>838</v>
      </c>
      <c r="F43" s="478" t="s">
        <v>731</v>
      </c>
      <c r="G43" s="455" t="s">
        <v>690</v>
      </c>
      <c r="H43" s="456"/>
      <c r="I43" s="463">
        <v>0</v>
      </c>
      <c r="J43" s="461">
        <v>300000</v>
      </c>
      <c r="K43" s="463">
        <v>1</v>
      </c>
    </row>
    <row r="44" spans="2:12" ht="61.5" thickTop="1" thickBot="1" x14ac:dyDescent="0.25">
      <c r="B44" s="451" t="s">
        <v>836</v>
      </c>
      <c r="C44" s="451" t="s">
        <v>837</v>
      </c>
      <c r="D44" s="451" t="s">
        <v>229</v>
      </c>
      <c r="E44" s="451" t="s">
        <v>838</v>
      </c>
      <c r="F44" s="478" t="s">
        <v>1215</v>
      </c>
      <c r="G44" s="455" t="s">
        <v>690</v>
      </c>
      <c r="H44" s="456"/>
      <c r="I44" s="463">
        <v>0</v>
      </c>
      <c r="J44" s="461">
        <v>750000</v>
      </c>
      <c r="K44" s="463">
        <v>1</v>
      </c>
    </row>
    <row r="45" spans="2:12" ht="91.5" thickTop="1" thickBot="1" x14ac:dyDescent="0.25">
      <c r="B45" s="451" t="s">
        <v>836</v>
      </c>
      <c r="C45" s="451" t="s">
        <v>837</v>
      </c>
      <c r="D45" s="451" t="s">
        <v>229</v>
      </c>
      <c r="E45" s="451" t="s">
        <v>838</v>
      </c>
      <c r="F45" s="478" t="s">
        <v>593</v>
      </c>
      <c r="G45" s="455" t="s">
        <v>542</v>
      </c>
      <c r="H45" s="456">
        <v>2263021</v>
      </c>
      <c r="I45" s="463">
        <f>(50000/H45)</f>
        <v>2.2094359707665108E-2</v>
      </c>
      <c r="J45" s="461">
        <v>500000</v>
      </c>
      <c r="K45" s="463">
        <f>(J45+50000)/H45*100%</f>
        <v>0.24303795678431619</v>
      </c>
    </row>
    <row r="46" spans="2:12" ht="136.5" thickTop="1" thickBot="1" x14ac:dyDescent="0.25">
      <c r="B46" s="451" t="s">
        <v>836</v>
      </c>
      <c r="C46" s="451" t="s">
        <v>837</v>
      </c>
      <c r="D46" s="451" t="s">
        <v>229</v>
      </c>
      <c r="E46" s="451" t="s">
        <v>838</v>
      </c>
      <c r="F46" s="462" t="s">
        <v>1249</v>
      </c>
      <c r="G46" s="458" t="s">
        <v>690</v>
      </c>
      <c r="H46" s="459"/>
      <c r="I46" s="460">
        <v>0</v>
      </c>
      <c r="J46" s="461">
        <v>750000</v>
      </c>
      <c r="K46" s="460">
        <v>1</v>
      </c>
    </row>
    <row r="47" spans="2:12" ht="91.5" thickTop="1" thickBot="1" x14ac:dyDescent="0.25">
      <c r="B47" s="451" t="s">
        <v>836</v>
      </c>
      <c r="C47" s="451" t="s">
        <v>837</v>
      </c>
      <c r="D47" s="451" t="s">
        <v>229</v>
      </c>
      <c r="E47" s="451" t="s">
        <v>838</v>
      </c>
      <c r="F47" s="462" t="s">
        <v>1217</v>
      </c>
      <c r="G47" s="455" t="s">
        <v>690</v>
      </c>
      <c r="H47" s="456"/>
      <c r="I47" s="463">
        <v>0</v>
      </c>
      <c r="J47" s="461">
        <v>49000</v>
      </c>
      <c r="K47" s="463">
        <v>1</v>
      </c>
    </row>
    <row r="48" spans="2:12" ht="93" customHeight="1" thickTop="1" thickBot="1" x14ac:dyDescent="0.25">
      <c r="B48" s="451" t="s">
        <v>836</v>
      </c>
      <c r="C48" s="451" t="s">
        <v>837</v>
      </c>
      <c r="D48" s="451" t="s">
        <v>229</v>
      </c>
      <c r="E48" s="451" t="s">
        <v>838</v>
      </c>
      <c r="F48" s="462" t="s">
        <v>1252</v>
      </c>
      <c r="G48" s="458" t="s">
        <v>690</v>
      </c>
      <c r="H48" s="459"/>
      <c r="I48" s="463">
        <v>0</v>
      </c>
      <c r="J48" s="461">
        <v>500000</v>
      </c>
      <c r="K48" s="463">
        <v>1</v>
      </c>
    </row>
    <row r="49" spans="2:13" ht="121.5" thickTop="1" thickBot="1" x14ac:dyDescent="0.25">
      <c r="B49" s="451" t="s">
        <v>836</v>
      </c>
      <c r="C49" s="451" t="s">
        <v>837</v>
      </c>
      <c r="D49" s="451" t="s">
        <v>229</v>
      </c>
      <c r="E49" s="451" t="s">
        <v>838</v>
      </c>
      <c r="F49" s="478" t="s">
        <v>729</v>
      </c>
      <c r="G49" s="455" t="s">
        <v>542</v>
      </c>
      <c r="H49" s="456">
        <v>1489695</v>
      </c>
      <c r="I49" s="463">
        <f>(940877/H49)</f>
        <v>0.63159035910035277</v>
      </c>
      <c r="J49" s="461">
        <v>548818</v>
      </c>
      <c r="K49" s="463">
        <f>(J49+940877)/H49</f>
        <v>1</v>
      </c>
      <c r="L49" s="781"/>
      <c r="M49" s="782"/>
    </row>
    <row r="50" spans="2:13" ht="136.5" thickTop="1" thickBot="1" x14ac:dyDescent="0.25">
      <c r="B50" s="451" t="s">
        <v>836</v>
      </c>
      <c r="C50" s="451" t="s">
        <v>837</v>
      </c>
      <c r="D50" s="451" t="s">
        <v>229</v>
      </c>
      <c r="E50" s="451" t="s">
        <v>838</v>
      </c>
      <c r="F50" s="462" t="s">
        <v>1221</v>
      </c>
      <c r="G50" s="455" t="s">
        <v>690</v>
      </c>
      <c r="H50" s="456"/>
      <c r="I50" s="463">
        <v>0</v>
      </c>
      <c r="J50" s="461">
        <v>49000</v>
      </c>
      <c r="K50" s="463">
        <v>1</v>
      </c>
      <c r="L50" s="781"/>
      <c r="M50" s="782"/>
    </row>
    <row r="51" spans="2:13" ht="151.5" thickTop="1" thickBot="1" x14ac:dyDescent="0.25">
      <c r="B51" s="451" t="s">
        <v>836</v>
      </c>
      <c r="C51" s="451" t="s">
        <v>837</v>
      </c>
      <c r="D51" s="451" t="s">
        <v>229</v>
      </c>
      <c r="E51" s="451" t="s">
        <v>838</v>
      </c>
      <c r="F51" s="478" t="s">
        <v>1216</v>
      </c>
      <c r="G51" s="455" t="s">
        <v>690</v>
      </c>
      <c r="H51" s="456"/>
      <c r="I51" s="463">
        <v>0</v>
      </c>
      <c r="J51" s="461">
        <v>50000</v>
      </c>
      <c r="K51" s="463">
        <v>1</v>
      </c>
      <c r="L51" s="781"/>
      <c r="M51" s="782"/>
    </row>
    <row r="52" spans="2:13" ht="121.5" thickTop="1" thickBot="1" x14ac:dyDescent="0.25">
      <c r="B52" s="451" t="s">
        <v>836</v>
      </c>
      <c r="C52" s="451" t="s">
        <v>837</v>
      </c>
      <c r="D52" s="451" t="s">
        <v>229</v>
      </c>
      <c r="E52" s="451" t="s">
        <v>838</v>
      </c>
      <c r="F52" s="462" t="s">
        <v>1222</v>
      </c>
      <c r="G52" s="455" t="s">
        <v>690</v>
      </c>
      <c r="H52" s="456"/>
      <c r="I52" s="463">
        <v>0</v>
      </c>
      <c r="J52" s="461">
        <v>49000</v>
      </c>
      <c r="K52" s="463">
        <v>1</v>
      </c>
      <c r="L52" s="781"/>
      <c r="M52" s="782"/>
    </row>
    <row r="53" spans="2:13" ht="106.5" thickTop="1" thickBot="1" x14ac:dyDescent="0.25">
      <c r="B53" s="451" t="s">
        <v>836</v>
      </c>
      <c r="C53" s="451" t="s">
        <v>837</v>
      </c>
      <c r="D53" s="451" t="s">
        <v>229</v>
      </c>
      <c r="E53" s="451" t="s">
        <v>838</v>
      </c>
      <c r="F53" s="478" t="s">
        <v>1250</v>
      </c>
      <c r="G53" s="455" t="s">
        <v>542</v>
      </c>
      <c r="H53" s="456">
        <v>1499260</v>
      </c>
      <c r="I53" s="463">
        <f>(59000/H53)</f>
        <v>3.9352747355361976E-2</v>
      </c>
      <c r="J53" s="461">
        <v>750000</v>
      </c>
      <c r="K53" s="463">
        <f>(J53+59000+690360)/H53</f>
        <v>1.0000666995717888</v>
      </c>
      <c r="L53" s="781"/>
      <c r="M53" s="782"/>
    </row>
    <row r="54" spans="2:13" ht="76.5" thickTop="1" thickBot="1" x14ac:dyDescent="0.25">
      <c r="B54" s="451" t="s">
        <v>836</v>
      </c>
      <c r="C54" s="451" t="s">
        <v>837</v>
      </c>
      <c r="D54" s="451" t="s">
        <v>229</v>
      </c>
      <c r="E54" s="451" t="s">
        <v>838</v>
      </c>
      <c r="F54" s="478" t="s">
        <v>1223</v>
      </c>
      <c r="G54" s="455" t="s">
        <v>609</v>
      </c>
      <c r="H54" s="456">
        <v>3245342</v>
      </c>
      <c r="I54" s="463">
        <f>(1950923.21/H54)</f>
        <v>0.60114564505066026</v>
      </c>
      <c r="J54" s="461">
        <v>1261682</v>
      </c>
      <c r="K54" s="463">
        <v>1</v>
      </c>
      <c r="L54" s="781"/>
      <c r="M54" s="782"/>
    </row>
    <row r="55" spans="2:13" ht="76.5" thickTop="1" thickBot="1" x14ac:dyDescent="0.25">
      <c r="B55" s="451" t="s">
        <v>846</v>
      </c>
      <c r="C55" s="451" t="s">
        <v>847</v>
      </c>
      <c r="D55" s="451" t="s">
        <v>232</v>
      </c>
      <c r="E55" s="451" t="s">
        <v>555</v>
      </c>
      <c r="F55" s="452" t="s">
        <v>590</v>
      </c>
      <c r="G55" s="455"/>
      <c r="H55" s="456"/>
      <c r="I55" s="456"/>
      <c r="J55" s="453">
        <f>(100000+120000+38430+59425+30000-30000)+16386</f>
        <v>334241</v>
      </c>
      <c r="K55" s="453"/>
    </row>
    <row r="56" spans="2:13" ht="76.5" thickTop="1" thickBot="1" x14ac:dyDescent="0.25">
      <c r="B56" s="451" t="s">
        <v>846</v>
      </c>
      <c r="C56" s="451" t="s">
        <v>847</v>
      </c>
      <c r="D56" s="451" t="s">
        <v>232</v>
      </c>
      <c r="E56" s="451" t="s">
        <v>555</v>
      </c>
      <c r="F56" s="462" t="s">
        <v>1225</v>
      </c>
      <c r="G56" s="458" t="s">
        <v>690</v>
      </c>
      <c r="H56" s="459"/>
      <c r="I56" s="460">
        <v>0</v>
      </c>
      <c r="J56" s="453">
        <f>(300000)+314900</f>
        <v>614900</v>
      </c>
      <c r="K56" s="453">
        <v>100</v>
      </c>
    </row>
    <row r="57" spans="2:13" ht="61.5" thickTop="1" thickBot="1" x14ac:dyDescent="0.25">
      <c r="B57" s="451" t="s">
        <v>1227</v>
      </c>
      <c r="C57" s="451" t="s">
        <v>1228</v>
      </c>
      <c r="D57" s="451" t="s">
        <v>229</v>
      </c>
      <c r="E57" s="451" t="s">
        <v>1231</v>
      </c>
      <c r="F57" s="462" t="s">
        <v>1224</v>
      </c>
      <c r="G57" s="455" t="s">
        <v>690</v>
      </c>
      <c r="H57" s="456"/>
      <c r="I57" s="463">
        <v>0</v>
      </c>
      <c r="J57" s="459">
        <v>107149.99</v>
      </c>
      <c r="K57" s="463">
        <v>1</v>
      </c>
    </row>
    <row r="58" spans="2:13" ht="166.5" thickTop="1" thickBot="1" x14ac:dyDescent="0.25">
      <c r="B58" s="451" t="s">
        <v>1227</v>
      </c>
      <c r="C58" s="451" t="s">
        <v>1228</v>
      </c>
      <c r="D58" s="451" t="s">
        <v>229</v>
      </c>
      <c r="E58" s="451" t="s">
        <v>1231</v>
      </c>
      <c r="F58" s="462" t="s">
        <v>1239</v>
      </c>
      <c r="G58" s="455" t="s">
        <v>690</v>
      </c>
      <c r="H58" s="456"/>
      <c r="I58" s="463">
        <v>0</v>
      </c>
      <c r="J58" s="459">
        <v>500000</v>
      </c>
      <c r="K58" s="463">
        <v>1</v>
      </c>
      <c r="L58" s="781" t="s">
        <v>1233</v>
      </c>
    </row>
    <row r="59" spans="2:13" ht="91.5" thickTop="1" thickBot="1" x14ac:dyDescent="0.25">
      <c r="B59" s="451" t="s">
        <v>1227</v>
      </c>
      <c r="C59" s="451" t="s">
        <v>1228</v>
      </c>
      <c r="D59" s="451" t="s">
        <v>229</v>
      </c>
      <c r="E59" s="451" t="s">
        <v>1231</v>
      </c>
      <c r="F59" s="478" t="s">
        <v>1246</v>
      </c>
      <c r="G59" s="455" t="s">
        <v>690</v>
      </c>
      <c r="H59" s="456"/>
      <c r="I59" s="463">
        <v>0</v>
      </c>
      <c r="J59" s="459">
        <v>2000000</v>
      </c>
      <c r="K59" s="463">
        <v>1</v>
      </c>
      <c r="L59" s="781"/>
    </row>
    <row r="60" spans="2:13" ht="76.5" thickTop="1" thickBot="1" x14ac:dyDescent="0.25">
      <c r="B60" s="451" t="s">
        <v>1227</v>
      </c>
      <c r="C60" s="451" t="s">
        <v>1228</v>
      </c>
      <c r="D60" s="451" t="s">
        <v>229</v>
      </c>
      <c r="E60" s="451" t="s">
        <v>1231</v>
      </c>
      <c r="F60" s="462" t="s">
        <v>1235</v>
      </c>
      <c r="G60" s="455" t="s">
        <v>690</v>
      </c>
      <c r="H60" s="456"/>
      <c r="I60" s="463">
        <v>0</v>
      </c>
      <c r="J60" s="459">
        <v>400000</v>
      </c>
      <c r="K60" s="463">
        <v>1</v>
      </c>
      <c r="L60" s="781"/>
    </row>
    <row r="61" spans="2:13" ht="46.5" thickTop="1" thickBot="1" x14ac:dyDescent="0.25">
      <c r="B61" s="451" t="s">
        <v>1227</v>
      </c>
      <c r="C61" s="451" t="s">
        <v>1228</v>
      </c>
      <c r="D61" s="451" t="s">
        <v>229</v>
      </c>
      <c r="E61" s="451" t="s">
        <v>1231</v>
      </c>
      <c r="F61" s="478" t="s">
        <v>1214</v>
      </c>
      <c r="G61" s="455" t="s">
        <v>690</v>
      </c>
      <c r="H61" s="456"/>
      <c r="I61" s="463">
        <v>0</v>
      </c>
      <c r="J61" s="461">
        <v>700000</v>
      </c>
      <c r="K61" s="463">
        <v>1</v>
      </c>
      <c r="L61" s="781"/>
    </row>
    <row r="62" spans="2:13" ht="61.5" thickTop="1" thickBot="1" x14ac:dyDescent="0.25">
      <c r="B62" s="451" t="s">
        <v>1227</v>
      </c>
      <c r="C62" s="451" t="s">
        <v>1228</v>
      </c>
      <c r="D62" s="451" t="s">
        <v>229</v>
      </c>
      <c r="E62" s="451" t="s">
        <v>1231</v>
      </c>
      <c r="F62" s="462" t="s">
        <v>1236</v>
      </c>
      <c r="G62" s="455" t="s">
        <v>690</v>
      </c>
      <c r="H62" s="456"/>
      <c r="I62" s="463">
        <v>0</v>
      </c>
      <c r="J62" s="459">
        <v>400000</v>
      </c>
      <c r="K62" s="463">
        <v>1</v>
      </c>
      <c r="L62" s="781"/>
    </row>
    <row r="63" spans="2:13" ht="121.5" thickTop="1" thickBot="1" x14ac:dyDescent="0.25">
      <c r="B63" s="451" t="s">
        <v>1227</v>
      </c>
      <c r="C63" s="451" t="s">
        <v>1228</v>
      </c>
      <c r="D63" s="451" t="s">
        <v>229</v>
      </c>
      <c r="E63" s="451" t="s">
        <v>1231</v>
      </c>
      <c r="F63" s="462" t="s">
        <v>1234</v>
      </c>
      <c r="G63" s="455" t="s">
        <v>690</v>
      </c>
      <c r="H63" s="456"/>
      <c r="I63" s="463">
        <v>0</v>
      </c>
      <c r="J63" s="459">
        <v>700000</v>
      </c>
      <c r="K63" s="463">
        <v>1</v>
      </c>
    </row>
    <row r="64" spans="2:13" ht="151.5" thickTop="1" thickBot="1" x14ac:dyDescent="0.25">
      <c r="B64" s="451" t="s">
        <v>1227</v>
      </c>
      <c r="C64" s="451" t="s">
        <v>1228</v>
      </c>
      <c r="D64" s="451" t="s">
        <v>229</v>
      </c>
      <c r="E64" s="451" t="s">
        <v>1231</v>
      </c>
      <c r="F64" s="478" t="s">
        <v>1216</v>
      </c>
      <c r="G64" s="455" t="s">
        <v>690</v>
      </c>
      <c r="H64" s="456"/>
      <c r="I64" s="463">
        <v>0</v>
      </c>
      <c r="J64" s="461">
        <v>700000</v>
      </c>
      <c r="K64" s="463">
        <v>1</v>
      </c>
    </row>
    <row r="65" spans="2:13" ht="106.5" thickTop="1" thickBot="1" x14ac:dyDescent="0.25">
      <c r="B65" s="451" t="s">
        <v>1227</v>
      </c>
      <c r="C65" s="451" t="s">
        <v>1228</v>
      </c>
      <c r="D65" s="451" t="s">
        <v>229</v>
      </c>
      <c r="E65" s="451" t="s">
        <v>1231</v>
      </c>
      <c r="F65" s="462" t="s">
        <v>730</v>
      </c>
      <c r="G65" s="455" t="s">
        <v>542</v>
      </c>
      <c r="H65" s="456">
        <v>1499260</v>
      </c>
      <c r="I65" s="463">
        <f>(59000/H65)</f>
        <v>3.9352747355361976E-2</v>
      </c>
      <c r="J65" s="461">
        <v>690360</v>
      </c>
      <c r="K65" s="463">
        <f>(J65+59000+750000)/H65</f>
        <v>1.0000666995717888</v>
      </c>
      <c r="L65" s="780"/>
    </row>
    <row r="66" spans="2:13" ht="46.5" thickTop="1" thickBot="1" x14ac:dyDescent="0.25">
      <c r="B66" s="451" t="s">
        <v>857</v>
      </c>
      <c r="C66" s="451" t="s">
        <v>231</v>
      </c>
      <c r="D66" s="451" t="s">
        <v>206</v>
      </c>
      <c r="E66" s="451" t="s">
        <v>557</v>
      </c>
      <c r="F66" s="452" t="s">
        <v>590</v>
      </c>
      <c r="G66" s="455"/>
      <c r="H66" s="456"/>
      <c r="I66" s="463"/>
      <c r="J66" s="461">
        <v>177100</v>
      </c>
      <c r="K66" s="463"/>
      <c r="L66" s="780"/>
    </row>
    <row r="67" spans="2:13" ht="76.5" thickTop="1" thickBot="1" x14ac:dyDescent="0.25">
      <c r="B67" s="451" t="s">
        <v>857</v>
      </c>
      <c r="C67" s="451" t="s">
        <v>231</v>
      </c>
      <c r="D67" s="451" t="s">
        <v>206</v>
      </c>
      <c r="E67" s="451" t="s">
        <v>557</v>
      </c>
      <c r="F67" s="452" t="s">
        <v>1237</v>
      </c>
      <c r="G67" s="455" t="s">
        <v>594</v>
      </c>
      <c r="H67" s="456">
        <v>20652516.420000002</v>
      </c>
      <c r="I67" s="463">
        <f>(10870900.41+3614326)/H67</f>
        <v>0.70137827833766708</v>
      </c>
      <c r="J67" s="453">
        <f>(761045)+2000000</f>
        <v>2761045</v>
      </c>
      <c r="K67" s="463">
        <f>(10870900.41+3614326+J67)/H67</f>
        <v>0.83506876640459282</v>
      </c>
    </row>
    <row r="68" spans="2:13" ht="181.5" thickTop="1" thickBot="1" x14ac:dyDescent="0.25">
      <c r="B68" s="451" t="s">
        <v>858</v>
      </c>
      <c r="C68" s="451" t="s">
        <v>859</v>
      </c>
      <c r="D68" s="451" t="s">
        <v>234</v>
      </c>
      <c r="E68" s="451" t="s">
        <v>860</v>
      </c>
      <c r="F68" s="452" t="s">
        <v>1209</v>
      </c>
      <c r="G68" s="455" t="s">
        <v>690</v>
      </c>
      <c r="H68" s="456"/>
      <c r="I68" s="463">
        <v>0</v>
      </c>
      <c r="J68" s="453">
        <v>15000</v>
      </c>
      <c r="K68" s="463">
        <v>1</v>
      </c>
    </row>
    <row r="69" spans="2:13" ht="166.5" thickTop="1" thickBot="1" x14ac:dyDescent="0.25">
      <c r="B69" s="451" t="s">
        <v>858</v>
      </c>
      <c r="C69" s="451" t="s">
        <v>859</v>
      </c>
      <c r="D69" s="451" t="s">
        <v>234</v>
      </c>
      <c r="E69" s="451" t="s">
        <v>860</v>
      </c>
      <c r="F69" s="452" t="s">
        <v>1207</v>
      </c>
      <c r="G69" s="455" t="s">
        <v>690</v>
      </c>
      <c r="H69" s="456">
        <v>1170637</v>
      </c>
      <c r="I69" s="463">
        <v>0</v>
      </c>
      <c r="J69" s="453">
        <v>1170637</v>
      </c>
      <c r="K69" s="463">
        <f>J69/H69</f>
        <v>1</v>
      </c>
    </row>
    <row r="70" spans="2:13" ht="76.5" thickTop="1" thickBot="1" x14ac:dyDescent="0.25">
      <c r="B70" s="451" t="s">
        <v>858</v>
      </c>
      <c r="C70" s="451" t="s">
        <v>859</v>
      </c>
      <c r="D70" s="451" t="s">
        <v>234</v>
      </c>
      <c r="E70" s="451" t="s">
        <v>860</v>
      </c>
      <c r="F70" s="452" t="s">
        <v>1210</v>
      </c>
      <c r="G70" s="455" t="s">
        <v>600</v>
      </c>
      <c r="H70" s="456">
        <v>4786834</v>
      </c>
      <c r="I70" s="463">
        <f>(199700+1000000+2898451.2)/H70</f>
        <v>0.85612979267716416</v>
      </c>
      <c r="J70" s="453">
        <v>542580</v>
      </c>
      <c r="K70" s="463">
        <v>1</v>
      </c>
      <c r="L70" s="453"/>
      <c r="M70" s="780"/>
    </row>
    <row r="71" spans="2:13" ht="46.5" thickTop="1" thickBot="1" x14ac:dyDescent="0.25">
      <c r="B71" s="451" t="s">
        <v>873</v>
      </c>
      <c r="C71" s="451" t="s">
        <v>874</v>
      </c>
      <c r="D71" s="451" t="s">
        <v>235</v>
      </c>
      <c r="E71" s="451" t="s">
        <v>875</v>
      </c>
      <c r="F71" s="457" t="s">
        <v>590</v>
      </c>
      <c r="G71" s="455"/>
      <c r="H71" s="456"/>
      <c r="I71" s="463"/>
      <c r="J71" s="453">
        <v>50000</v>
      </c>
      <c r="K71" s="463"/>
      <c r="L71" s="751"/>
      <c r="M71" s="780"/>
    </row>
    <row r="72" spans="2:13" ht="46.5" thickTop="1" thickBot="1" x14ac:dyDescent="0.25">
      <c r="B72" s="451" t="s">
        <v>843</v>
      </c>
      <c r="C72" s="451" t="s">
        <v>844</v>
      </c>
      <c r="D72" s="451" t="s">
        <v>235</v>
      </c>
      <c r="E72" s="451" t="s">
        <v>845</v>
      </c>
      <c r="F72" s="457" t="s">
        <v>590</v>
      </c>
      <c r="G72" s="455"/>
      <c r="H72" s="456"/>
      <c r="I72" s="463"/>
      <c r="J72" s="453">
        <v>50000</v>
      </c>
      <c r="K72" s="463"/>
      <c r="L72" s="751"/>
      <c r="M72" s="780"/>
    </row>
    <row r="73" spans="2:13" ht="91.5" customHeight="1" thickTop="1" thickBot="1" x14ac:dyDescent="0.25">
      <c r="B73" s="451" t="s">
        <v>851</v>
      </c>
      <c r="C73" s="451" t="s">
        <v>852</v>
      </c>
      <c r="D73" s="451" t="s">
        <v>235</v>
      </c>
      <c r="E73" s="451" t="s">
        <v>853</v>
      </c>
      <c r="F73" s="457" t="s">
        <v>590</v>
      </c>
      <c r="G73" s="458"/>
      <c r="H73" s="459"/>
      <c r="I73" s="459"/>
      <c r="J73" s="461">
        <f>'d3'!K64</f>
        <v>2000000</v>
      </c>
      <c r="K73" s="461"/>
    </row>
    <row r="74" spans="2:13" ht="61.5" thickTop="1" thickBot="1" x14ac:dyDescent="0.25">
      <c r="B74" s="451" t="s">
        <v>840</v>
      </c>
      <c r="C74" s="451" t="s">
        <v>841</v>
      </c>
      <c r="D74" s="451" t="s">
        <v>235</v>
      </c>
      <c r="E74" s="451" t="s">
        <v>842</v>
      </c>
      <c r="F74" s="452" t="s">
        <v>590</v>
      </c>
      <c r="G74" s="455"/>
      <c r="H74" s="456"/>
      <c r="I74" s="456"/>
      <c r="J74" s="453">
        <f>2396198</f>
        <v>2396198</v>
      </c>
      <c r="K74" s="453"/>
    </row>
    <row r="75" spans="2:13" ht="46.5" thickTop="1" thickBot="1" x14ac:dyDescent="0.25">
      <c r="B75" s="688" t="s">
        <v>175</v>
      </c>
      <c r="C75" s="688"/>
      <c r="D75" s="688"/>
      <c r="E75" s="689" t="s">
        <v>18</v>
      </c>
      <c r="F75" s="694"/>
      <c r="G75" s="690"/>
      <c r="H75" s="690"/>
      <c r="I75" s="690"/>
      <c r="J75" s="694">
        <f>J76</f>
        <v>16231823</v>
      </c>
      <c r="K75" s="694"/>
    </row>
    <row r="76" spans="2:13" ht="44.25" thickTop="1" thickBot="1" x14ac:dyDescent="0.25">
      <c r="B76" s="691" t="s">
        <v>176</v>
      </c>
      <c r="C76" s="691"/>
      <c r="D76" s="691"/>
      <c r="E76" s="692" t="s">
        <v>38</v>
      </c>
      <c r="F76" s="695"/>
      <c r="G76" s="695"/>
      <c r="H76" s="695"/>
      <c r="I76" s="695"/>
      <c r="J76" s="695">
        <f>SUM(J77:J89)</f>
        <v>16231823</v>
      </c>
      <c r="K76" s="695"/>
    </row>
    <row r="77" spans="2:13" ht="91.5" thickTop="1" thickBot="1" x14ac:dyDescent="0.25">
      <c r="B77" s="454" t="s">
        <v>476</v>
      </c>
      <c r="C77" s="454" t="s">
        <v>222</v>
      </c>
      <c r="D77" s="454" t="s">
        <v>191</v>
      </c>
      <c r="E77" s="454" t="s">
        <v>36</v>
      </c>
      <c r="F77" s="513" t="s">
        <v>785</v>
      </c>
      <c r="G77" s="455"/>
      <c r="H77" s="456"/>
      <c r="I77" s="463"/>
      <c r="J77" s="453">
        <f>(437500)+3000000+500000+1500000</f>
        <v>5437500</v>
      </c>
      <c r="K77" s="463"/>
    </row>
    <row r="78" spans="2:13" ht="136.5" thickTop="1" thickBot="1" x14ac:dyDescent="0.25">
      <c r="B78" s="454" t="s">
        <v>476</v>
      </c>
      <c r="C78" s="454" t="s">
        <v>222</v>
      </c>
      <c r="D78" s="454" t="s">
        <v>191</v>
      </c>
      <c r="E78" s="454" t="s">
        <v>36</v>
      </c>
      <c r="F78" s="513" t="s">
        <v>786</v>
      </c>
      <c r="G78" s="455" t="s">
        <v>542</v>
      </c>
      <c r="H78" s="456">
        <v>725500</v>
      </c>
      <c r="I78" s="463">
        <f>457500/H78</f>
        <v>0.63059958649207448</v>
      </c>
      <c r="J78" s="453">
        <v>268000</v>
      </c>
      <c r="K78" s="463">
        <f>(J78+457500)/H78</f>
        <v>1</v>
      </c>
    </row>
    <row r="79" spans="2:13" ht="181.5" thickTop="1" thickBot="1" x14ac:dyDescent="0.25">
      <c r="B79" s="454" t="s">
        <v>476</v>
      </c>
      <c r="C79" s="454" t="s">
        <v>222</v>
      </c>
      <c r="D79" s="454" t="s">
        <v>191</v>
      </c>
      <c r="E79" s="454" t="s">
        <v>36</v>
      </c>
      <c r="F79" s="462" t="s">
        <v>734</v>
      </c>
      <c r="G79" s="458" t="s">
        <v>542</v>
      </c>
      <c r="H79" s="459">
        <v>1860900</v>
      </c>
      <c r="I79" s="460">
        <f>(49400)/H79</f>
        <v>2.6546294803589662E-2</v>
      </c>
      <c r="J79" s="461">
        <v>900000</v>
      </c>
      <c r="K79" s="460">
        <f>(J79+49400)/H79</f>
        <v>0.51018324466655918</v>
      </c>
    </row>
    <row r="80" spans="2:13" ht="91.5" thickTop="1" thickBot="1" x14ac:dyDescent="0.25">
      <c r="B80" s="454" t="s">
        <v>476</v>
      </c>
      <c r="C80" s="454" t="s">
        <v>222</v>
      </c>
      <c r="D80" s="454" t="s">
        <v>191</v>
      </c>
      <c r="E80" s="451" t="s">
        <v>36</v>
      </c>
      <c r="F80" s="514" t="s">
        <v>595</v>
      </c>
      <c r="G80" s="458"/>
      <c r="H80" s="459"/>
      <c r="I80" s="460"/>
      <c r="J80" s="461">
        <f>(129406)+800000</f>
        <v>929406</v>
      </c>
      <c r="K80" s="460"/>
    </row>
    <row r="81" spans="2:11" ht="151.5" thickTop="1" thickBot="1" x14ac:dyDescent="0.25">
      <c r="B81" s="454" t="s">
        <v>476</v>
      </c>
      <c r="C81" s="454" t="s">
        <v>222</v>
      </c>
      <c r="D81" s="454" t="s">
        <v>191</v>
      </c>
      <c r="E81" s="454" t="s">
        <v>36</v>
      </c>
      <c r="F81" s="513" t="s">
        <v>736</v>
      </c>
      <c r="G81" s="458" t="s">
        <v>609</v>
      </c>
      <c r="H81" s="459">
        <v>2286900</v>
      </c>
      <c r="I81" s="460">
        <f>41107/H81</f>
        <v>1.7974987974987974E-2</v>
      </c>
      <c r="J81" s="461">
        <f>2286900-41107</f>
        <v>2245793</v>
      </c>
      <c r="K81" s="460">
        <f>(J81+41107)/H81</f>
        <v>1</v>
      </c>
    </row>
    <row r="82" spans="2:11" ht="151.5" thickTop="1" thickBot="1" x14ac:dyDescent="0.25">
      <c r="B82" s="454" t="s">
        <v>476</v>
      </c>
      <c r="C82" s="454" t="s">
        <v>222</v>
      </c>
      <c r="D82" s="454" t="s">
        <v>191</v>
      </c>
      <c r="E82" s="454" t="s">
        <v>36</v>
      </c>
      <c r="F82" s="513" t="s">
        <v>782</v>
      </c>
      <c r="G82" s="458" t="s">
        <v>783</v>
      </c>
      <c r="H82" s="459">
        <v>24579593</v>
      </c>
      <c r="I82" s="460">
        <f>600000/H82</f>
        <v>2.4410493696946079E-2</v>
      </c>
      <c r="J82" s="461">
        <v>500000</v>
      </c>
      <c r="K82" s="460">
        <f>(J82+600000)/H82</f>
        <v>4.4752571777734479E-2</v>
      </c>
    </row>
    <row r="83" spans="2:11" ht="91.5" thickTop="1" thickBot="1" x14ac:dyDescent="0.25">
      <c r="B83" s="454" t="s">
        <v>476</v>
      </c>
      <c r="C83" s="454" t="s">
        <v>222</v>
      </c>
      <c r="D83" s="454" t="s">
        <v>191</v>
      </c>
      <c r="E83" s="454" t="s">
        <v>36</v>
      </c>
      <c r="F83" s="513" t="s">
        <v>613</v>
      </c>
      <c r="G83" s="455"/>
      <c r="H83" s="456"/>
      <c r="I83" s="463"/>
      <c r="J83" s="453">
        <f>(1000000)+952000+1000000+500000</f>
        <v>3452000</v>
      </c>
      <c r="K83" s="463"/>
    </row>
    <row r="84" spans="2:11" ht="136.5" thickTop="1" thickBot="1" x14ac:dyDescent="0.25">
      <c r="B84" s="454" t="s">
        <v>476</v>
      </c>
      <c r="C84" s="454" t="s">
        <v>222</v>
      </c>
      <c r="D84" s="454" t="s">
        <v>191</v>
      </c>
      <c r="E84" s="454" t="s">
        <v>36</v>
      </c>
      <c r="F84" s="513" t="s">
        <v>735</v>
      </c>
      <c r="G84" s="458" t="s">
        <v>690</v>
      </c>
      <c r="H84" s="459">
        <v>299806.42</v>
      </c>
      <c r="I84" s="460">
        <v>0</v>
      </c>
      <c r="J84" s="461">
        <v>299806</v>
      </c>
      <c r="K84" s="460">
        <f>(J84)/H84</f>
        <v>0.99999859909604338</v>
      </c>
    </row>
    <row r="85" spans="2:11" ht="91.5" thickTop="1" thickBot="1" x14ac:dyDescent="0.25">
      <c r="B85" s="454" t="s">
        <v>476</v>
      </c>
      <c r="C85" s="454" t="s">
        <v>222</v>
      </c>
      <c r="D85" s="454" t="s">
        <v>191</v>
      </c>
      <c r="E85" s="454" t="s">
        <v>36</v>
      </c>
      <c r="F85" s="513" t="s">
        <v>810</v>
      </c>
      <c r="G85" s="458"/>
      <c r="H85" s="459"/>
      <c r="I85" s="460"/>
      <c r="J85" s="461">
        <f>(500000)+300000</f>
        <v>800000</v>
      </c>
      <c r="K85" s="460"/>
    </row>
    <row r="86" spans="2:11" ht="106.5" thickTop="1" thickBot="1" x14ac:dyDescent="0.25">
      <c r="B86" s="454" t="s">
        <v>476</v>
      </c>
      <c r="C86" s="454" t="s">
        <v>222</v>
      </c>
      <c r="D86" s="454" t="s">
        <v>191</v>
      </c>
      <c r="E86" s="454" t="s">
        <v>36</v>
      </c>
      <c r="F86" s="513" t="s">
        <v>596</v>
      </c>
      <c r="G86" s="455"/>
      <c r="H86" s="456"/>
      <c r="I86" s="455"/>
      <c r="J86" s="453">
        <f>(700000+136258+107000)-100000</f>
        <v>843258</v>
      </c>
      <c r="K86" s="460"/>
    </row>
    <row r="87" spans="2:11" ht="151.5" thickTop="1" thickBot="1" x14ac:dyDescent="0.25">
      <c r="B87" s="454" t="s">
        <v>476</v>
      </c>
      <c r="C87" s="454" t="s">
        <v>222</v>
      </c>
      <c r="D87" s="454" t="s">
        <v>191</v>
      </c>
      <c r="E87" s="454" t="s">
        <v>36</v>
      </c>
      <c r="F87" s="513" t="s">
        <v>784</v>
      </c>
      <c r="G87" s="458" t="s">
        <v>690</v>
      </c>
      <c r="H87" s="461">
        <v>77072</v>
      </c>
      <c r="I87" s="460">
        <v>0</v>
      </c>
      <c r="J87" s="461">
        <v>77072</v>
      </c>
      <c r="K87" s="460">
        <f>(J87)/H87</f>
        <v>1</v>
      </c>
    </row>
    <row r="88" spans="2:11" ht="151.5" thickTop="1" thickBot="1" x14ac:dyDescent="0.25">
      <c r="B88" s="454" t="s">
        <v>476</v>
      </c>
      <c r="C88" s="454" t="s">
        <v>222</v>
      </c>
      <c r="D88" s="454" t="s">
        <v>191</v>
      </c>
      <c r="E88" s="454" t="s">
        <v>36</v>
      </c>
      <c r="F88" s="513" t="s">
        <v>1275</v>
      </c>
      <c r="G88" s="458" t="s">
        <v>690</v>
      </c>
      <c r="H88" s="456">
        <v>123940</v>
      </c>
      <c r="I88" s="460">
        <v>0</v>
      </c>
      <c r="J88" s="453">
        <v>123940</v>
      </c>
      <c r="K88" s="460">
        <f>(J88)/H88</f>
        <v>1</v>
      </c>
    </row>
    <row r="89" spans="2:11" ht="136.5" thickTop="1" thickBot="1" x14ac:dyDescent="0.25">
      <c r="B89" s="454" t="s">
        <v>476</v>
      </c>
      <c r="C89" s="454" t="s">
        <v>222</v>
      </c>
      <c r="D89" s="454" t="s">
        <v>191</v>
      </c>
      <c r="E89" s="454" t="s">
        <v>36</v>
      </c>
      <c r="F89" s="514" t="s">
        <v>1176</v>
      </c>
      <c r="G89" s="458" t="s">
        <v>542</v>
      </c>
      <c r="H89" s="459">
        <v>355048</v>
      </c>
      <c r="I89" s="460">
        <v>0</v>
      </c>
      <c r="J89" s="461">
        <v>355048</v>
      </c>
      <c r="K89" s="460">
        <f>(J89)/H89</f>
        <v>1</v>
      </c>
    </row>
    <row r="90" spans="2:11" ht="46.5" thickTop="1" thickBot="1" x14ac:dyDescent="0.25">
      <c r="B90" s="688" t="s">
        <v>177</v>
      </c>
      <c r="C90" s="688"/>
      <c r="D90" s="688"/>
      <c r="E90" s="689" t="s">
        <v>39</v>
      </c>
      <c r="F90" s="694"/>
      <c r="G90" s="690"/>
      <c r="H90" s="690"/>
      <c r="I90" s="690"/>
      <c r="J90" s="694">
        <f>J91</f>
        <v>6289780</v>
      </c>
      <c r="K90" s="694"/>
    </row>
    <row r="91" spans="2:11" ht="58.5" thickTop="1" thickBot="1" x14ac:dyDescent="0.25">
      <c r="B91" s="691" t="s">
        <v>178</v>
      </c>
      <c r="C91" s="691"/>
      <c r="D91" s="691"/>
      <c r="E91" s="692" t="s">
        <v>40</v>
      </c>
      <c r="F91" s="695"/>
      <c r="G91" s="695"/>
      <c r="H91" s="695"/>
      <c r="I91" s="695"/>
      <c r="J91" s="695">
        <f>SUM(J92:J100)</f>
        <v>6289780</v>
      </c>
      <c r="K91" s="695"/>
    </row>
    <row r="92" spans="2:11" ht="61.5" thickTop="1" thickBot="1" x14ac:dyDescent="0.25">
      <c r="B92" s="454" t="s">
        <v>453</v>
      </c>
      <c r="C92" s="454" t="s">
        <v>261</v>
      </c>
      <c r="D92" s="454" t="s">
        <v>259</v>
      </c>
      <c r="E92" s="454" t="s">
        <v>260</v>
      </c>
      <c r="F92" s="513" t="s">
        <v>590</v>
      </c>
      <c r="G92" s="455"/>
      <c r="H92" s="456"/>
      <c r="I92" s="455"/>
      <c r="J92" s="456">
        <v>911000</v>
      </c>
      <c r="K92" s="456"/>
    </row>
    <row r="93" spans="2:11" ht="91.5" thickTop="1" thickBot="1" x14ac:dyDescent="0.25">
      <c r="B93" s="454" t="s">
        <v>453</v>
      </c>
      <c r="C93" s="454" t="s">
        <v>261</v>
      </c>
      <c r="D93" s="454" t="s">
        <v>259</v>
      </c>
      <c r="E93" s="454" t="s">
        <v>260</v>
      </c>
      <c r="F93" s="513" t="s">
        <v>1192</v>
      </c>
      <c r="G93" s="455" t="s">
        <v>609</v>
      </c>
      <c r="H93" s="456">
        <v>1439300</v>
      </c>
      <c r="I93" s="460">
        <f>850000/H93</f>
        <v>0.59056485791704305</v>
      </c>
      <c r="J93" s="456">
        <v>250000</v>
      </c>
      <c r="K93" s="460">
        <v>1</v>
      </c>
    </row>
    <row r="94" spans="2:11" ht="46.5" thickTop="1" thickBot="1" x14ac:dyDescent="0.25">
      <c r="B94" s="454" t="s">
        <v>294</v>
      </c>
      <c r="C94" s="454" t="s">
        <v>295</v>
      </c>
      <c r="D94" s="454" t="s">
        <v>230</v>
      </c>
      <c r="E94" s="515" t="s">
        <v>296</v>
      </c>
      <c r="F94" s="452" t="s">
        <v>597</v>
      </c>
      <c r="G94" s="455" t="s">
        <v>690</v>
      </c>
      <c r="H94" s="516"/>
      <c r="I94" s="520">
        <v>0</v>
      </c>
      <c r="J94" s="453">
        <v>199000</v>
      </c>
      <c r="K94" s="463">
        <v>1</v>
      </c>
    </row>
    <row r="95" spans="2:11" ht="61.5" thickTop="1" thickBot="1" x14ac:dyDescent="0.25">
      <c r="B95" s="454" t="s">
        <v>292</v>
      </c>
      <c r="C95" s="454" t="s">
        <v>290</v>
      </c>
      <c r="D95" s="454" t="s">
        <v>225</v>
      </c>
      <c r="E95" s="454" t="s">
        <v>17</v>
      </c>
      <c r="F95" s="513" t="s">
        <v>590</v>
      </c>
      <c r="G95" s="455"/>
      <c r="H95" s="516"/>
      <c r="I95" s="517"/>
      <c r="J95" s="453">
        <f>58000+15000+25000+30000</f>
        <v>128000</v>
      </c>
      <c r="K95" s="463"/>
    </row>
    <row r="96" spans="2:11" ht="31.5" thickTop="1" thickBot="1" x14ac:dyDescent="0.25">
      <c r="B96" s="454" t="s">
        <v>293</v>
      </c>
      <c r="C96" s="454" t="s">
        <v>291</v>
      </c>
      <c r="D96" s="454" t="s">
        <v>224</v>
      </c>
      <c r="E96" s="454" t="s">
        <v>501</v>
      </c>
      <c r="F96" s="513" t="s">
        <v>590</v>
      </c>
      <c r="G96" s="455"/>
      <c r="H96" s="516"/>
      <c r="I96" s="517"/>
      <c r="J96" s="453">
        <v>43440</v>
      </c>
      <c r="K96" s="463"/>
    </row>
    <row r="97" spans="1:12" ht="46.5" thickTop="1" thickBot="1" x14ac:dyDescent="0.25">
      <c r="B97" s="454" t="s">
        <v>360</v>
      </c>
      <c r="C97" s="454" t="s">
        <v>362</v>
      </c>
      <c r="D97" s="454" t="s">
        <v>216</v>
      </c>
      <c r="E97" s="518" t="s">
        <v>364</v>
      </c>
      <c r="F97" s="513" t="s">
        <v>590</v>
      </c>
      <c r="G97" s="453"/>
      <c r="H97" s="453"/>
      <c r="I97" s="519"/>
      <c r="J97" s="456">
        <f>(72894+138259+40788+136399)</f>
        <v>388340</v>
      </c>
      <c r="K97" s="456"/>
    </row>
    <row r="98" spans="1:12" ht="31.5" thickTop="1" thickBot="1" x14ac:dyDescent="0.25">
      <c r="B98" s="454" t="s">
        <v>361</v>
      </c>
      <c r="C98" s="454" t="s">
        <v>363</v>
      </c>
      <c r="D98" s="454" t="s">
        <v>216</v>
      </c>
      <c r="E98" s="518" t="s">
        <v>365</v>
      </c>
      <c r="F98" s="452" t="s">
        <v>597</v>
      </c>
      <c r="G98" s="455" t="s">
        <v>690</v>
      </c>
      <c r="H98" s="453"/>
      <c r="I98" s="520">
        <v>0</v>
      </c>
      <c r="J98" s="456">
        <v>150000</v>
      </c>
      <c r="K98" s="463">
        <v>1</v>
      </c>
      <c r="L98" s="783"/>
    </row>
    <row r="99" spans="1:12" ht="46.5" thickTop="1" thickBot="1" x14ac:dyDescent="0.25">
      <c r="B99" s="454" t="s">
        <v>403</v>
      </c>
      <c r="C99" s="454" t="s">
        <v>401</v>
      </c>
      <c r="D99" s="454" t="s">
        <v>373</v>
      </c>
      <c r="E99" s="518" t="s">
        <v>402</v>
      </c>
      <c r="F99" s="455" t="s">
        <v>598</v>
      </c>
      <c r="G99" s="455"/>
      <c r="H99" s="453"/>
      <c r="I99" s="519"/>
      <c r="J99" s="456">
        <v>4000000</v>
      </c>
      <c r="K99" s="463"/>
    </row>
    <row r="100" spans="1:12" ht="106.5" thickTop="1" thickBot="1" x14ac:dyDescent="0.25">
      <c r="B100" s="451" t="s">
        <v>1195</v>
      </c>
      <c r="C100" s="451" t="s">
        <v>1196</v>
      </c>
      <c r="D100" s="451" t="s">
        <v>330</v>
      </c>
      <c r="E100" s="451" t="s">
        <v>1199</v>
      </c>
      <c r="F100" s="478" t="s">
        <v>1200</v>
      </c>
      <c r="G100" s="456" t="s">
        <v>609</v>
      </c>
      <c r="H100" s="453">
        <f>8638500+1849000</f>
        <v>10487500</v>
      </c>
      <c r="I100" s="463">
        <f>(1996859.63+6999090.23)/H100</f>
        <v>0.85777829415971385</v>
      </c>
      <c r="J100" s="456">
        <v>220000</v>
      </c>
      <c r="K100" s="463">
        <v>1</v>
      </c>
    </row>
    <row r="101" spans="1:12" ht="46.5" thickTop="1" thickBot="1" x14ac:dyDescent="0.25">
      <c r="A101" s="322"/>
      <c r="B101" s="688">
        <v>1000000</v>
      </c>
      <c r="C101" s="688"/>
      <c r="D101" s="688"/>
      <c r="E101" s="689" t="s">
        <v>24</v>
      </c>
      <c r="F101" s="694"/>
      <c r="G101" s="690"/>
      <c r="H101" s="690"/>
      <c r="I101" s="690"/>
      <c r="J101" s="694">
        <f>J102</f>
        <v>7466000</v>
      </c>
      <c r="K101" s="694"/>
    </row>
    <row r="102" spans="1:12" ht="44.25" thickTop="1" thickBot="1" x14ac:dyDescent="0.25">
      <c r="A102" s="322"/>
      <c r="B102" s="691">
        <v>1010000</v>
      </c>
      <c r="C102" s="691"/>
      <c r="D102" s="691"/>
      <c r="E102" s="692" t="s">
        <v>41</v>
      </c>
      <c r="F102" s="695"/>
      <c r="G102" s="695"/>
      <c r="H102" s="695"/>
      <c r="I102" s="695"/>
      <c r="J102" s="695">
        <f>SUM(J103:J110)</f>
        <v>7466000</v>
      </c>
      <c r="K102" s="695"/>
    </row>
    <row r="103" spans="1:12" ht="61.5" thickTop="1" thickBot="1" x14ac:dyDescent="0.25">
      <c r="A103" s="322"/>
      <c r="B103" s="451" t="s">
        <v>831</v>
      </c>
      <c r="C103" s="451" t="s">
        <v>832</v>
      </c>
      <c r="D103" s="451" t="s">
        <v>206</v>
      </c>
      <c r="E103" s="451" t="s">
        <v>558</v>
      </c>
      <c r="F103" s="452" t="s">
        <v>1170</v>
      </c>
      <c r="G103" s="456" t="s">
        <v>1148</v>
      </c>
      <c r="H103" s="459">
        <f>2590760+1500000</f>
        <v>4090760</v>
      </c>
      <c r="I103" s="520">
        <f>1829721.61/H103</f>
        <v>0.44728158337326074</v>
      </c>
      <c r="J103" s="456">
        <v>1000000</v>
      </c>
      <c r="K103" s="520">
        <f>(1829721.61+J103)/H103</f>
        <v>0.69173493678436293</v>
      </c>
      <c r="L103" s="314" t="s">
        <v>1171</v>
      </c>
    </row>
    <row r="104" spans="1:12" ht="31.5" thickTop="1" thickBot="1" x14ac:dyDescent="0.25">
      <c r="A104" s="322"/>
      <c r="B104" s="454" t="s">
        <v>197</v>
      </c>
      <c r="C104" s="454" t="s">
        <v>198</v>
      </c>
      <c r="D104" s="454" t="s">
        <v>199</v>
      </c>
      <c r="E104" s="454" t="s">
        <v>200</v>
      </c>
      <c r="F104" s="452" t="s">
        <v>590</v>
      </c>
      <c r="G104" s="456"/>
      <c r="H104" s="456"/>
      <c r="I104" s="520"/>
      <c r="J104" s="456">
        <f>(10000+28000)+766000</f>
        <v>804000</v>
      </c>
      <c r="K104" s="520"/>
    </row>
    <row r="105" spans="1:12" ht="76.5" thickTop="1" thickBot="1" x14ac:dyDescent="0.25">
      <c r="A105" s="322"/>
      <c r="B105" s="454" t="s">
        <v>197</v>
      </c>
      <c r="C105" s="454" t="s">
        <v>198</v>
      </c>
      <c r="D105" s="454" t="s">
        <v>199</v>
      </c>
      <c r="E105" s="454" t="s">
        <v>200</v>
      </c>
      <c r="F105" s="452" t="s">
        <v>744</v>
      </c>
      <c r="G105" s="455" t="s">
        <v>690</v>
      </c>
      <c r="H105" s="456"/>
      <c r="I105" s="520">
        <v>0</v>
      </c>
      <c r="J105" s="456">
        <v>84000</v>
      </c>
      <c r="K105" s="520">
        <v>1</v>
      </c>
    </row>
    <row r="106" spans="1:12" ht="61.5" thickTop="1" thickBot="1" x14ac:dyDescent="0.25">
      <c r="A106" s="322"/>
      <c r="B106" s="454" t="s">
        <v>197</v>
      </c>
      <c r="C106" s="454" t="s">
        <v>198</v>
      </c>
      <c r="D106" s="454" t="s">
        <v>199</v>
      </c>
      <c r="E106" s="454" t="s">
        <v>200</v>
      </c>
      <c r="F106" s="452" t="s">
        <v>745</v>
      </c>
      <c r="G106" s="455" t="s">
        <v>690</v>
      </c>
      <c r="H106" s="456"/>
      <c r="I106" s="520">
        <v>0</v>
      </c>
      <c r="J106" s="456">
        <v>67000</v>
      </c>
      <c r="K106" s="520">
        <v>1</v>
      </c>
    </row>
    <row r="107" spans="1:12" ht="31.5" thickTop="1" thickBot="1" x14ac:dyDescent="0.25">
      <c r="A107" s="322"/>
      <c r="B107" s="454" t="s">
        <v>201</v>
      </c>
      <c r="C107" s="454" t="s">
        <v>202</v>
      </c>
      <c r="D107" s="454" t="s">
        <v>199</v>
      </c>
      <c r="E107" s="454" t="s">
        <v>511</v>
      </c>
      <c r="F107" s="452" t="s">
        <v>590</v>
      </c>
      <c r="G107" s="455"/>
      <c r="H107" s="456"/>
      <c r="I107" s="520"/>
      <c r="J107" s="456">
        <f>14900+150000</f>
        <v>164900</v>
      </c>
      <c r="K107" s="463"/>
    </row>
    <row r="108" spans="1:12" ht="61.5" thickTop="1" thickBot="1" x14ac:dyDescent="0.25">
      <c r="A108" s="322"/>
      <c r="B108" s="454" t="s">
        <v>201</v>
      </c>
      <c r="C108" s="454" t="s">
        <v>202</v>
      </c>
      <c r="D108" s="454" t="s">
        <v>199</v>
      </c>
      <c r="E108" s="454" t="s">
        <v>511</v>
      </c>
      <c r="F108" s="478" t="s">
        <v>1276</v>
      </c>
      <c r="G108" s="456" t="s">
        <v>599</v>
      </c>
      <c r="H108" s="456">
        <v>27064985</v>
      </c>
      <c r="I108" s="520">
        <f>(1430336+2994769.5+4929931.79+5600000)/H108</f>
        <v>0.55256033912451819</v>
      </c>
      <c r="J108" s="456">
        <f>(3000000)+2000000</f>
        <v>5000000</v>
      </c>
      <c r="K108" s="520">
        <f>(1430336+2994769.5+4929931.79+5600000+J108)/H108</f>
        <v>0.73730088119391157</v>
      </c>
    </row>
    <row r="109" spans="1:12" ht="46.5" thickTop="1" thickBot="1" x14ac:dyDescent="0.25">
      <c r="A109" s="322"/>
      <c r="B109" s="454" t="s">
        <v>203</v>
      </c>
      <c r="C109" s="454" t="s">
        <v>194</v>
      </c>
      <c r="D109" s="454" t="s">
        <v>204</v>
      </c>
      <c r="E109" s="454" t="s">
        <v>205</v>
      </c>
      <c r="F109" s="452" t="s">
        <v>590</v>
      </c>
      <c r="G109" s="456"/>
      <c r="H109" s="456"/>
      <c r="I109" s="520"/>
      <c r="J109" s="456">
        <f>(124500)+16500+5100</f>
        <v>146100</v>
      </c>
      <c r="K109" s="520"/>
    </row>
    <row r="110" spans="1:12" ht="106.5" thickTop="1" thickBot="1" x14ac:dyDescent="0.25">
      <c r="A110" s="322"/>
      <c r="B110" s="454" t="s">
        <v>1174</v>
      </c>
      <c r="C110" s="454" t="s">
        <v>222</v>
      </c>
      <c r="D110" s="454" t="s">
        <v>191</v>
      </c>
      <c r="E110" s="454" t="s">
        <v>36</v>
      </c>
      <c r="F110" s="514" t="s">
        <v>1175</v>
      </c>
      <c r="G110" s="455" t="s">
        <v>690</v>
      </c>
      <c r="H110" s="456">
        <v>200000</v>
      </c>
      <c r="I110" s="463">
        <v>0</v>
      </c>
      <c r="J110" s="456">
        <v>200000</v>
      </c>
      <c r="K110" s="463">
        <f>(J110)/H110</f>
        <v>1</v>
      </c>
    </row>
    <row r="111" spans="1:12" ht="46.5" thickTop="1" thickBot="1" x14ac:dyDescent="0.25">
      <c r="B111" s="688" t="s">
        <v>22</v>
      </c>
      <c r="C111" s="688"/>
      <c r="D111" s="688"/>
      <c r="E111" s="689" t="s">
        <v>23</v>
      </c>
      <c r="F111" s="694"/>
      <c r="G111" s="690"/>
      <c r="H111" s="690"/>
      <c r="I111" s="690"/>
      <c r="J111" s="694">
        <f>J112</f>
        <v>4267458</v>
      </c>
      <c r="K111" s="694"/>
    </row>
    <row r="112" spans="1:12" ht="44.25" thickTop="1" thickBot="1" x14ac:dyDescent="0.25">
      <c r="B112" s="691" t="s">
        <v>21</v>
      </c>
      <c r="C112" s="691"/>
      <c r="D112" s="691"/>
      <c r="E112" s="692" t="s">
        <v>37</v>
      </c>
      <c r="F112" s="695"/>
      <c r="G112" s="695"/>
      <c r="H112" s="695"/>
      <c r="I112" s="695"/>
      <c r="J112" s="695">
        <f>SUM(J113:J122)</f>
        <v>4267458</v>
      </c>
      <c r="K112" s="695"/>
    </row>
    <row r="113" spans="2:13" ht="46.5" thickTop="1" thickBot="1" x14ac:dyDescent="0.25">
      <c r="B113" s="454" t="s">
        <v>214</v>
      </c>
      <c r="C113" s="454" t="s">
        <v>215</v>
      </c>
      <c r="D113" s="454" t="s">
        <v>210</v>
      </c>
      <c r="E113" s="454" t="s">
        <v>10</v>
      </c>
      <c r="F113" s="452" t="s">
        <v>748</v>
      </c>
      <c r="G113" s="455" t="s">
        <v>690</v>
      </c>
      <c r="H113" s="453">
        <v>733957</v>
      </c>
      <c r="I113" s="463">
        <f>0/H113</f>
        <v>0</v>
      </c>
      <c r="J113" s="453">
        <v>733957</v>
      </c>
      <c r="K113" s="463">
        <f>(J113)/H113</f>
        <v>1</v>
      </c>
    </row>
    <row r="114" spans="2:13" s="95" customFormat="1" ht="46.5" thickTop="1" thickBot="1" x14ac:dyDescent="0.25">
      <c r="B114" s="454" t="s">
        <v>28</v>
      </c>
      <c r="C114" s="454" t="s">
        <v>217</v>
      </c>
      <c r="D114" s="454" t="s">
        <v>220</v>
      </c>
      <c r="E114" s="454" t="s">
        <v>50</v>
      </c>
      <c r="F114" s="452" t="s">
        <v>590</v>
      </c>
      <c r="G114" s="455"/>
      <c r="H114" s="456"/>
      <c r="I114" s="455"/>
      <c r="J114" s="453">
        <f>(77910+32400+91670)+86000+216360</f>
        <v>504340</v>
      </c>
      <c r="K114" s="453"/>
    </row>
    <row r="115" spans="2:13" s="95" customFormat="1" ht="91.5" thickTop="1" thickBot="1" x14ac:dyDescent="0.25">
      <c r="B115" s="454" t="s">
        <v>28</v>
      </c>
      <c r="C115" s="454" t="s">
        <v>217</v>
      </c>
      <c r="D115" s="454" t="s">
        <v>220</v>
      </c>
      <c r="E115" s="454" t="s">
        <v>50</v>
      </c>
      <c r="F115" s="452" t="s">
        <v>1277</v>
      </c>
      <c r="G115" s="455" t="s">
        <v>690</v>
      </c>
      <c r="H115" s="456"/>
      <c r="I115" s="460">
        <v>0</v>
      </c>
      <c r="J115" s="453">
        <v>48600</v>
      </c>
      <c r="K115" s="460">
        <v>1</v>
      </c>
    </row>
    <row r="116" spans="2:13" s="95" customFormat="1" ht="61.5" thickTop="1" thickBot="1" x14ac:dyDescent="0.25">
      <c r="B116" s="454" t="s">
        <v>28</v>
      </c>
      <c r="C116" s="454" t="s">
        <v>217</v>
      </c>
      <c r="D116" s="454" t="s">
        <v>220</v>
      </c>
      <c r="E116" s="454" t="s">
        <v>50</v>
      </c>
      <c r="F116" s="452" t="s">
        <v>1145</v>
      </c>
      <c r="G116" s="455" t="s">
        <v>690</v>
      </c>
      <c r="H116" s="456"/>
      <c r="I116" s="460">
        <v>0</v>
      </c>
      <c r="J116" s="453">
        <v>33250</v>
      </c>
      <c r="K116" s="460">
        <v>1</v>
      </c>
      <c r="L116" s="646" t="s">
        <v>1146</v>
      </c>
    </row>
    <row r="117" spans="2:13" s="95" customFormat="1" ht="76.5" thickTop="1" thickBot="1" x14ac:dyDescent="0.25">
      <c r="B117" s="454" t="s">
        <v>28</v>
      </c>
      <c r="C117" s="454" t="s">
        <v>217</v>
      </c>
      <c r="D117" s="454" t="s">
        <v>220</v>
      </c>
      <c r="E117" s="454" t="s">
        <v>50</v>
      </c>
      <c r="F117" s="452" t="s">
        <v>1153</v>
      </c>
      <c r="G117" s="459" t="s">
        <v>1148</v>
      </c>
      <c r="H117" s="459">
        <v>1592500</v>
      </c>
      <c r="I117" s="460">
        <f>(61861.62)/H117</f>
        <v>3.8845601255886972E-2</v>
      </c>
      <c r="J117" s="461">
        <f>16200+9287+1509600-4449</f>
        <v>1530638</v>
      </c>
      <c r="K117" s="460">
        <f>(J117+61861.62)/H117</f>
        <v>0.99999976138147573</v>
      </c>
      <c r="L117" s="784"/>
      <c r="M117" s="784"/>
    </row>
    <row r="118" spans="2:13" s="95" customFormat="1" ht="61.5" thickTop="1" thickBot="1" x14ac:dyDescent="0.25">
      <c r="B118" s="454" t="s">
        <v>28</v>
      </c>
      <c r="C118" s="454" t="s">
        <v>217</v>
      </c>
      <c r="D118" s="454" t="s">
        <v>220</v>
      </c>
      <c r="E118" s="454" t="s">
        <v>50</v>
      </c>
      <c r="F118" s="452" t="s">
        <v>778</v>
      </c>
      <c r="G118" s="455" t="s">
        <v>690</v>
      </c>
      <c r="H118" s="456"/>
      <c r="I118" s="460">
        <v>0</v>
      </c>
      <c r="J118" s="461">
        <f>405800-255801</f>
        <v>149999</v>
      </c>
      <c r="K118" s="460">
        <v>1</v>
      </c>
    </row>
    <row r="119" spans="2:13" s="95" customFormat="1" ht="61.5" thickTop="1" thickBot="1" x14ac:dyDescent="0.25">
      <c r="B119" s="454" t="s">
        <v>28</v>
      </c>
      <c r="C119" s="454" t="s">
        <v>217</v>
      </c>
      <c r="D119" s="454" t="s">
        <v>220</v>
      </c>
      <c r="E119" s="454" t="s">
        <v>50</v>
      </c>
      <c r="F119" s="452" t="s">
        <v>779</v>
      </c>
      <c r="G119" s="455" t="s">
        <v>690</v>
      </c>
      <c r="H119" s="456"/>
      <c r="I119" s="460">
        <v>0</v>
      </c>
      <c r="J119" s="453">
        <v>200000</v>
      </c>
      <c r="K119" s="460">
        <v>1</v>
      </c>
    </row>
    <row r="120" spans="2:13" s="95" customFormat="1" ht="46.5" thickTop="1" thickBot="1" x14ac:dyDescent="0.25">
      <c r="B120" s="454" t="s">
        <v>29</v>
      </c>
      <c r="C120" s="454" t="s">
        <v>218</v>
      </c>
      <c r="D120" s="454" t="s">
        <v>220</v>
      </c>
      <c r="E120" s="454" t="s">
        <v>51</v>
      </c>
      <c r="F120" s="452" t="s">
        <v>590</v>
      </c>
      <c r="G120" s="455"/>
      <c r="H120" s="453"/>
      <c r="I120" s="463"/>
      <c r="J120" s="453">
        <v>15200</v>
      </c>
      <c r="K120" s="463"/>
    </row>
    <row r="121" spans="2:13" s="95" customFormat="1" ht="31.5" thickTop="1" thickBot="1" x14ac:dyDescent="0.25">
      <c r="B121" s="521" t="s">
        <v>32</v>
      </c>
      <c r="C121" s="521" t="s">
        <v>221</v>
      </c>
      <c r="D121" s="521" t="s">
        <v>220</v>
      </c>
      <c r="E121" s="451" t="s">
        <v>33</v>
      </c>
      <c r="F121" s="452" t="s">
        <v>590</v>
      </c>
      <c r="G121" s="455"/>
      <c r="H121" s="456"/>
      <c r="I121" s="463"/>
      <c r="J121" s="453">
        <v>30000</v>
      </c>
      <c r="K121" s="463"/>
      <c r="L121" s="785"/>
    </row>
    <row r="122" spans="2:13" s="95" customFormat="1" ht="144" customHeight="1" thickTop="1" thickBot="1" x14ac:dyDescent="0.25">
      <c r="B122" s="451" t="s">
        <v>777</v>
      </c>
      <c r="C122" s="451" t="s">
        <v>222</v>
      </c>
      <c r="D122" s="451" t="s">
        <v>191</v>
      </c>
      <c r="E122" s="451" t="s">
        <v>36</v>
      </c>
      <c r="F122" s="462" t="s">
        <v>1147</v>
      </c>
      <c r="G122" s="455" t="s">
        <v>690</v>
      </c>
      <c r="H122" s="456">
        <v>1021474</v>
      </c>
      <c r="I122" s="460">
        <f>0/H122</f>
        <v>0</v>
      </c>
      <c r="J122" s="453">
        <f>45144+976330</f>
        <v>1021474</v>
      </c>
      <c r="K122" s="460">
        <v>1</v>
      </c>
      <c r="L122" s="785"/>
    </row>
    <row r="123" spans="2:13" s="95" customFormat="1" ht="46.5" thickTop="1" thickBot="1" x14ac:dyDescent="0.25">
      <c r="B123" s="688" t="s">
        <v>179</v>
      </c>
      <c r="C123" s="688"/>
      <c r="D123" s="688"/>
      <c r="E123" s="689" t="s">
        <v>698</v>
      </c>
      <c r="F123" s="694"/>
      <c r="G123" s="690"/>
      <c r="H123" s="690"/>
      <c r="I123" s="690"/>
      <c r="J123" s="694">
        <f>J124</f>
        <v>31119249</v>
      </c>
      <c r="K123" s="694"/>
      <c r="L123" s="785"/>
    </row>
    <row r="124" spans="2:13" s="95" customFormat="1" ht="44.25" thickTop="1" thickBot="1" x14ac:dyDescent="0.25">
      <c r="B124" s="691" t="s">
        <v>180</v>
      </c>
      <c r="C124" s="691"/>
      <c r="D124" s="691"/>
      <c r="E124" s="692" t="s">
        <v>699</v>
      </c>
      <c r="F124" s="695"/>
      <c r="G124" s="695"/>
      <c r="H124" s="695"/>
      <c r="I124" s="695"/>
      <c r="J124" s="695">
        <f>J125+J126+J127+J128+J133+J134</f>
        <v>31119249</v>
      </c>
      <c r="K124" s="695"/>
      <c r="L124" s="785"/>
    </row>
    <row r="125" spans="2:13" s="95" customFormat="1" ht="61.5" thickTop="1" thickBot="1" x14ac:dyDescent="0.25">
      <c r="B125" s="454" t="s">
        <v>459</v>
      </c>
      <c r="C125" s="454" t="s">
        <v>261</v>
      </c>
      <c r="D125" s="454" t="s">
        <v>259</v>
      </c>
      <c r="E125" s="454" t="s">
        <v>260</v>
      </c>
      <c r="F125" s="452" t="s">
        <v>590</v>
      </c>
      <c r="G125" s="455"/>
      <c r="H125" s="456"/>
      <c r="I125" s="455"/>
      <c r="J125" s="453">
        <f>(36000)+31812+95436</f>
        <v>163248</v>
      </c>
      <c r="K125" s="453"/>
      <c r="L125" s="785"/>
    </row>
    <row r="126" spans="2:13" s="95" customFormat="1" ht="31.5" thickTop="1" thickBot="1" x14ac:dyDescent="0.25">
      <c r="B126" s="454" t="s">
        <v>305</v>
      </c>
      <c r="C126" s="454" t="s">
        <v>306</v>
      </c>
      <c r="D126" s="454" t="s">
        <v>373</v>
      </c>
      <c r="E126" s="454" t="s">
        <v>307</v>
      </c>
      <c r="F126" s="455" t="s">
        <v>601</v>
      </c>
      <c r="G126" s="458"/>
      <c r="H126" s="461"/>
      <c r="I126" s="460"/>
      <c r="J126" s="453">
        <v>10345240</v>
      </c>
      <c r="K126" s="460"/>
      <c r="L126" s="785"/>
    </row>
    <row r="127" spans="2:13" s="95" customFormat="1" ht="31.5" thickTop="1" thickBot="1" x14ac:dyDescent="0.25">
      <c r="B127" s="454" t="s">
        <v>327</v>
      </c>
      <c r="C127" s="454" t="s">
        <v>328</v>
      </c>
      <c r="D127" s="454" t="s">
        <v>308</v>
      </c>
      <c r="E127" s="454" t="s">
        <v>329</v>
      </c>
      <c r="F127" s="455" t="s">
        <v>619</v>
      </c>
      <c r="G127" s="455"/>
      <c r="H127" s="456"/>
      <c r="I127" s="455"/>
      <c r="J127" s="453">
        <v>5000000</v>
      </c>
      <c r="K127" s="453"/>
      <c r="L127" s="785"/>
    </row>
    <row r="128" spans="2:13" s="95" customFormat="1" ht="46.5" thickTop="1" thickBot="1" x14ac:dyDescent="0.25">
      <c r="B128" s="454" t="s">
        <v>309</v>
      </c>
      <c r="C128" s="454" t="s">
        <v>310</v>
      </c>
      <c r="D128" s="454" t="s">
        <v>308</v>
      </c>
      <c r="E128" s="454" t="s">
        <v>514</v>
      </c>
      <c r="F128" s="455" t="s">
        <v>602</v>
      </c>
      <c r="G128" s="456"/>
      <c r="H128" s="456"/>
      <c r="I128" s="463"/>
      <c r="J128" s="453">
        <f>J129+J130+J131+J132</f>
        <v>13120761</v>
      </c>
      <c r="K128" s="463"/>
      <c r="L128" s="785"/>
    </row>
    <row r="129" spans="2:12" s="95" customFormat="1" ht="46.5" thickTop="1" thickBot="1" x14ac:dyDescent="0.25">
      <c r="B129" s="454" t="s">
        <v>309</v>
      </c>
      <c r="C129" s="454" t="s">
        <v>310</v>
      </c>
      <c r="D129" s="454" t="s">
        <v>308</v>
      </c>
      <c r="E129" s="522" t="s">
        <v>514</v>
      </c>
      <c r="F129" s="523" t="s">
        <v>614</v>
      </c>
      <c r="G129" s="455"/>
      <c r="H129" s="456"/>
      <c r="I129" s="455"/>
      <c r="J129" s="469">
        <v>1948000</v>
      </c>
      <c r="K129" s="453"/>
      <c r="L129" s="785"/>
    </row>
    <row r="130" spans="2:12" s="95" customFormat="1" ht="46.5" thickTop="1" thickBot="1" x14ac:dyDescent="0.25">
      <c r="B130" s="454" t="s">
        <v>309</v>
      </c>
      <c r="C130" s="454" t="s">
        <v>310</v>
      </c>
      <c r="D130" s="454" t="s">
        <v>308</v>
      </c>
      <c r="E130" s="522" t="s">
        <v>514</v>
      </c>
      <c r="F130" s="523" t="s">
        <v>603</v>
      </c>
      <c r="G130" s="456"/>
      <c r="H130" s="453"/>
      <c r="I130" s="463"/>
      <c r="J130" s="469">
        <v>10658900</v>
      </c>
      <c r="K130" s="463"/>
      <c r="L130" s="785"/>
    </row>
    <row r="131" spans="2:12" s="95" customFormat="1" ht="46.5" thickTop="1" thickBot="1" x14ac:dyDescent="0.25">
      <c r="B131" s="454" t="s">
        <v>309</v>
      </c>
      <c r="C131" s="454" t="s">
        <v>310</v>
      </c>
      <c r="D131" s="454" t="s">
        <v>308</v>
      </c>
      <c r="E131" s="522" t="s">
        <v>514</v>
      </c>
      <c r="F131" s="523" t="s">
        <v>615</v>
      </c>
      <c r="G131" s="455"/>
      <c r="H131" s="453"/>
      <c r="I131" s="463"/>
      <c r="J131" s="469">
        <v>461561</v>
      </c>
      <c r="K131" s="463"/>
      <c r="L131" s="785"/>
    </row>
    <row r="132" spans="2:12" s="95" customFormat="1" ht="76.5" thickTop="1" thickBot="1" x14ac:dyDescent="0.25">
      <c r="B132" s="454" t="s">
        <v>309</v>
      </c>
      <c r="C132" s="454" t="s">
        <v>310</v>
      </c>
      <c r="D132" s="454" t="s">
        <v>308</v>
      </c>
      <c r="E132" s="522" t="s">
        <v>514</v>
      </c>
      <c r="F132" s="523" t="s">
        <v>618</v>
      </c>
      <c r="G132" s="455" t="s">
        <v>680</v>
      </c>
      <c r="H132" s="453">
        <v>552300</v>
      </c>
      <c r="I132" s="463">
        <f>500000/H132</f>
        <v>0.90530508781459351</v>
      </c>
      <c r="J132" s="453">
        <v>52300</v>
      </c>
      <c r="K132" s="463">
        <f>(500000+J132)/H132</f>
        <v>1</v>
      </c>
      <c r="L132" s="785"/>
    </row>
    <row r="133" spans="2:12" s="95" customFormat="1" ht="61.5" thickTop="1" thickBot="1" x14ac:dyDescent="0.25">
      <c r="B133" s="454" t="s">
        <v>322</v>
      </c>
      <c r="C133" s="454" t="s">
        <v>237</v>
      </c>
      <c r="D133" s="454" t="s">
        <v>238</v>
      </c>
      <c r="E133" s="451" t="s">
        <v>43</v>
      </c>
      <c r="F133" s="698" t="s">
        <v>808</v>
      </c>
      <c r="G133" s="458"/>
      <c r="H133" s="461"/>
      <c r="I133" s="460"/>
      <c r="J133" s="461">
        <v>2100000</v>
      </c>
      <c r="K133" s="460"/>
      <c r="L133" s="785"/>
    </row>
    <row r="134" spans="2:12" s="95" customFormat="1" ht="31.5" thickTop="1" thickBot="1" x14ac:dyDescent="0.25">
      <c r="B134" s="454" t="s">
        <v>1178</v>
      </c>
      <c r="C134" s="454" t="s">
        <v>222</v>
      </c>
      <c r="D134" s="454" t="s">
        <v>191</v>
      </c>
      <c r="E134" s="454" t="s">
        <v>36</v>
      </c>
      <c r="F134" s="455" t="s">
        <v>53</v>
      </c>
      <c r="G134" s="455"/>
      <c r="H134" s="530"/>
      <c r="I134" s="455"/>
      <c r="J134" s="456">
        <f>J135+J136</f>
        <v>390000</v>
      </c>
      <c r="K134" s="463"/>
      <c r="L134" s="785"/>
    </row>
    <row r="135" spans="2:12" s="95" customFormat="1" ht="181.5" thickTop="1" thickBot="1" x14ac:dyDescent="0.25">
      <c r="B135" s="522" t="s">
        <v>1178</v>
      </c>
      <c r="C135" s="719" t="s">
        <v>222</v>
      </c>
      <c r="D135" s="719" t="s">
        <v>191</v>
      </c>
      <c r="E135" s="719" t="s">
        <v>36</v>
      </c>
      <c r="F135" s="720" t="s">
        <v>1177</v>
      </c>
      <c r="G135" s="721" t="s">
        <v>690</v>
      </c>
      <c r="H135" s="722">
        <v>1194767</v>
      </c>
      <c r="I135" s="723"/>
      <c r="J135" s="724">
        <v>300000</v>
      </c>
      <c r="K135" s="463">
        <f>(J135)/H135</f>
        <v>0.2510949833733272</v>
      </c>
      <c r="L135" s="785"/>
    </row>
    <row r="136" spans="2:12" s="95" customFormat="1" ht="46.5" thickTop="1" thickBot="1" x14ac:dyDescent="0.25">
      <c r="B136" s="522" t="s">
        <v>1178</v>
      </c>
      <c r="C136" s="719" t="s">
        <v>222</v>
      </c>
      <c r="D136" s="719" t="s">
        <v>191</v>
      </c>
      <c r="E136" s="719" t="s">
        <v>36</v>
      </c>
      <c r="F136" s="698" t="s">
        <v>1278</v>
      </c>
      <c r="G136" s="721"/>
      <c r="H136" s="722"/>
      <c r="I136" s="723"/>
      <c r="J136" s="724">
        <v>90000</v>
      </c>
      <c r="K136" s="463"/>
      <c r="L136" s="785"/>
    </row>
    <row r="137" spans="2:12" s="95" customFormat="1" ht="46.5" thickTop="1" thickBot="1" x14ac:dyDescent="0.25">
      <c r="B137" s="688" t="s">
        <v>662</v>
      </c>
      <c r="C137" s="688"/>
      <c r="D137" s="688"/>
      <c r="E137" s="689" t="s">
        <v>696</v>
      </c>
      <c r="F137" s="694"/>
      <c r="G137" s="690"/>
      <c r="H137" s="690"/>
      <c r="I137" s="690"/>
      <c r="J137" s="694">
        <f>J138</f>
        <v>144969402.57999998</v>
      </c>
      <c r="K137" s="694"/>
      <c r="L137" s="785"/>
    </row>
    <row r="138" spans="2:12" s="95" customFormat="1" ht="56.25" customHeight="1" thickTop="1" thickBot="1" x14ac:dyDescent="0.25">
      <c r="B138" s="691" t="s">
        <v>663</v>
      </c>
      <c r="C138" s="691"/>
      <c r="D138" s="691"/>
      <c r="E138" s="692" t="s">
        <v>697</v>
      </c>
      <c r="F138" s="695"/>
      <c r="G138" s="695"/>
      <c r="H138" s="695"/>
      <c r="I138" s="695"/>
      <c r="J138" s="695">
        <f>J139+J140+J157+J165+J166+J167</f>
        <v>144969402.57999998</v>
      </c>
      <c r="K138" s="695"/>
      <c r="L138" s="785"/>
    </row>
    <row r="139" spans="2:12" s="95" customFormat="1" ht="72" customHeight="1" thickTop="1" thickBot="1" x14ac:dyDescent="0.25">
      <c r="B139" s="454" t="s">
        <v>664</v>
      </c>
      <c r="C139" s="454" t="s">
        <v>261</v>
      </c>
      <c r="D139" s="454" t="s">
        <v>259</v>
      </c>
      <c r="E139" s="454" t="s">
        <v>260</v>
      </c>
      <c r="F139" s="452" t="s">
        <v>590</v>
      </c>
      <c r="G139" s="525"/>
      <c r="H139" s="525"/>
      <c r="I139" s="525"/>
      <c r="J139" s="453">
        <v>144000</v>
      </c>
      <c r="K139" s="525"/>
      <c r="L139" s="785"/>
    </row>
    <row r="140" spans="2:12" s="95" customFormat="1" ht="39.75" customHeight="1" thickTop="1" thickBot="1" x14ac:dyDescent="0.25">
      <c r="B140" s="454" t="s">
        <v>669</v>
      </c>
      <c r="C140" s="454" t="s">
        <v>314</v>
      </c>
      <c r="D140" s="454" t="s">
        <v>308</v>
      </c>
      <c r="E140" s="454" t="s">
        <v>315</v>
      </c>
      <c r="F140" s="455" t="s">
        <v>602</v>
      </c>
      <c r="G140" s="455"/>
      <c r="H140" s="456"/>
      <c r="I140" s="455"/>
      <c r="J140" s="456">
        <f>SUM(J141:J156)</f>
        <v>14710148</v>
      </c>
      <c r="K140" s="526"/>
      <c r="L140" s="785"/>
    </row>
    <row r="141" spans="2:12" s="95" customFormat="1" ht="46.5" thickTop="1" thickBot="1" x14ac:dyDescent="0.25">
      <c r="B141" s="454" t="s">
        <v>669</v>
      </c>
      <c r="C141" s="454" t="s">
        <v>314</v>
      </c>
      <c r="D141" s="454" t="s">
        <v>308</v>
      </c>
      <c r="E141" s="454" t="s">
        <v>315</v>
      </c>
      <c r="F141" s="523" t="s">
        <v>604</v>
      </c>
      <c r="G141" s="455" t="s">
        <v>605</v>
      </c>
      <c r="H141" s="456"/>
      <c r="I141" s="455"/>
      <c r="J141" s="527">
        <v>1500000</v>
      </c>
      <c r="K141" s="456"/>
      <c r="L141" s="785"/>
    </row>
    <row r="142" spans="2:12" s="95" customFormat="1" ht="57" customHeight="1" thickTop="1" thickBot="1" x14ac:dyDescent="0.25">
      <c r="B142" s="454" t="s">
        <v>669</v>
      </c>
      <c r="C142" s="454" t="s">
        <v>314</v>
      </c>
      <c r="D142" s="454" t="s">
        <v>308</v>
      </c>
      <c r="E142" s="454" t="s">
        <v>315</v>
      </c>
      <c r="F142" s="523" t="s">
        <v>606</v>
      </c>
      <c r="G142" s="455"/>
      <c r="H142" s="456"/>
      <c r="I142" s="455"/>
      <c r="J142" s="527">
        <f>3000000-2121016</f>
        <v>878984</v>
      </c>
      <c r="K142" s="456"/>
      <c r="L142" s="785"/>
    </row>
    <row r="143" spans="2:12" s="95" customFormat="1" ht="39.75" customHeight="1" thickTop="1" thickBot="1" x14ac:dyDescent="0.25">
      <c r="B143" s="454" t="s">
        <v>669</v>
      </c>
      <c r="C143" s="454" t="s">
        <v>314</v>
      </c>
      <c r="D143" s="454" t="s">
        <v>308</v>
      </c>
      <c r="E143" s="454" t="s">
        <v>315</v>
      </c>
      <c r="F143" s="523" t="s">
        <v>681</v>
      </c>
      <c r="G143" s="455"/>
      <c r="H143" s="456"/>
      <c r="I143" s="455"/>
      <c r="J143" s="527">
        <v>3341100</v>
      </c>
      <c r="K143" s="456"/>
      <c r="L143" s="785"/>
    </row>
    <row r="144" spans="2:12" s="95" customFormat="1" ht="58.5" customHeight="1" thickTop="1" thickBot="1" x14ac:dyDescent="0.25">
      <c r="B144" s="454" t="s">
        <v>669</v>
      </c>
      <c r="C144" s="454" t="s">
        <v>314</v>
      </c>
      <c r="D144" s="454" t="s">
        <v>308</v>
      </c>
      <c r="E144" s="454" t="s">
        <v>315</v>
      </c>
      <c r="F144" s="523" t="s">
        <v>607</v>
      </c>
      <c r="G144" s="455"/>
      <c r="H144" s="456"/>
      <c r="I144" s="455"/>
      <c r="J144" s="527">
        <f>600000+60000</f>
        <v>660000</v>
      </c>
      <c r="K144" s="456"/>
      <c r="L144" s="785"/>
    </row>
    <row r="145" spans="2:12" s="95" customFormat="1" ht="85.5" customHeight="1" thickTop="1" thickBot="1" x14ac:dyDescent="0.25">
      <c r="B145" s="454" t="s">
        <v>669</v>
      </c>
      <c r="C145" s="454" t="s">
        <v>314</v>
      </c>
      <c r="D145" s="454" t="s">
        <v>308</v>
      </c>
      <c r="E145" s="454" t="s">
        <v>315</v>
      </c>
      <c r="F145" s="523" t="s">
        <v>608</v>
      </c>
      <c r="G145" s="456" t="s">
        <v>600</v>
      </c>
      <c r="H145" s="456">
        <v>4552060</v>
      </c>
      <c r="I145" s="463">
        <f>(1207002.59+1000000+346061.97)/H145</f>
        <v>0.56085916266481539</v>
      </c>
      <c r="J145" s="527">
        <f>1000000</f>
        <v>1000000</v>
      </c>
      <c r="K145" s="463">
        <f>(1207002.59+1000000+350000+J145)/H145</f>
        <v>0.78140503200748668</v>
      </c>
      <c r="L145" s="785"/>
    </row>
    <row r="146" spans="2:12" s="95" customFormat="1" ht="55.5" customHeight="1" thickTop="1" thickBot="1" x14ac:dyDescent="0.25">
      <c r="B146" s="454" t="s">
        <v>669</v>
      </c>
      <c r="C146" s="454" t="s">
        <v>314</v>
      </c>
      <c r="D146" s="454" t="s">
        <v>308</v>
      </c>
      <c r="E146" s="454" t="s">
        <v>315</v>
      </c>
      <c r="F146" s="523" t="s">
        <v>682</v>
      </c>
      <c r="G146" s="456" t="s">
        <v>609</v>
      </c>
      <c r="H146" s="456">
        <v>7725528</v>
      </c>
      <c r="I146" s="463">
        <f>(860002.41+1990758.43)/H146</f>
        <v>0.36900530811615723</v>
      </c>
      <c r="J146" s="527">
        <f>3000000</f>
        <v>3000000</v>
      </c>
      <c r="K146" s="463">
        <f>(860002.41+2000000+J146)/H146</f>
        <v>0.75852451897138939</v>
      </c>
      <c r="L146" s="785"/>
    </row>
    <row r="147" spans="2:12" s="95" customFormat="1" ht="75.75" customHeight="1" thickTop="1" thickBot="1" x14ac:dyDescent="0.25">
      <c r="B147" s="454" t="s">
        <v>669</v>
      </c>
      <c r="C147" s="454" t="s">
        <v>314</v>
      </c>
      <c r="D147" s="454" t="s">
        <v>308</v>
      </c>
      <c r="E147" s="454" t="s">
        <v>315</v>
      </c>
      <c r="F147" s="523" t="s">
        <v>683</v>
      </c>
      <c r="G147" s="528" t="s">
        <v>609</v>
      </c>
      <c r="H147" s="528">
        <v>4380277</v>
      </c>
      <c r="I147" s="463">
        <f>(258212.92+931600.07)/H147</f>
        <v>0.27162962296676674</v>
      </c>
      <c r="J147" s="527">
        <v>2122064</v>
      </c>
      <c r="K147" s="463">
        <f>(258212.92+1000000+J147)/H147</f>
        <v>0.77170391735499833</v>
      </c>
      <c r="L147" s="785"/>
    </row>
    <row r="148" spans="2:12" s="95" customFormat="1" ht="67.5" customHeight="1" thickTop="1" thickBot="1" x14ac:dyDescent="0.25">
      <c r="B148" s="454" t="s">
        <v>669</v>
      </c>
      <c r="C148" s="454" t="s">
        <v>314</v>
      </c>
      <c r="D148" s="454" t="s">
        <v>308</v>
      </c>
      <c r="E148" s="454" t="s">
        <v>315</v>
      </c>
      <c r="F148" s="523" t="s">
        <v>684</v>
      </c>
      <c r="G148" s="529"/>
      <c r="H148" s="530"/>
      <c r="I148" s="463"/>
      <c r="J148" s="527">
        <f>300000+26000</f>
        <v>326000</v>
      </c>
      <c r="K148" s="463"/>
      <c r="L148" s="785"/>
    </row>
    <row r="149" spans="2:12" s="95" customFormat="1" ht="52.5" customHeight="1" thickTop="1" thickBot="1" x14ac:dyDescent="0.25">
      <c r="B149" s="454" t="s">
        <v>669</v>
      </c>
      <c r="C149" s="454" t="s">
        <v>314</v>
      </c>
      <c r="D149" s="454" t="s">
        <v>308</v>
      </c>
      <c r="E149" s="454" t="s">
        <v>315</v>
      </c>
      <c r="F149" s="523" t="s">
        <v>801</v>
      </c>
      <c r="G149" s="529"/>
      <c r="H149" s="530"/>
      <c r="I149" s="463"/>
      <c r="J149" s="527">
        <v>600000</v>
      </c>
      <c r="K149" s="531"/>
      <c r="L149" s="785"/>
    </row>
    <row r="150" spans="2:12" s="95" customFormat="1" ht="57.75" customHeight="1" thickTop="1" thickBot="1" x14ac:dyDescent="0.25">
      <c r="B150" s="454" t="s">
        <v>669</v>
      </c>
      <c r="C150" s="454" t="s">
        <v>314</v>
      </c>
      <c r="D150" s="454" t="s">
        <v>308</v>
      </c>
      <c r="E150" s="454" t="s">
        <v>315</v>
      </c>
      <c r="F150" s="523" t="s">
        <v>800</v>
      </c>
      <c r="G150" s="529"/>
      <c r="H150" s="530"/>
      <c r="I150" s="463"/>
      <c r="J150" s="527">
        <v>400000</v>
      </c>
      <c r="K150" s="531"/>
      <c r="L150" s="785"/>
    </row>
    <row r="151" spans="2:12" s="95" customFormat="1" ht="66.75" customHeight="1" thickTop="1" thickBot="1" x14ac:dyDescent="0.25">
      <c r="B151" s="454" t="s">
        <v>669</v>
      </c>
      <c r="C151" s="454" t="s">
        <v>314</v>
      </c>
      <c r="D151" s="454" t="s">
        <v>308</v>
      </c>
      <c r="E151" s="454" t="s">
        <v>315</v>
      </c>
      <c r="F151" s="523" t="s">
        <v>802</v>
      </c>
      <c r="G151" s="455" t="s">
        <v>680</v>
      </c>
      <c r="H151" s="456">
        <v>113479</v>
      </c>
      <c r="I151" s="463">
        <f>61479/H151</f>
        <v>0.54176543677684863</v>
      </c>
      <c r="J151" s="527">
        <v>52000</v>
      </c>
      <c r="K151" s="531">
        <f>(61479+J151)/H151</f>
        <v>1</v>
      </c>
      <c r="L151" s="785"/>
    </row>
    <row r="152" spans="2:12" s="95" customFormat="1" ht="83.25" customHeight="1" thickTop="1" thickBot="1" x14ac:dyDescent="0.25">
      <c r="B152" s="454" t="s">
        <v>669</v>
      </c>
      <c r="C152" s="454" t="s">
        <v>314</v>
      </c>
      <c r="D152" s="454" t="s">
        <v>308</v>
      </c>
      <c r="E152" s="454" t="s">
        <v>315</v>
      </c>
      <c r="F152" s="523" t="s">
        <v>1130</v>
      </c>
      <c r="G152" s="455"/>
      <c r="H152" s="456"/>
      <c r="I152" s="463"/>
      <c r="J152" s="527">
        <v>180000</v>
      </c>
      <c r="K152" s="531"/>
      <c r="L152" s="785"/>
    </row>
    <row r="153" spans="2:12" s="95" customFormat="1" ht="54.75" customHeight="1" thickTop="1" thickBot="1" x14ac:dyDescent="0.25">
      <c r="B153" s="454" t="s">
        <v>669</v>
      </c>
      <c r="C153" s="454" t="s">
        <v>314</v>
      </c>
      <c r="D153" s="454" t="s">
        <v>308</v>
      </c>
      <c r="E153" s="454" t="s">
        <v>315</v>
      </c>
      <c r="F153" s="523" t="s">
        <v>1131</v>
      </c>
      <c r="G153" s="455"/>
      <c r="H153" s="456"/>
      <c r="I153" s="463"/>
      <c r="J153" s="527">
        <v>200000</v>
      </c>
      <c r="K153" s="531"/>
      <c r="L153" s="785"/>
    </row>
    <row r="154" spans="2:12" s="95" customFormat="1" ht="42" customHeight="1" thickTop="1" thickBot="1" x14ac:dyDescent="0.25">
      <c r="B154" s="454" t="s">
        <v>669</v>
      </c>
      <c r="C154" s="454" t="s">
        <v>314</v>
      </c>
      <c r="D154" s="454" t="s">
        <v>308</v>
      </c>
      <c r="E154" s="454" t="s">
        <v>315</v>
      </c>
      <c r="F154" s="523" t="s">
        <v>1179</v>
      </c>
      <c r="G154" s="455"/>
      <c r="H154" s="456"/>
      <c r="I154" s="463"/>
      <c r="J154" s="527">
        <v>180000</v>
      </c>
      <c r="K154" s="531"/>
      <c r="L154" s="785"/>
    </row>
    <row r="155" spans="2:12" s="95" customFormat="1" ht="72" customHeight="1" thickTop="1" thickBot="1" x14ac:dyDescent="0.25">
      <c r="B155" s="454" t="s">
        <v>669</v>
      </c>
      <c r="C155" s="454" t="s">
        <v>314</v>
      </c>
      <c r="D155" s="454" t="s">
        <v>308</v>
      </c>
      <c r="E155" s="454" t="s">
        <v>315</v>
      </c>
      <c r="F155" s="523" t="s">
        <v>1180</v>
      </c>
      <c r="G155" s="455"/>
      <c r="H155" s="456"/>
      <c r="I155" s="463"/>
      <c r="J155" s="527">
        <v>180000</v>
      </c>
      <c r="K155" s="531"/>
      <c r="L155" s="785"/>
    </row>
    <row r="156" spans="2:12" s="95" customFormat="1" ht="61.5" thickTop="1" thickBot="1" x14ac:dyDescent="0.25">
      <c r="B156" s="454" t="s">
        <v>669</v>
      </c>
      <c r="C156" s="454" t="s">
        <v>314</v>
      </c>
      <c r="D156" s="454" t="s">
        <v>308</v>
      </c>
      <c r="E156" s="454" t="s">
        <v>315</v>
      </c>
      <c r="F156" s="523" t="s">
        <v>1181</v>
      </c>
      <c r="G156" s="455"/>
      <c r="H156" s="456"/>
      <c r="I156" s="463"/>
      <c r="J156" s="527">
        <v>90000</v>
      </c>
      <c r="K156" s="531"/>
      <c r="L156" s="785"/>
    </row>
    <row r="157" spans="2:12" s="95" customFormat="1" ht="52.5" customHeight="1" thickTop="1" thickBot="1" x14ac:dyDescent="0.25">
      <c r="B157" s="454" t="s">
        <v>670</v>
      </c>
      <c r="C157" s="454" t="s">
        <v>331</v>
      </c>
      <c r="D157" s="454" t="s">
        <v>330</v>
      </c>
      <c r="E157" s="454" t="s">
        <v>517</v>
      </c>
      <c r="F157" s="455" t="s">
        <v>53</v>
      </c>
      <c r="G157" s="455"/>
      <c r="H157" s="456"/>
      <c r="I157" s="455"/>
      <c r="J157" s="453">
        <f>SUM(J158:J164)</f>
        <v>6280522</v>
      </c>
      <c r="K157" s="532"/>
      <c r="L157" s="785"/>
    </row>
    <row r="158" spans="2:12" s="95" customFormat="1" ht="96" customHeight="1" thickTop="1" thickBot="1" x14ac:dyDescent="0.25">
      <c r="B158" s="522" t="s">
        <v>670</v>
      </c>
      <c r="C158" s="522" t="s">
        <v>331</v>
      </c>
      <c r="D158" s="522" t="s">
        <v>330</v>
      </c>
      <c r="E158" s="522" t="s">
        <v>517</v>
      </c>
      <c r="F158" s="523" t="s">
        <v>685</v>
      </c>
      <c r="G158" s="533" t="s">
        <v>686</v>
      </c>
      <c r="H158" s="527">
        <v>11252200</v>
      </c>
      <c r="I158" s="533"/>
      <c r="J158" s="527">
        <v>2000000</v>
      </c>
      <c r="K158" s="520">
        <f>J158/H158</f>
        <v>0.17774301914292318</v>
      </c>
      <c r="L158" s="785"/>
    </row>
    <row r="159" spans="2:12" s="95" customFormat="1" ht="105" customHeight="1" thickTop="1" thickBot="1" x14ac:dyDescent="0.25">
      <c r="B159" s="522" t="s">
        <v>670</v>
      </c>
      <c r="C159" s="522" t="s">
        <v>331</v>
      </c>
      <c r="D159" s="522" t="s">
        <v>330</v>
      </c>
      <c r="E159" s="522" t="s">
        <v>517</v>
      </c>
      <c r="F159" s="523" t="s">
        <v>700</v>
      </c>
      <c r="G159" s="527" t="s">
        <v>609</v>
      </c>
      <c r="H159" s="527">
        <v>18370999</v>
      </c>
      <c r="I159" s="520">
        <f>(140000+253335)/H159</f>
        <v>2.1410648381179488E-2</v>
      </c>
      <c r="J159" s="527">
        <f>3000000</f>
        <v>3000000</v>
      </c>
      <c r="K159" s="520">
        <f>(140000+253415+J159)/H159</f>
        <v>0.18471586656773537</v>
      </c>
      <c r="L159" s="785"/>
    </row>
    <row r="160" spans="2:12" s="95" customFormat="1" ht="107.25" customHeight="1" thickTop="1" thickBot="1" x14ac:dyDescent="0.25">
      <c r="B160" s="522" t="s">
        <v>670</v>
      </c>
      <c r="C160" s="522" t="s">
        <v>331</v>
      </c>
      <c r="D160" s="522" t="s">
        <v>330</v>
      </c>
      <c r="E160" s="522" t="s">
        <v>517</v>
      </c>
      <c r="F160" s="523" t="s">
        <v>687</v>
      </c>
      <c r="G160" s="527"/>
      <c r="H160" s="527"/>
      <c r="I160" s="520"/>
      <c r="J160" s="527">
        <f>200000-200000</f>
        <v>0</v>
      </c>
      <c r="K160" s="463"/>
      <c r="L160" s="785"/>
    </row>
    <row r="161" spans="2:12" s="95" customFormat="1" ht="105" customHeight="1" thickTop="1" thickBot="1" x14ac:dyDescent="0.25">
      <c r="B161" s="522" t="s">
        <v>670</v>
      </c>
      <c r="C161" s="522" t="s">
        <v>331</v>
      </c>
      <c r="D161" s="522" t="s">
        <v>330</v>
      </c>
      <c r="E161" s="522" t="s">
        <v>517</v>
      </c>
      <c r="F161" s="523" t="s">
        <v>1129</v>
      </c>
      <c r="G161" s="527"/>
      <c r="H161" s="527"/>
      <c r="I161" s="520"/>
      <c r="J161" s="527">
        <v>300000</v>
      </c>
      <c r="K161" s="463"/>
      <c r="L161" s="785"/>
    </row>
    <row r="162" spans="2:12" s="95" customFormat="1" ht="93.75" customHeight="1" thickTop="1" thickBot="1" x14ac:dyDescent="0.25">
      <c r="B162" s="522" t="s">
        <v>670</v>
      </c>
      <c r="C162" s="522" t="s">
        <v>331</v>
      </c>
      <c r="D162" s="522" t="s">
        <v>330</v>
      </c>
      <c r="E162" s="522" t="s">
        <v>517</v>
      </c>
      <c r="F162" s="534" t="s">
        <v>1201</v>
      </c>
      <c r="G162" s="527"/>
      <c r="H162" s="527"/>
      <c r="I162" s="520"/>
      <c r="J162" s="527">
        <v>257020</v>
      </c>
      <c r="K162" s="463"/>
      <c r="L162" s="785"/>
    </row>
    <row r="163" spans="2:12" s="95" customFormat="1" ht="103.5" customHeight="1" thickTop="1" thickBot="1" x14ac:dyDescent="0.25">
      <c r="B163" s="522" t="s">
        <v>670</v>
      </c>
      <c r="C163" s="522" t="s">
        <v>331</v>
      </c>
      <c r="D163" s="522" t="s">
        <v>330</v>
      </c>
      <c r="E163" s="522" t="s">
        <v>517</v>
      </c>
      <c r="F163" s="534" t="s">
        <v>1202</v>
      </c>
      <c r="G163" s="527"/>
      <c r="H163" s="527"/>
      <c r="I163" s="520"/>
      <c r="J163" s="527">
        <v>224762</v>
      </c>
      <c r="K163" s="463"/>
      <c r="L163" s="785"/>
    </row>
    <row r="164" spans="2:12" s="95" customFormat="1" ht="119.25" customHeight="1" thickTop="1" thickBot="1" x14ac:dyDescent="0.25">
      <c r="B164" s="522" t="s">
        <v>670</v>
      </c>
      <c r="C164" s="522" t="s">
        <v>331</v>
      </c>
      <c r="D164" s="522" t="s">
        <v>330</v>
      </c>
      <c r="E164" s="522" t="s">
        <v>517</v>
      </c>
      <c r="F164" s="534" t="s">
        <v>1203</v>
      </c>
      <c r="G164" s="527"/>
      <c r="H164" s="527"/>
      <c r="I164" s="520"/>
      <c r="J164" s="527">
        <v>498740</v>
      </c>
      <c r="K164" s="463"/>
      <c r="L164" s="785"/>
    </row>
    <row r="165" spans="2:12" s="95" customFormat="1" ht="69.75" customHeight="1" thickTop="1" thickBot="1" x14ac:dyDescent="0.25">
      <c r="B165" s="454" t="s">
        <v>671</v>
      </c>
      <c r="C165" s="454" t="s">
        <v>319</v>
      </c>
      <c r="D165" s="454" t="s">
        <v>321</v>
      </c>
      <c r="E165" s="454" t="s">
        <v>320</v>
      </c>
      <c r="F165" s="455" t="s">
        <v>61</v>
      </c>
      <c r="G165" s="455"/>
      <c r="H165" s="456"/>
      <c r="I165" s="455"/>
      <c r="J165" s="456">
        <f>(16932021+60000000)-5594808-6800000</f>
        <v>64537213</v>
      </c>
      <c r="K165" s="463"/>
      <c r="L165" s="785"/>
    </row>
    <row r="166" spans="2:12" s="95" customFormat="1" ht="62.25" customHeight="1" thickTop="1" thickBot="1" x14ac:dyDescent="0.25">
      <c r="B166" s="454" t="s">
        <v>672</v>
      </c>
      <c r="C166" s="454" t="s">
        <v>237</v>
      </c>
      <c r="D166" s="454" t="s">
        <v>238</v>
      </c>
      <c r="E166" s="454" t="s">
        <v>43</v>
      </c>
      <c r="F166" s="524" t="s">
        <v>1120</v>
      </c>
      <c r="G166" s="455" t="s">
        <v>542</v>
      </c>
      <c r="H166" s="528">
        <v>30859243</v>
      </c>
      <c r="I166" s="520">
        <v>0</v>
      </c>
      <c r="J166" s="456">
        <v>18508795.579999998</v>
      </c>
      <c r="K166" s="520">
        <f>J166/H166</f>
        <v>0.59978125775800784</v>
      </c>
      <c r="L166" s="785"/>
    </row>
    <row r="167" spans="2:12" s="95" customFormat="1" ht="31.5" thickTop="1" thickBot="1" x14ac:dyDescent="0.25">
      <c r="B167" s="454" t="s">
        <v>673</v>
      </c>
      <c r="C167" s="454" t="s">
        <v>222</v>
      </c>
      <c r="D167" s="454" t="s">
        <v>191</v>
      </c>
      <c r="E167" s="454" t="s">
        <v>36</v>
      </c>
      <c r="F167" s="455" t="s">
        <v>53</v>
      </c>
      <c r="G167" s="455"/>
      <c r="H167" s="530"/>
      <c r="I167" s="455"/>
      <c r="J167" s="456">
        <f>SUM(J168:J201)</f>
        <v>40788724</v>
      </c>
      <c r="K167" s="463"/>
      <c r="L167" s="785"/>
    </row>
    <row r="168" spans="2:12" s="95" customFormat="1" ht="61.5" thickTop="1" thickBot="1" x14ac:dyDescent="0.25">
      <c r="B168" s="719" t="s">
        <v>673</v>
      </c>
      <c r="C168" s="719" t="s">
        <v>222</v>
      </c>
      <c r="D168" s="719" t="s">
        <v>191</v>
      </c>
      <c r="E168" s="719" t="s">
        <v>36</v>
      </c>
      <c r="F168" s="720" t="s">
        <v>1128</v>
      </c>
      <c r="G168" s="721"/>
      <c r="H168" s="722"/>
      <c r="I168" s="723"/>
      <c r="J168" s="724">
        <v>1220300</v>
      </c>
      <c r="K168" s="723"/>
      <c r="L168" s="785"/>
    </row>
    <row r="169" spans="2:12" s="95" customFormat="1" ht="61.5" thickTop="1" thickBot="1" x14ac:dyDescent="0.25">
      <c r="B169" s="719" t="s">
        <v>673</v>
      </c>
      <c r="C169" s="719" t="s">
        <v>222</v>
      </c>
      <c r="D169" s="719" t="s">
        <v>191</v>
      </c>
      <c r="E169" s="719" t="s">
        <v>36</v>
      </c>
      <c r="F169" s="720" t="s">
        <v>1244</v>
      </c>
      <c r="G169" s="721"/>
      <c r="H169" s="722"/>
      <c r="I169" s="723"/>
      <c r="J169" s="724">
        <v>2885097</v>
      </c>
      <c r="K169" s="723"/>
      <c r="L169" s="785"/>
    </row>
    <row r="170" spans="2:12" s="95" customFormat="1" ht="61.5" thickTop="1" thickBot="1" x14ac:dyDescent="0.25">
      <c r="B170" s="719" t="s">
        <v>673</v>
      </c>
      <c r="C170" s="719" t="s">
        <v>222</v>
      </c>
      <c r="D170" s="719" t="s">
        <v>191</v>
      </c>
      <c r="E170" s="719" t="s">
        <v>36</v>
      </c>
      <c r="F170" s="720" t="s">
        <v>1142</v>
      </c>
      <c r="G170" s="721"/>
      <c r="H170" s="722"/>
      <c r="I170" s="723"/>
      <c r="J170" s="724">
        <v>50000</v>
      </c>
      <c r="K170" s="723"/>
      <c r="L170" s="785"/>
    </row>
    <row r="171" spans="2:12" s="95" customFormat="1" ht="91.5" thickTop="1" thickBot="1" x14ac:dyDescent="0.25">
      <c r="B171" s="522" t="s">
        <v>673</v>
      </c>
      <c r="C171" s="522" t="s">
        <v>222</v>
      </c>
      <c r="D171" s="522" t="s">
        <v>191</v>
      </c>
      <c r="E171" s="522" t="s">
        <v>36</v>
      </c>
      <c r="F171" s="524" t="s">
        <v>688</v>
      </c>
      <c r="G171" s="455" t="s">
        <v>689</v>
      </c>
      <c r="H171" s="527">
        <v>4730960</v>
      </c>
      <c r="I171" s="520">
        <f>(70200+0)/H171</f>
        <v>1.4838426027698396E-2</v>
      </c>
      <c r="J171" s="527">
        <v>3500000</v>
      </c>
      <c r="K171" s="520">
        <f>(70200+50000+J171)/H171</f>
        <v>0.76521467101814433</v>
      </c>
      <c r="L171" s="785"/>
    </row>
    <row r="172" spans="2:12" s="95" customFormat="1" ht="151.5" thickTop="1" thickBot="1" x14ac:dyDescent="0.25">
      <c r="B172" s="522" t="s">
        <v>673</v>
      </c>
      <c r="C172" s="522" t="s">
        <v>222</v>
      </c>
      <c r="D172" s="522" t="s">
        <v>191</v>
      </c>
      <c r="E172" s="522" t="s">
        <v>36</v>
      </c>
      <c r="F172" s="534" t="s">
        <v>616</v>
      </c>
      <c r="G172" s="455" t="s">
        <v>690</v>
      </c>
      <c r="H172" s="527"/>
      <c r="I172" s="533"/>
      <c r="J172" s="527">
        <v>400000</v>
      </c>
      <c r="K172" s="456"/>
      <c r="L172" s="785"/>
    </row>
    <row r="173" spans="2:12" s="95" customFormat="1" ht="121.5" thickTop="1" thickBot="1" x14ac:dyDescent="0.25">
      <c r="B173" s="522" t="s">
        <v>673</v>
      </c>
      <c r="C173" s="522" t="s">
        <v>222</v>
      </c>
      <c r="D173" s="522" t="s">
        <v>191</v>
      </c>
      <c r="E173" s="522" t="s">
        <v>36</v>
      </c>
      <c r="F173" s="534" t="s">
        <v>1247</v>
      </c>
      <c r="G173" s="533"/>
      <c r="H173" s="527"/>
      <c r="I173" s="533"/>
      <c r="J173" s="527">
        <v>200000</v>
      </c>
      <c r="K173" s="456"/>
      <c r="L173" s="785"/>
    </row>
    <row r="174" spans="2:12" s="95" customFormat="1" ht="90.75" customHeight="1" thickTop="1" thickBot="1" x14ac:dyDescent="0.25">
      <c r="B174" s="522" t="s">
        <v>673</v>
      </c>
      <c r="C174" s="522" t="s">
        <v>222</v>
      </c>
      <c r="D174" s="522" t="s">
        <v>191</v>
      </c>
      <c r="E174" s="522" t="s">
        <v>36</v>
      </c>
      <c r="F174" s="534" t="s">
        <v>1245</v>
      </c>
      <c r="G174" s="533"/>
      <c r="H174" s="527"/>
      <c r="I174" s="533"/>
      <c r="J174" s="527">
        <v>50000</v>
      </c>
      <c r="K174" s="456"/>
      <c r="L174" s="785"/>
    </row>
    <row r="175" spans="2:12" s="95" customFormat="1" ht="98.25" customHeight="1" thickTop="1" thickBot="1" x14ac:dyDescent="0.25">
      <c r="B175" s="522" t="s">
        <v>673</v>
      </c>
      <c r="C175" s="522" t="s">
        <v>222</v>
      </c>
      <c r="D175" s="522" t="s">
        <v>191</v>
      </c>
      <c r="E175" s="522" t="s">
        <v>36</v>
      </c>
      <c r="F175" s="534" t="s">
        <v>691</v>
      </c>
      <c r="G175" s="533" t="s">
        <v>690</v>
      </c>
      <c r="H175" s="527">
        <v>1301922</v>
      </c>
      <c r="I175" s="533"/>
      <c r="J175" s="527">
        <v>1301922</v>
      </c>
      <c r="K175" s="520">
        <f>J175/H175</f>
        <v>1</v>
      </c>
      <c r="L175" s="785"/>
    </row>
    <row r="176" spans="2:12" s="95" customFormat="1" ht="71.25" customHeight="1" thickTop="1" thickBot="1" x14ac:dyDescent="0.25">
      <c r="B176" s="522" t="s">
        <v>673</v>
      </c>
      <c r="C176" s="522" t="s">
        <v>222</v>
      </c>
      <c r="D176" s="522" t="s">
        <v>191</v>
      </c>
      <c r="E176" s="522" t="s">
        <v>36</v>
      </c>
      <c r="F176" s="534" t="s">
        <v>1182</v>
      </c>
      <c r="G176" s="455" t="s">
        <v>1183</v>
      </c>
      <c r="H176" s="527"/>
      <c r="I176" s="533"/>
      <c r="J176" s="527">
        <v>2000000</v>
      </c>
      <c r="K176" s="520"/>
      <c r="L176" s="785"/>
    </row>
    <row r="177" spans="2:12" s="95" customFormat="1" ht="54.75" customHeight="1" thickTop="1" thickBot="1" x14ac:dyDescent="0.25">
      <c r="B177" s="522" t="s">
        <v>673</v>
      </c>
      <c r="C177" s="522" t="s">
        <v>222</v>
      </c>
      <c r="D177" s="522" t="s">
        <v>191</v>
      </c>
      <c r="E177" s="522" t="s">
        <v>36</v>
      </c>
      <c r="F177" s="534" t="s">
        <v>1124</v>
      </c>
      <c r="G177" s="455"/>
      <c r="H177" s="527"/>
      <c r="I177" s="533"/>
      <c r="J177" s="527">
        <v>22200</v>
      </c>
      <c r="K177" s="520"/>
      <c r="L177" s="785"/>
    </row>
    <row r="178" spans="2:12" s="95" customFormat="1" ht="61.5" thickTop="1" thickBot="1" x14ac:dyDescent="0.25">
      <c r="B178" s="522" t="s">
        <v>673</v>
      </c>
      <c r="C178" s="522" t="s">
        <v>222</v>
      </c>
      <c r="D178" s="522" t="s">
        <v>191</v>
      </c>
      <c r="E178" s="522" t="s">
        <v>36</v>
      </c>
      <c r="F178" s="534" t="s">
        <v>1125</v>
      </c>
      <c r="G178" s="533"/>
      <c r="H178" s="527"/>
      <c r="I178" s="533"/>
      <c r="J178" s="527">
        <v>6400</v>
      </c>
      <c r="K178" s="520"/>
      <c r="L178" s="785"/>
    </row>
    <row r="179" spans="2:12" s="95" customFormat="1" ht="61.5" thickTop="1" thickBot="1" x14ac:dyDescent="0.25">
      <c r="B179" s="522" t="s">
        <v>673</v>
      </c>
      <c r="C179" s="522" t="s">
        <v>222</v>
      </c>
      <c r="D179" s="522" t="s">
        <v>191</v>
      </c>
      <c r="E179" s="522" t="s">
        <v>36</v>
      </c>
      <c r="F179" s="534" t="s">
        <v>1126</v>
      </c>
      <c r="G179" s="533"/>
      <c r="H179" s="527"/>
      <c r="I179" s="533"/>
      <c r="J179" s="527">
        <v>350000</v>
      </c>
      <c r="K179" s="520"/>
      <c r="L179" s="785"/>
    </row>
    <row r="180" spans="2:12" s="95" customFormat="1" ht="46.5" thickTop="1" thickBot="1" x14ac:dyDescent="0.25">
      <c r="B180" s="522" t="s">
        <v>673</v>
      </c>
      <c r="C180" s="522" t="s">
        <v>222</v>
      </c>
      <c r="D180" s="522" t="s">
        <v>191</v>
      </c>
      <c r="E180" s="522" t="s">
        <v>36</v>
      </c>
      <c r="F180" s="534" t="s">
        <v>1127</v>
      </c>
      <c r="G180" s="533"/>
      <c r="H180" s="527"/>
      <c r="I180" s="533"/>
      <c r="J180" s="527">
        <v>48590</v>
      </c>
      <c r="K180" s="520"/>
      <c r="L180" s="785"/>
    </row>
    <row r="181" spans="2:12" s="95" customFormat="1" ht="90.75" customHeight="1" thickTop="1" thickBot="1" x14ac:dyDescent="0.25">
      <c r="B181" s="522" t="s">
        <v>673</v>
      </c>
      <c r="C181" s="522" t="s">
        <v>222</v>
      </c>
      <c r="D181" s="522" t="s">
        <v>191</v>
      </c>
      <c r="E181" s="522" t="s">
        <v>36</v>
      </c>
      <c r="F181" s="524" t="s">
        <v>1279</v>
      </c>
      <c r="G181" s="455" t="s">
        <v>690</v>
      </c>
      <c r="H181" s="527">
        <v>1050599</v>
      </c>
      <c r="I181" s="520"/>
      <c r="J181" s="527">
        <v>1050599</v>
      </c>
      <c r="K181" s="520">
        <f>J181/H181</f>
        <v>1</v>
      </c>
      <c r="L181" s="785"/>
    </row>
    <row r="182" spans="2:12" s="95" customFormat="1" ht="91.5" thickTop="1" thickBot="1" x14ac:dyDescent="0.25">
      <c r="B182" s="522" t="s">
        <v>673</v>
      </c>
      <c r="C182" s="522" t="s">
        <v>222</v>
      </c>
      <c r="D182" s="522" t="s">
        <v>191</v>
      </c>
      <c r="E182" s="522" t="s">
        <v>36</v>
      </c>
      <c r="F182" s="534" t="s">
        <v>692</v>
      </c>
      <c r="G182" s="455" t="s">
        <v>690</v>
      </c>
      <c r="H182" s="527">
        <v>694860</v>
      </c>
      <c r="I182" s="520"/>
      <c r="J182" s="527">
        <v>694860</v>
      </c>
      <c r="K182" s="520">
        <f>J182/H182</f>
        <v>1</v>
      </c>
      <c r="L182" s="785"/>
    </row>
    <row r="183" spans="2:12" s="95" customFormat="1" ht="105" customHeight="1" thickTop="1" thickBot="1" x14ac:dyDescent="0.25">
      <c r="B183" s="522" t="s">
        <v>673</v>
      </c>
      <c r="C183" s="522" t="s">
        <v>222</v>
      </c>
      <c r="D183" s="522" t="s">
        <v>191</v>
      </c>
      <c r="E183" s="522" t="s">
        <v>36</v>
      </c>
      <c r="F183" s="534" t="s">
        <v>693</v>
      </c>
      <c r="G183" s="527" t="s">
        <v>542</v>
      </c>
      <c r="H183" s="527">
        <v>1306212</v>
      </c>
      <c r="I183" s="520">
        <f>(300000+299522)/H183</f>
        <v>0.4589775626008642</v>
      </c>
      <c r="J183" s="527">
        <v>700000</v>
      </c>
      <c r="K183" s="520">
        <f>(300000+300000+J183)/H183</f>
        <v>0.99524426356517937</v>
      </c>
      <c r="L183" s="785"/>
    </row>
    <row r="184" spans="2:12" s="95" customFormat="1" ht="76.5" thickTop="1" thickBot="1" x14ac:dyDescent="0.25">
      <c r="B184" s="522" t="s">
        <v>673</v>
      </c>
      <c r="C184" s="522" t="s">
        <v>222</v>
      </c>
      <c r="D184" s="522" t="s">
        <v>191</v>
      </c>
      <c r="E184" s="522" t="s">
        <v>36</v>
      </c>
      <c r="F184" s="534" t="s">
        <v>694</v>
      </c>
      <c r="G184" s="527" t="s">
        <v>690</v>
      </c>
      <c r="H184" s="527">
        <v>700000</v>
      </c>
      <c r="I184" s="520"/>
      <c r="J184" s="527">
        <f>700000-210000</f>
        <v>490000</v>
      </c>
      <c r="K184" s="520">
        <v>1</v>
      </c>
      <c r="L184" s="785"/>
    </row>
    <row r="185" spans="2:12" s="95" customFormat="1" ht="76.5" thickTop="1" thickBot="1" x14ac:dyDescent="0.25">
      <c r="B185" s="522" t="s">
        <v>673</v>
      </c>
      <c r="C185" s="522" t="s">
        <v>222</v>
      </c>
      <c r="D185" s="522" t="s">
        <v>191</v>
      </c>
      <c r="E185" s="522" t="s">
        <v>36</v>
      </c>
      <c r="F185" s="534" t="s">
        <v>610</v>
      </c>
      <c r="G185" s="527" t="s">
        <v>542</v>
      </c>
      <c r="H185" s="527">
        <v>1978170</v>
      </c>
      <c r="I185" s="520">
        <f>899093.21/H185</f>
        <v>0.45450755496241474</v>
      </c>
      <c r="J185" s="527">
        <v>1078170</v>
      </c>
      <c r="K185" s="520">
        <f>(900000+J185)/H185</f>
        <v>1</v>
      </c>
      <c r="L185" s="785"/>
    </row>
    <row r="186" spans="2:12" s="95" customFormat="1" ht="106.5" thickTop="1" thickBot="1" x14ac:dyDescent="0.25">
      <c r="B186" s="522" t="s">
        <v>673</v>
      </c>
      <c r="C186" s="522" t="s">
        <v>222</v>
      </c>
      <c r="D186" s="522" t="s">
        <v>191</v>
      </c>
      <c r="E186" s="522" t="s">
        <v>36</v>
      </c>
      <c r="F186" s="534" t="s">
        <v>1184</v>
      </c>
      <c r="G186" s="527" t="s">
        <v>1143</v>
      </c>
      <c r="H186" s="527">
        <v>3490558</v>
      </c>
      <c r="I186" s="520"/>
      <c r="J186" s="527">
        <f>100000+1500000</f>
        <v>1600000</v>
      </c>
      <c r="K186" s="520">
        <f>J186/H186</f>
        <v>0.45837943388993968</v>
      </c>
      <c r="L186" s="785"/>
    </row>
    <row r="187" spans="2:12" s="95" customFormat="1" ht="91.5" thickTop="1" thickBot="1" x14ac:dyDescent="0.25">
      <c r="B187" s="522" t="s">
        <v>673</v>
      </c>
      <c r="C187" s="522" t="s">
        <v>222</v>
      </c>
      <c r="D187" s="522" t="s">
        <v>191</v>
      </c>
      <c r="E187" s="522" t="s">
        <v>36</v>
      </c>
      <c r="F187" s="534" t="s">
        <v>804</v>
      </c>
      <c r="G187" s="527"/>
      <c r="H187" s="527"/>
      <c r="I187" s="520"/>
      <c r="J187" s="527">
        <f>100000-100000</f>
        <v>0</v>
      </c>
      <c r="K187" s="520"/>
      <c r="L187" s="785"/>
    </row>
    <row r="188" spans="2:12" s="95" customFormat="1" ht="91.5" thickTop="1" thickBot="1" x14ac:dyDescent="0.25">
      <c r="B188" s="522" t="s">
        <v>673</v>
      </c>
      <c r="C188" s="522" t="s">
        <v>222</v>
      </c>
      <c r="D188" s="522" t="s">
        <v>191</v>
      </c>
      <c r="E188" s="522" t="s">
        <v>36</v>
      </c>
      <c r="F188" s="534" t="s">
        <v>805</v>
      </c>
      <c r="G188" s="527"/>
      <c r="H188" s="527"/>
      <c r="I188" s="520"/>
      <c r="J188" s="527">
        <f>100000-100000</f>
        <v>0</v>
      </c>
      <c r="K188" s="520"/>
      <c r="L188" s="785"/>
    </row>
    <row r="189" spans="2:12" s="95" customFormat="1" ht="76.5" thickTop="1" thickBot="1" x14ac:dyDescent="0.25">
      <c r="B189" s="522" t="s">
        <v>673</v>
      </c>
      <c r="C189" s="522" t="s">
        <v>222</v>
      </c>
      <c r="D189" s="522" t="s">
        <v>191</v>
      </c>
      <c r="E189" s="522" t="s">
        <v>36</v>
      </c>
      <c r="F189" s="534" t="s">
        <v>803</v>
      </c>
      <c r="G189" s="533" t="s">
        <v>628</v>
      </c>
      <c r="H189" s="527">
        <v>11472055</v>
      </c>
      <c r="I189" s="520">
        <f>(6562194)/H189</f>
        <v>0.57201556303556778</v>
      </c>
      <c r="J189" s="527">
        <f>4571460+102000</f>
        <v>4673460</v>
      </c>
      <c r="K189" s="520">
        <v>1</v>
      </c>
      <c r="L189" s="785"/>
    </row>
    <row r="190" spans="2:12" s="95" customFormat="1" ht="46.5" thickTop="1" thickBot="1" x14ac:dyDescent="0.25">
      <c r="B190" s="522" t="s">
        <v>673</v>
      </c>
      <c r="C190" s="522" t="s">
        <v>222</v>
      </c>
      <c r="D190" s="522" t="s">
        <v>191</v>
      </c>
      <c r="E190" s="522" t="s">
        <v>36</v>
      </c>
      <c r="F190" s="534" t="s">
        <v>1063</v>
      </c>
      <c r="G190" s="533"/>
      <c r="H190" s="527"/>
      <c r="I190" s="520"/>
      <c r="J190" s="527">
        <v>1000000</v>
      </c>
      <c r="K190" s="520"/>
      <c r="L190" s="785"/>
    </row>
    <row r="191" spans="2:12" s="95" customFormat="1" ht="91.5" thickTop="1" thickBot="1" x14ac:dyDescent="0.25">
      <c r="B191" s="522" t="s">
        <v>673</v>
      </c>
      <c r="C191" s="522" t="s">
        <v>222</v>
      </c>
      <c r="D191" s="522" t="s">
        <v>191</v>
      </c>
      <c r="E191" s="522" t="s">
        <v>36</v>
      </c>
      <c r="F191" s="534" t="s">
        <v>1280</v>
      </c>
      <c r="G191" s="533" t="s">
        <v>690</v>
      </c>
      <c r="H191" s="527"/>
      <c r="I191" s="520"/>
      <c r="J191" s="527">
        <v>4000000</v>
      </c>
      <c r="K191" s="520"/>
      <c r="L191" s="785"/>
    </row>
    <row r="192" spans="2:12" s="95" customFormat="1" ht="105" customHeight="1" thickTop="1" thickBot="1" x14ac:dyDescent="0.25">
      <c r="B192" s="522" t="s">
        <v>673</v>
      </c>
      <c r="C192" s="522" t="s">
        <v>222</v>
      </c>
      <c r="D192" s="522" t="s">
        <v>191</v>
      </c>
      <c r="E192" s="522" t="s">
        <v>36</v>
      </c>
      <c r="F192" s="534" t="s">
        <v>1132</v>
      </c>
      <c r="G192" s="533" t="s">
        <v>690</v>
      </c>
      <c r="H192" s="527">
        <v>1187842</v>
      </c>
      <c r="I192" s="520"/>
      <c r="J192" s="527">
        <v>593921</v>
      </c>
      <c r="K192" s="520">
        <v>1</v>
      </c>
      <c r="L192" s="785"/>
    </row>
    <row r="193" spans="2:12" s="95" customFormat="1" ht="106.5" thickTop="1" thickBot="1" x14ac:dyDescent="0.25">
      <c r="B193" s="522" t="s">
        <v>673</v>
      </c>
      <c r="C193" s="522" t="s">
        <v>222</v>
      </c>
      <c r="D193" s="522" t="s">
        <v>191</v>
      </c>
      <c r="E193" s="522" t="s">
        <v>36</v>
      </c>
      <c r="F193" s="534" t="s">
        <v>1281</v>
      </c>
      <c r="G193" s="456" t="s">
        <v>690</v>
      </c>
      <c r="H193" s="527">
        <v>1201688</v>
      </c>
      <c r="I193" s="520">
        <f>(310000)/H193</f>
        <v>0.25797045489344989</v>
      </c>
      <c r="J193" s="527">
        <v>891000</v>
      </c>
      <c r="K193" s="520">
        <f>(310000+J193)/H193</f>
        <v>0.99942747202268811</v>
      </c>
      <c r="L193" s="785"/>
    </row>
    <row r="194" spans="2:12" s="95" customFormat="1" ht="106.5" thickTop="1" thickBot="1" x14ac:dyDescent="0.25">
      <c r="B194" s="522" t="s">
        <v>673</v>
      </c>
      <c r="C194" s="522" t="s">
        <v>222</v>
      </c>
      <c r="D194" s="522" t="s">
        <v>191</v>
      </c>
      <c r="E194" s="522" t="s">
        <v>36</v>
      </c>
      <c r="F194" s="534" t="s">
        <v>1144</v>
      </c>
      <c r="G194" s="455" t="s">
        <v>690</v>
      </c>
      <c r="H194" s="527">
        <v>2924077</v>
      </c>
      <c r="I194" s="520"/>
      <c r="J194" s="527">
        <v>100000</v>
      </c>
      <c r="K194" s="520">
        <f>J194/H194</f>
        <v>3.4198825817514385E-2</v>
      </c>
      <c r="L194" s="785"/>
    </row>
    <row r="195" spans="2:12" s="95" customFormat="1" ht="105" customHeight="1" thickTop="1" thickBot="1" x14ac:dyDescent="0.25">
      <c r="B195" s="522" t="s">
        <v>673</v>
      </c>
      <c r="C195" s="522" t="s">
        <v>222</v>
      </c>
      <c r="D195" s="522" t="s">
        <v>191</v>
      </c>
      <c r="E195" s="522" t="s">
        <v>36</v>
      </c>
      <c r="F195" s="534" t="s">
        <v>1185</v>
      </c>
      <c r="G195" s="456" t="s">
        <v>690</v>
      </c>
      <c r="H195" s="527">
        <v>990371</v>
      </c>
      <c r="I195" s="520"/>
      <c r="J195" s="527">
        <v>495200</v>
      </c>
      <c r="K195" s="520">
        <f>J195/H195</f>
        <v>0.50001464097797699</v>
      </c>
      <c r="L195" s="785"/>
    </row>
    <row r="196" spans="2:12" s="95" customFormat="1" ht="46.5" thickTop="1" thickBot="1" x14ac:dyDescent="0.25">
      <c r="B196" s="522" t="s">
        <v>673</v>
      </c>
      <c r="C196" s="522" t="s">
        <v>222</v>
      </c>
      <c r="D196" s="522" t="s">
        <v>191</v>
      </c>
      <c r="E196" s="522" t="s">
        <v>36</v>
      </c>
      <c r="F196" s="534" t="s">
        <v>1186</v>
      </c>
      <c r="G196" s="522"/>
      <c r="H196" s="522"/>
      <c r="I196" s="522"/>
      <c r="J196" s="527">
        <v>2000000</v>
      </c>
      <c r="K196" s="520"/>
      <c r="L196" s="785"/>
    </row>
    <row r="197" spans="2:12" s="95" customFormat="1" ht="151.5" thickTop="1" thickBot="1" x14ac:dyDescent="0.25">
      <c r="B197" s="522" t="s">
        <v>673</v>
      </c>
      <c r="C197" s="522" t="s">
        <v>222</v>
      </c>
      <c r="D197" s="522" t="s">
        <v>191</v>
      </c>
      <c r="E197" s="522" t="s">
        <v>36</v>
      </c>
      <c r="F197" s="534" t="s">
        <v>1121</v>
      </c>
      <c r="G197" s="456" t="s">
        <v>690</v>
      </c>
      <c r="H197" s="527">
        <v>3304175</v>
      </c>
      <c r="I197" s="520"/>
      <c r="J197" s="527">
        <v>3304175</v>
      </c>
      <c r="K197" s="520">
        <v>1</v>
      </c>
      <c r="L197" s="785"/>
    </row>
    <row r="198" spans="2:12" s="95" customFormat="1" ht="91.5" thickTop="1" thickBot="1" x14ac:dyDescent="0.25">
      <c r="B198" s="522" t="s">
        <v>673</v>
      </c>
      <c r="C198" s="522" t="s">
        <v>222</v>
      </c>
      <c r="D198" s="522" t="s">
        <v>191</v>
      </c>
      <c r="E198" s="522" t="s">
        <v>36</v>
      </c>
      <c r="F198" s="534" t="s">
        <v>1282</v>
      </c>
      <c r="G198" s="456" t="s">
        <v>690</v>
      </c>
      <c r="H198" s="527">
        <v>2115430</v>
      </c>
      <c r="I198" s="520"/>
      <c r="J198" s="527">
        <v>2115430</v>
      </c>
      <c r="K198" s="520">
        <v>1</v>
      </c>
      <c r="L198" s="785"/>
    </row>
    <row r="199" spans="2:12" s="95" customFormat="1" ht="91.5" thickTop="1" thickBot="1" x14ac:dyDescent="0.25">
      <c r="B199" s="522" t="s">
        <v>673</v>
      </c>
      <c r="C199" s="522" t="s">
        <v>222</v>
      </c>
      <c r="D199" s="522" t="s">
        <v>191</v>
      </c>
      <c r="E199" s="522" t="s">
        <v>36</v>
      </c>
      <c r="F199" s="534" t="s">
        <v>1283</v>
      </c>
      <c r="G199" s="456" t="s">
        <v>690</v>
      </c>
      <c r="H199" s="527">
        <v>864238</v>
      </c>
      <c r="I199" s="520"/>
      <c r="J199" s="527">
        <v>864238</v>
      </c>
      <c r="K199" s="520">
        <v>1</v>
      </c>
      <c r="L199" s="785"/>
    </row>
    <row r="200" spans="2:12" s="95" customFormat="1" ht="91.5" thickTop="1" thickBot="1" x14ac:dyDescent="0.25">
      <c r="B200" s="522" t="s">
        <v>673</v>
      </c>
      <c r="C200" s="522" t="s">
        <v>222</v>
      </c>
      <c r="D200" s="522" t="s">
        <v>191</v>
      </c>
      <c r="E200" s="522" t="s">
        <v>36</v>
      </c>
      <c r="F200" s="534" t="s">
        <v>1122</v>
      </c>
      <c r="G200" s="456" t="s">
        <v>690</v>
      </c>
      <c r="H200" s="527">
        <v>2086056</v>
      </c>
      <c r="I200" s="520"/>
      <c r="J200" s="527">
        <v>2086056</v>
      </c>
      <c r="K200" s="520">
        <v>1</v>
      </c>
      <c r="L200" s="785"/>
    </row>
    <row r="201" spans="2:12" s="95" customFormat="1" ht="106.5" thickTop="1" thickBot="1" x14ac:dyDescent="0.25">
      <c r="B201" s="522" t="s">
        <v>673</v>
      </c>
      <c r="C201" s="522" t="s">
        <v>222</v>
      </c>
      <c r="D201" s="522" t="s">
        <v>191</v>
      </c>
      <c r="E201" s="522" t="s">
        <v>36</v>
      </c>
      <c r="F201" s="534" t="s">
        <v>1123</v>
      </c>
      <c r="G201" s="456" t="s">
        <v>690</v>
      </c>
      <c r="H201" s="527">
        <v>1017106</v>
      </c>
      <c r="I201" s="520"/>
      <c r="J201" s="527">
        <v>1017106</v>
      </c>
      <c r="K201" s="520">
        <v>1</v>
      </c>
      <c r="L201" s="785"/>
    </row>
    <row r="202" spans="2:12" ht="46.5" thickTop="1" thickBot="1" x14ac:dyDescent="0.25">
      <c r="B202" s="688" t="s">
        <v>25</v>
      </c>
      <c r="C202" s="688"/>
      <c r="D202" s="688"/>
      <c r="E202" s="689" t="s">
        <v>1110</v>
      </c>
      <c r="F202" s="694"/>
      <c r="G202" s="690"/>
      <c r="H202" s="690"/>
      <c r="I202" s="690"/>
      <c r="J202" s="694">
        <f>J203</f>
        <v>86450566.510000005</v>
      </c>
      <c r="K202" s="694"/>
      <c r="L202" s="786">
        <f>L205+L208+L218</f>
        <v>4000000</v>
      </c>
    </row>
    <row r="203" spans="2:12" ht="44.25" thickTop="1" thickBot="1" x14ac:dyDescent="0.25">
      <c r="B203" s="691" t="s">
        <v>26</v>
      </c>
      <c r="C203" s="691"/>
      <c r="D203" s="691"/>
      <c r="E203" s="692" t="s">
        <v>1111</v>
      </c>
      <c r="F203" s="695"/>
      <c r="G203" s="695"/>
      <c r="H203" s="695"/>
      <c r="I203" s="695"/>
      <c r="J203" s="695">
        <f>SUM(J204:J223)</f>
        <v>86450566.510000005</v>
      </c>
      <c r="K203" s="695"/>
      <c r="L203" s="786"/>
    </row>
    <row r="204" spans="2:12" ht="73.5" customHeight="1" thickTop="1" thickBot="1" x14ac:dyDescent="0.25">
      <c r="B204" s="535" t="s">
        <v>473</v>
      </c>
      <c r="C204" s="535" t="s">
        <v>475</v>
      </c>
      <c r="D204" s="535" t="s">
        <v>220</v>
      </c>
      <c r="E204" s="535" t="s">
        <v>474</v>
      </c>
      <c r="F204" s="452" t="s">
        <v>508</v>
      </c>
      <c r="G204" s="456" t="s">
        <v>478</v>
      </c>
      <c r="H204" s="456">
        <f>282861499</f>
        <v>282861499</v>
      </c>
      <c r="I204" s="520">
        <f>(122740173.92)/H204</f>
        <v>0.43392322516115917</v>
      </c>
      <c r="J204" s="459">
        <f>(8000000+2000000+7000000)</f>
        <v>17000000</v>
      </c>
      <c r="K204" s="520">
        <f>(122740173.92+J204)/H204</f>
        <v>0.494023309690514</v>
      </c>
      <c r="L204" s="786"/>
    </row>
    <row r="205" spans="2:12" ht="78" hidden="1" customHeight="1" thickTop="1" thickBot="1" x14ac:dyDescent="0.25">
      <c r="B205" s="535" t="s">
        <v>340</v>
      </c>
      <c r="C205" s="535" t="s">
        <v>341</v>
      </c>
      <c r="D205" s="535" t="s">
        <v>330</v>
      </c>
      <c r="E205" s="535" t="s">
        <v>339</v>
      </c>
      <c r="F205" s="536" t="s">
        <v>656</v>
      </c>
      <c r="G205" s="456" t="s">
        <v>478</v>
      </c>
      <c r="H205" s="456">
        <v>30010059</v>
      </c>
      <c r="I205" s="520">
        <f>(11364795.14+7640000)/H205</f>
        <v>0.6332808322702731</v>
      </c>
      <c r="J205" s="456">
        <v>0</v>
      </c>
      <c r="K205" s="520">
        <f>(11364795.14+7640000+J205)/H205</f>
        <v>0.6332808322702731</v>
      </c>
      <c r="L205" s="786">
        <v>1000000</v>
      </c>
    </row>
    <row r="206" spans="2:12" ht="151.5" customHeight="1" thickTop="1" thickBot="1" x14ac:dyDescent="0.25">
      <c r="B206" s="535" t="s">
        <v>1205</v>
      </c>
      <c r="C206" s="535" t="s">
        <v>331</v>
      </c>
      <c r="D206" s="535" t="s">
        <v>330</v>
      </c>
      <c r="E206" s="535" t="s">
        <v>517</v>
      </c>
      <c r="F206" s="536" t="s">
        <v>1204</v>
      </c>
      <c r="G206" s="456"/>
      <c r="H206" s="456"/>
      <c r="I206" s="520"/>
      <c r="J206" s="456">
        <v>36872.51</v>
      </c>
      <c r="K206" s="520"/>
      <c r="L206" s="786"/>
    </row>
    <row r="207" spans="2:12" ht="55.5" customHeight="1" thickTop="1" thickBot="1" x14ac:dyDescent="0.25">
      <c r="B207" s="535" t="s">
        <v>340</v>
      </c>
      <c r="C207" s="535" t="s">
        <v>341</v>
      </c>
      <c r="D207" s="535" t="s">
        <v>330</v>
      </c>
      <c r="E207" s="535" t="s">
        <v>339</v>
      </c>
      <c r="F207" s="652" t="s">
        <v>1284</v>
      </c>
      <c r="G207" s="459" t="s">
        <v>1193</v>
      </c>
      <c r="H207" s="459">
        <v>56437448</v>
      </c>
      <c r="I207" s="520">
        <f>(28071676.14)/H207</f>
        <v>0.49739449841885125</v>
      </c>
      <c r="J207" s="459">
        <f>3512869+10010000</f>
        <v>13522869</v>
      </c>
      <c r="K207" s="520">
        <f>(28071676.14+2857360+J207)/H207</f>
        <v>0.78763138156069712</v>
      </c>
      <c r="L207" s="786"/>
    </row>
    <row r="208" spans="2:12" ht="91.5" thickTop="1" thickBot="1" x14ac:dyDescent="0.25">
      <c r="B208" s="535" t="s">
        <v>340</v>
      </c>
      <c r="C208" s="535" t="s">
        <v>341</v>
      </c>
      <c r="D208" s="535" t="s">
        <v>330</v>
      </c>
      <c r="E208" s="535" t="s">
        <v>339</v>
      </c>
      <c r="F208" s="536" t="s">
        <v>1285</v>
      </c>
      <c r="G208" s="459" t="s">
        <v>657</v>
      </c>
      <c r="H208" s="456">
        <f>9300000+10829899</f>
        <v>20129899</v>
      </c>
      <c r="I208" s="520">
        <f>(6879597.52)/H208</f>
        <v>0.34176016084333061</v>
      </c>
      <c r="J208" s="456">
        <v>700000</v>
      </c>
      <c r="K208" s="520">
        <f>(6879597.52+J208)/H208</f>
        <v>0.37653430451886516</v>
      </c>
      <c r="L208" s="786">
        <v>1000000</v>
      </c>
    </row>
    <row r="209" spans="2:12" ht="68.25" customHeight="1" thickTop="1" thickBot="1" x14ac:dyDescent="0.25">
      <c r="B209" s="535" t="s">
        <v>340</v>
      </c>
      <c r="C209" s="535" t="s">
        <v>341</v>
      </c>
      <c r="D209" s="535" t="s">
        <v>330</v>
      </c>
      <c r="E209" s="535" t="s">
        <v>339</v>
      </c>
      <c r="F209" s="652" t="s">
        <v>1286</v>
      </c>
      <c r="G209" s="459" t="s">
        <v>478</v>
      </c>
      <c r="H209" s="459">
        <v>33254540</v>
      </c>
      <c r="I209" s="520">
        <f>(13051785.82)/H209</f>
        <v>0.39248132194882263</v>
      </c>
      <c r="J209" s="459">
        <f>2443118+5992910-1087940</f>
        <v>7348088</v>
      </c>
      <c r="K209" s="520">
        <f>(13051785.82+1007090+1087940+J209)/H209</f>
        <v>0.67644609788618337</v>
      </c>
      <c r="L209" s="786"/>
    </row>
    <row r="210" spans="2:12" ht="76.5" thickTop="1" thickBot="1" x14ac:dyDescent="0.25">
      <c r="B210" s="535" t="s">
        <v>340</v>
      </c>
      <c r="C210" s="535" t="s">
        <v>341</v>
      </c>
      <c r="D210" s="535" t="s">
        <v>330</v>
      </c>
      <c r="E210" s="535" t="s">
        <v>339</v>
      </c>
      <c r="F210" s="652" t="s">
        <v>1289</v>
      </c>
      <c r="G210" s="456"/>
      <c r="H210" s="456"/>
      <c r="I210" s="456"/>
      <c r="J210" s="456">
        <v>200000</v>
      </c>
      <c r="K210" s="520"/>
      <c r="L210" s="786"/>
    </row>
    <row r="211" spans="2:12" ht="66.75" customHeight="1" thickTop="1" thickBot="1" x14ac:dyDescent="0.25">
      <c r="B211" s="535" t="s">
        <v>575</v>
      </c>
      <c r="C211" s="535" t="s">
        <v>576</v>
      </c>
      <c r="D211" s="535" t="s">
        <v>330</v>
      </c>
      <c r="E211" s="535" t="s">
        <v>923</v>
      </c>
      <c r="F211" s="536" t="s">
        <v>611</v>
      </c>
      <c r="G211" s="459" t="s">
        <v>1296</v>
      </c>
      <c r="H211" s="456">
        <v>21098584</v>
      </c>
      <c r="I211" s="520">
        <f>(529041.07)/H211</f>
        <v>2.5074719232342793E-2</v>
      </c>
      <c r="J211" s="456">
        <v>200000</v>
      </c>
      <c r="K211" s="520">
        <f>(529041.07+J211)/H211</f>
        <v>3.4554028365126305E-2</v>
      </c>
      <c r="L211" s="786"/>
    </row>
    <row r="212" spans="2:12" ht="76.5" thickTop="1" thickBot="1" x14ac:dyDescent="0.25">
      <c r="B212" s="535" t="s">
        <v>344</v>
      </c>
      <c r="C212" s="535" t="s">
        <v>345</v>
      </c>
      <c r="D212" s="535" t="s">
        <v>330</v>
      </c>
      <c r="E212" s="535" t="s">
        <v>509</v>
      </c>
      <c r="F212" s="537" t="s">
        <v>1287</v>
      </c>
      <c r="G212" s="459" t="s">
        <v>1297</v>
      </c>
      <c r="H212" s="456">
        <v>15423995</v>
      </c>
      <c r="I212" s="520">
        <f>111261.75/H212</f>
        <v>7.2135494079192839E-3</v>
      </c>
      <c r="J212" s="459">
        <v>100000</v>
      </c>
      <c r="K212" s="520">
        <f>(111261.75+J212)/H212</f>
        <v>1.3696953999271913E-2</v>
      </c>
      <c r="L212" s="786"/>
    </row>
    <row r="213" spans="2:12" ht="104.25" customHeight="1" thickTop="1" thickBot="1" x14ac:dyDescent="0.25">
      <c r="B213" s="535" t="s">
        <v>344</v>
      </c>
      <c r="C213" s="535" t="s">
        <v>345</v>
      </c>
      <c r="D213" s="535" t="s">
        <v>330</v>
      </c>
      <c r="E213" s="535" t="s">
        <v>509</v>
      </c>
      <c r="F213" s="537" t="s">
        <v>658</v>
      </c>
      <c r="G213" s="459" t="s">
        <v>478</v>
      </c>
      <c r="H213" s="459">
        <v>10111121</v>
      </c>
      <c r="I213" s="540">
        <f>(7825154.66)/H213</f>
        <v>0.77391563803855179</v>
      </c>
      <c r="J213" s="459">
        <f>2206836</f>
        <v>2206836</v>
      </c>
      <c r="K213" s="520">
        <f>(7825154.66+J213)/H213</f>
        <v>0.99217393007165078</v>
      </c>
      <c r="L213" s="786"/>
    </row>
    <row r="214" spans="2:12" ht="46.5" thickTop="1" thickBot="1" x14ac:dyDescent="0.25">
      <c r="B214" s="535" t="s">
        <v>344</v>
      </c>
      <c r="C214" s="535" t="s">
        <v>345</v>
      </c>
      <c r="D214" s="535" t="s">
        <v>330</v>
      </c>
      <c r="E214" s="535" t="s">
        <v>509</v>
      </c>
      <c r="F214" s="537" t="s">
        <v>510</v>
      </c>
      <c r="G214" s="459" t="s">
        <v>659</v>
      </c>
      <c r="H214" s="456">
        <v>20249401</v>
      </c>
      <c r="I214" s="520">
        <f>(14384713.31)/H214</f>
        <v>0.71037722597325226</v>
      </c>
      <c r="J214" s="459">
        <f>420000+68629</f>
        <v>488629</v>
      </c>
      <c r="K214" s="520">
        <f>(14384713.31+J214)/H214</f>
        <v>0.73450776692110553</v>
      </c>
      <c r="L214" s="786"/>
    </row>
    <row r="215" spans="2:12" ht="76.5" thickTop="1" thickBot="1" x14ac:dyDescent="0.25">
      <c r="B215" s="535" t="s">
        <v>344</v>
      </c>
      <c r="C215" s="535" t="s">
        <v>345</v>
      </c>
      <c r="D215" s="535" t="s">
        <v>330</v>
      </c>
      <c r="E215" s="535" t="s">
        <v>509</v>
      </c>
      <c r="F215" s="537" t="s">
        <v>776</v>
      </c>
      <c r="G215" s="459" t="s">
        <v>1295</v>
      </c>
      <c r="H215" s="456">
        <v>53314687</v>
      </c>
      <c r="I215" s="520">
        <f>(1418673.51)/H215</f>
        <v>2.6609431468668288E-2</v>
      </c>
      <c r="J215" s="459">
        <v>200000</v>
      </c>
      <c r="K215" s="520">
        <f>(1418673.51+J215)/H215</f>
        <v>3.0360742997515865E-2</v>
      </c>
      <c r="L215" s="786"/>
    </row>
    <row r="216" spans="2:12" ht="46.5" thickTop="1" thickBot="1" x14ac:dyDescent="0.25">
      <c r="B216" s="535" t="s">
        <v>344</v>
      </c>
      <c r="C216" s="535" t="s">
        <v>345</v>
      </c>
      <c r="D216" s="535" t="s">
        <v>330</v>
      </c>
      <c r="E216" s="535" t="s">
        <v>509</v>
      </c>
      <c r="F216" s="538" t="s">
        <v>660</v>
      </c>
      <c r="G216" s="456" t="s">
        <v>617</v>
      </c>
      <c r="H216" s="456">
        <v>30287941</v>
      </c>
      <c r="I216" s="520">
        <f>(4855726.3)/H216</f>
        <v>0.16031879816458966</v>
      </c>
      <c r="J216" s="456">
        <f>(5700000+5000000+2000000)</f>
        <v>12700000</v>
      </c>
      <c r="K216" s="520">
        <f>(4855726.3+J216)/H216</f>
        <v>0.57962759172041445</v>
      </c>
      <c r="L216" s="786"/>
    </row>
    <row r="217" spans="2:12" ht="91.5" thickTop="1" thickBot="1" x14ac:dyDescent="0.25">
      <c r="B217" s="539" t="s">
        <v>344</v>
      </c>
      <c r="C217" s="539" t="s">
        <v>345</v>
      </c>
      <c r="D217" s="539" t="s">
        <v>330</v>
      </c>
      <c r="E217" s="539" t="s">
        <v>509</v>
      </c>
      <c r="F217" s="538" t="s">
        <v>1290</v>
      </c>
      <c r="G217" s="459"/>
      <c r="H217" s="459"/>
      <c r="I217" s="540"/>
      <c r="J217" s="459">
        <v>50000</v>
      </c>
      <c r="K217" s="540"/>
      <c r="L217" s="786"/>
    </row>
    <row r="218" spans="2:12" ht="76.5" thickTop="1" thickBot="1" x14ac:dyDescent="0.25">
      <c r="B218" s="539" t="s">
        <v>344</v>
      </c>
      <c r="C218" s="539" t="s">
        <v>345</v>
      </c>
      <c r="D218" s="539" t="s">
        <v>330</v>
      </c>
      <c r="E218" s="539" t="s">
        <v>509</v>
      </c>
      <c r="F218" s="538" t="s">
        <v>1291</v>
      </c>
      <c r="G218" s="459"/>
      <c r="H218" s="459"/>
      <c r="I218" s="540"/>
      <c r="J218" s="459">
        <v>50000</v>
      </c>
      <c r="K218" s="540"/>
      <c r="L218" s="786">
        <v>2000000</v>
      </c>
    </row>
    <row r="219" spans="2:12" ht="102" customHeight="1" thickTop="1" thickBot="1" x14ac:dyDescent="0.25">
      <c r="B219" s="535" t="s">
        <v>344</v>
      </c>
      <c r="C219" s="535" t="s">
        <v>345</v>
      </c>
      <c r="D219" s="535" t="s">
        <v>330</v>
      </c>
      <c r="E219" s="535" t="s">
        <v>509</v>
      </c>
      <c r="F219" s="538" t="s">
        <v>1292</v>
      </c>
      <c r="G219" s="456"/>
      <c r="H219" s="456"/>
      <c r="I219" s="520"/>
      <c r="J219" s="459">
        <v>100000</v>
      </c>
      <c r="K219" s="520"/>
      <c r="L219" s="786"/>
    </row>
    <row r="220" spans="2:12" ht="110.25" customHeight="1" thickTop="1" thickBot="1" x14ac:dyDescent="0.25">
      <c r="B220" s="535" t="s">
        <v>344</v>
      </c>
      <c r="C220" s="535" t="s">
        <v>345</v>
      </c>
      <c r="D220" s="535" t="s">
        <v>330</v>
      </c>
      <c r="E220" s="535" t="s">
        <v>509</v>
      </c>
      <c r="F220" s="538" t="s">
        <v>1293</v>
      </c>
      <c r="G220" s="456"/>
      <c r="H220" s="456"/>
      <c r="I220" s="520"/>
      <c r="J220" s="459">
        <f>(300000)+395970</f>
        <v>695970</v>
      </c>
      <c r="K220" s="520"/>
      <c r="L220" s="786"/>
    </row>
    <row r="221" spans="2:12" ht="110.25" customHeight="1" thickTop="1" thickBot="1" x14ac:dyDescent="0.25">
      <c r="B221" s="535" t="s">
        <v>344</v>
      </c>
      <c r="C221" s="535" t="s">
        <v>345</v>
      </c>
      <c r="D221" s="535" t="s">
        <v>330</v>
      </c>
      <c r="E221" s="539" t="s">
        <v>509</v>
      </c>
      <c r="F221" s="538" t="s">
        <v>1294</v>
      </c>
      <c r="G221" s="456"/>
      <c r="H221" s="456"/>
      <c r="I221" s="520"/>
      <c r="J221" s="459">
        <v>400000</v>
      </c>
      <c r="K221" s="520"/>
      <c r="L221" s="786"/>
    </row>
    <row r="222" spans="2:12" ht="96.75" customHeight="1" thickTop="1" thickBot="1" x14ac:dyDescent="0.25">
      <c r="B222" s="535" t="s">
        <v>344</v>
      </c>
      <c r="C222" s="535" t="s">
        <v>345</v>
      </c>
      <c r="D222" s="535" t="s">
        <v>330</v>
      </c>
      <c r="E222" s="535" t="s">
        <v>509</v>
      </c>
      <c r="F222" s="536" t="s">
        <v>1064</v>
      </c>
      <c r="G222" s="456" t="s">
        <v>661</v>
      </c>
      <c r="H222" s="459">
        <v>22927048</v>
      </c>
      <c r="I222" s="540">
        <f>(4500462.97)/H222</f>
        <v>0.19629491637998925</v>
      </c>
      <c r="J222" s="459">
        <v>370000</v>
      </c>
      <c r="K222" s="540">
        <f>(4500462.97+J222)/H222</f>
        <v>0.2124330602875695</v>
      </c>
      <c r="L222" s="786"/>
    </row>
    <row r="223" spans="2:12" ht="54" customHeight="1" thickTop="1" thickBot="1" x14ac:dyDescent="0.25">
      <c r="B223" s="535" t="s">
        <v>479</v>
      </c>
      <c r="C223" s="535" t="s">
        <v>384</v>
      </c>
      <c r="D223" s="535" t="s">
        <v>191</v>
      </c>
      <c r="E223" s="535" t="s">
        <v>287</v>
      </c>
      <c r="F223" s="537" t="s">
        <v>1288</v>
      </c>
      <c r="G223" s="456" t="s">
        <v>661</v>
      </c>
      <c r="H223" s="456">
        <v>150345402</v>
      </c>
      <c r="I223" s="520">
        <f>(40567842.39)/H223</f>
        <v>0.26983094827203297</v>
      </c>
      <c r="J223" s="456">
        <f>(23737852+6343450)</f>
        <v>30081302</v>
      </c>
      <c r="K223" s="520">
        <f>(40567842.39+J223)/H223</f>
        <v>0.46991223842016799</v>
      </c>
      <c r="L223" s="786"/>
    </row>
    <row r="224" spans="2:12" ht="46.5" thickTop="1" thickBot="1" x14ac:dyDescent="0.25">
      <c r="B224" s="688" t="s">
        <v>181</v>
      </c>
      <c r="C224" s="688"/>
      <c r="D224" s="688"/>
      <c r="E224" s="689" t="s">
        <v>1112</v>
      </c>
      <c r="F224" s="694"/>
      <c r="G224" s="690"/>
      <c r="H224" s="690"/>
      <c r="I224" s="690"/>
      <c r="J224" s="694">
        <f>J225</f>
        <v>751000</v>
      </c>
      <c r="K224" s="694"/>
      <c r="L224" s="780"/>
    </row>
    <row r="225" spans="1:12" ht="58.5" thickTop="1" thickBot="1" x14ac:dyDescent="0.25">
      <c r="B225" s="691" t="s">
        <v>182</v>
      </c>
      <c r="C225" s="691"/>
      <c r="D225" s="691"/>
      <c r="E225" s="692" t="s">
        <v>1133</v>
      </c>
      <c r="F225" s="695"/>
      <c r="G225" s="695"/>
      <c r="H225" s="695"/>
      <c r="I225" s="695"/>
      <c r="J225" s="695">
        <f>SUM(J226:J228)</f>
        <v>751000</v>
      </c>
      <c r="K225" s="695"/>
      <c r="L225" s="780"/>
    </row>
    <row r="226" spans="1:12" ht="61.5" thickTop="1" thickBot="1" x14ac:dyDescent="0.25">
      <c r="B226" s="454" t="s">
        <v>457</v>
      </c>
      <c r="C226" s="454" t="s">
        <v>261</v>
      </c>
      <c r="D226" s="454" t="s">
        <v>259</v>
      </c>
      <c r="E226" s="454" t="s">
        <v>260</v>
      </c>
      <c r="F226" s="452" t="s">
        <v>590</v>
      </c>
      <c r="G226" s="456"/>
      <c r="H226" s="456"/>
      <c r="I226" s="520"/>
      <c r="J226" s="456">
        <v>140000</v>
      </c>
      <c r="K226" s="520"/>
      <c r="L226" s="780"/>
    </row>
    <row r="227" spans="1:12" ht="91.5" thickTop="1" thickBot="1" x14ac:dyDescent="0.25">
      <c r="B227" s="451" t="s">
        <v>1164</v>
      </c>
      <c r="C227" s="451" t="s">
        <v>1165</v>
      </c>
      <c r="D227" s="451" t="s">
        <v>330</v>
      </c>
      <c r="E227" s="451" t="s">
        <v>1166</v>
      </c>
      <c r="F227" s="452" t="s">
        <v>1167</v>
      </c>
      <c r="G227" s="456" t="s">
        <v>690</v>
      </c>
      <c r="H227" s="456"/>
      <c r="I227" s="520">
        <v>0</v>
      </c>
      <c r="J227" s="663">
        <f>211000-13000</f>
        <v>198000</v>
      </c>
      <c r="K227" s="520">
        <v>1</v>
      </c>
      <c r="L227" s="780"/>
    </row>
    <row r="228" spans="1:12" ht="61.5" thickTop="1" thickBot="1" x14ac:dyDescent="0.25">
      <c r="B228" s="451" t="s">
        <v>1164</v>
      </c>
      <c r="C228" s="451" t="s">
        <v>1165</v>
      </c>
      <c r="D228" s="451" t="s">
        <v>330</v>
      </c>
      <c r="E228" s="451" t="s">
        <v>1166</v>
      </c>
      <c r="F228" s="662" t="s">
        <v>1168</v>
      </c>
      <c r="G228" s="456" t="s">
        <v>690</v>
      </c>
      <c r="H228" s="456"/>
      <c r="I228" s="520">
        <v>0</v>
      </c>
      <c r="J228" s="663">
        <f>400000+13000</f>
        <v>413000</v>
      </c>
      <c r="K228" s="520">
        <v>1</v>
      </c>
      <c r="L228" s="780"/>
    </row>
    <row r="229" spans="1:12" ht="46.5" thickTop="1" thickBot="1" x14ac:dyDescent="0.25">
      <c r="B229" s="688" t="s">
        <v>487</v>
      </c>
      <c r="C229" s="688"/>
      <c r="D229" s="688"/>
      <c r="E229" s="689" t="s">
        <v>489</v>
      </c>
      <c r="F229" s="694"/>
      <c r="G229" s="690"/>
      <c r="H229" s="690"/>
      <c r="I229" s="690"/>
      <c r="J229" s="694">
        <f>J230</f>
        <v>36000</v>
      </c>
      <c r="K229" s="694"/>
    </row>
    <row r="230" spans="1:12" ht="44.25" thickTop="1" thickBot="1" x14ac:dyDescent="0.25">
      <c r="B230" s="691" t="s">
        <v>488</v>
      </c>
      <c r="C230" s="691"/>
      <c r="D230" s="691"/>
      <c r="E230" s="692" t="s">
        <v>490</v>
      </c>
      <c r="F230" s="695"/>
      <c r="G230" s="695"/>
      <c r="H230" s="695"/>
      <c r="I230" s="695"/>
      <c r="J230" s="695">
        <f>J231</f>
        <v>36000</v>
      </c>
      <c r="K230" s="695"/>
    </row>
    <row r="231" spans="1:12" ht="61.5" thickTop="1" thickBot="1" x14ac:dyDescent="0.25">
      <c r="B231" s="454" t="s">
        <v>491</v>
      </c>
      <c r="C231" s="454" t="s">
        <v>261</v>
      </c>
      <c r="D231" s="454" t="s">
        <v>259</v>
      </c>
      <c r="E231" s="454" t="s">
        <v>260</v>
      </c>
      <c r="F231" s="452" t="s">
        <v>590</v>
      </c>
      <c r="G231" s="541"/>
      <c r="H231" s="542"/>
      <c r="I231" s="541"/>
      <c r="J231" s="453">
        <f>(18000)+18000</f>
        <v>36000</v>
      </c>
      <c r="K231" s="453"/>
    </row>
    <row r="232" spans="1:12" ht="31.5" thickTop="1" thickBot="1" x14ac:dyDescent="0.25">
      <c r="A232" s="787"/>
      <c r="B232" s="688" t="s">
        <v>187</v>
      </c>
      <c r="C232" s="688"/>
      <c r="D232" s="688"/>
      <c r="E232" s="689" t="s">
        <v>388</v>
      </c>
      <c r="F232" s="694"/>
      <c r="G232" s="690"/>
      <c r="H232" s="690"/>
      <c r="I232" s="690"/>
      <c r="J232" s="694">
        <f>J233</f>
        <v>1400000</v>
      </c>
      <c r="K232" s="694"/>
    </row>
    <row r="233" spans="1:12" ht="44.25" thickTop="1" thickBot="1" x14ac:dyDescent="0.25">
      <c r="A233" s="787"/>
      <c r="B233" s="691" t="s">
        <v>188</v>
      </c>
      <c r="C233" s="691"/>
      <c r="D233" s="691"/>
      <c r="E233" s="692" t="s">
        <v>389</v>
      </c>
      <c r="F233" s="695"/>
      <c r="G233" s="695"/>
      <c r="H233" s="695"/>
      <c r="I233" s="695"/>
      <c r="J233" s="695">
        <f>SUM(J234:J235)</f>
        <v>1400000</v>
      </c>
      <c r="K233" s="695"/>
    </row>
    <row r="234" spans="1:12" ht="31.5" thickTop="1" thickBot="1" x14ac:dyDescent="0.25">
      <c r="B234" s="454" t="s">
        <v>281</v>
      </c>
      <c r="C234" s="454" t="s">
        <v>282</v>
      </c>
      <c r="D234" s="454" t="s">
        <v>191</v>
      </c>
      <c r="E234" s="454" t="s">
        <v>280</v>
      </c>
      <c r="F234" s="455" t="s">
        <v>61</v>
      </c>
      <c r="G234" s="455"/>
      <c r="H234" s="456"/>
      <c r="I234" s="455"/>
      <c r="J234" s="456">
        <v>400000</v>
      </c>
      <c r="K234" s="456"/>
    </row>
    <row r="235" spans="1:12" ht="91.5" thickTop="1" thickBot="1" x14ac:dyDescent="0.25">
      <c r="B235" s="451" t="s">
        <v>1151</v>
      </c>
      <c r="C235" s="451" t="s">
        <v>399</v>
      </c>
      <c r="D235" s="451" t="s">
        <v>45</v>
      </c>
      <c r="E235" s="451" t="s">
        <v>400</v>
      </c>
      <c r="F235" s="452" t="s">
        <v>1152</v>
      </c>
      <c r="G235" s="455"/>
      <c r="H235" s="456"/>
      <c r="I235" s="455"/>
      <c r="J235" s="456">
        <v>1000000</v>
      </c>
      <c r="K235" s="456"/>
    </row>
    <row r="236" spans="1:12" ht="61.5" thickTop="1" thickBot="1" x14ac:dyDescent="0.25">
      <c r="B236" s="688" t="s">
        <v>185</v>
      </c>
      <c r="C236" s="688"/>
      <c r="D236" s="688"/>
      <c r="E236" s="689" t="s">
        <v>1105</v>
      </c>
      <c r="F236" s="694"/>
      <c r="G236" s="690"/>
      <c r="H236" s="690"/>
      <c r="I236" s="690"/>
      <c r="J236" s="694">
        <f>J237</f>
        <v>64000</v>
      </c>
      <c r="K236" s="694"/>
    </row>
    <row r="237" spans="1:12" ht="58.5" thickTop="1" thickBot="1" x14ac:dyDescent="0.25">
      <c r="B237" s="691" t="s">
        <v>186</v>
      </c>
      <c r="C237" s="691"/>
      <c r="D237" s="691"/>
      <c r="E237" s="692" t="s">
        <v>1106</v>
      </c>
      <c r="F237" s="695"/>
      <c r="G237" s="695"/>
      <c r="H237" s="695"/>
      <c r="I237" s="695"/>
      <c r="J237" s="695">
        <f>J238</f>
        <v>64000</v>
      </c>
      <c r="K237" s="695"/>
    </row>
    <row r="238" spans="1:12" ht="61.5" thickTop="1" thickBot="1" x14ac:dyDescent="0.25">
      <c r="B238" s="454" t="s">
        <v>460</v>
      </c>
      <c r="C238" s="454" t="s">
        <v>261</v>
      </c>
      <c r="D238" s="454" t="s">
        <v>259</v>
      </c>
      <c r="E238" s="454" t="s">
        <v>260</v>
      </c>
      <c r="F238" s="452" t="s">
        <v>590</v>
      </c>
      <c r="G238" s="455"/>
      <c r="H238" s="456"/>
      <c r="I238" s="455"/>
      <c r="J238" s="453">
        <f>(18000)+46000</f>
        <v>64000</v>
      </c>
      <c r="K238" s="456"/>
    </row>
    <row r="239" spans="1:12" ht="46.5" thickTop="1" thickBot="1" x14ac:dyDescent="0.25">
      <c r="B239" s="688" t="s">
        <v>183</v>
      </c>
      <c r="C239" s="688"/>
      <c r="D239" s="688"/>
      <c r="E239" s="689" t="s">
        <v>1114</v>
      </c>
      <c r="F239" s="694"/>
      <c r="G239" s="690"/>
      <c r="H239" s="690"/>
      <c r="I239" s="690"/>
      <c r="J239" s="694">
        <f>J240</f>
        <v>350000</v>
      </c>
      <c r="K239" s="694"/>
    </row>
    <row r="240" spans="1:12" ht="44.25" thickTop="1" thickBot="1" x14ac:dyDescent="0.25">
      <c r="B240" s="691" t="s">
        <v>184</v>
      </c>
      <c r="C240" s="691"/>
      <c r="D240" s="691"/>
      <c r="E240" s="692" t="s">
        <v>1115</v>
      </c>
      <c r="F240" s="695"/>
      <c r="G240" s="695"/>
      <c r="H240" s="695"/>
      <c r="I240" s="695"/>
      <c r="J240" s="695">
        <f>SUM(J241:J244)</f>
        <v>350000</v>
      </c>
      <c r="K240" s="695"/>
    </row>
    <row r="241" spans="1:18" ht="61.5" thickTop="1" thickBot="1" x14ac:dyDescent="0.25">
      <c r="B241" s="454" t="s">
        <v>460</v>
      </c>
      <c r="C241" s="454" t="s">
        <v>261</v>
      </c>
      <c r="D241" s="454" t="s">
        <v>259</v>
      </c>
      <c r="E241" s="454" t="s">
        <v>260</v>
      </c>
      <c r="F241" s="452" t="s">
        <v>590</v>
      </c>
      <c r="G241" s="455"/>
      <c r="H241" s="456"/>
      <c r="I241" s="455"/>
      <c r="J241" s="453">
        <v>100000</v>
      </c>
      <c r="K241" s="456"/>
    </row>
    <row r="242" spans="1:18" ht="31.5" thickTop="1" thickBot="1" x14ac:dyDescent="0.25">
      <c r="B242" s="454" t="s">
        <v>332</v>
      </c>
      <c r="C242" s="454" t="s">
        <v>333</v>
      </c>
      <c r="D242" s="454" t="s">
        <v>334</v>
      </c>
      <c r="E242" s="454" t="s">
        <v>507</v>
      </c>
      <c r="F242" s="537" t="s">
        <v>34</v>
      </c>
      <c r="G242" s="455"/>
      <c r="H242" s="456"/>
      <c r="I242" s="455"/>
      <c r="J242" s="453">
        <v>20000</v>
      </c>
      <c r="K242" s="456"/>
    </row>
    <row r="243" spans="1:18" ht="31.5" thickTop="1" thickBot="1" x14ac:dyDescent="0.25">
      <c r="B243" s="454" t="s">
        <v>332</v>
      </c>
      <c r="C243" s="454" t="s">
        <v>333</v>
      </c>
      <c r="D243" s="454" t="s">
        <v>334</v>
      </c>
      <c r="E243" s="454" t="s">
        <v>507</v>
      </c>
      <c r="F243" s="537" t="s">
        <v>35</v>
      </c>
      <c r="G243" s="455"/>
      <c r="H243" s="456"/>
      <c r="I243" s="455"/>
      <c r="J243" s="453">
        <v>180000</v>
      </c>
      <c r="K243" s="456"/>
    </row>
    <row r="244" spans="1:18" ht="61.5" thickTop="1" thickBot="1" x14ac:dyDescent="0.25">
      <c r="B244" s="454" t="s">
        <v>404</v>
      </c>
      <c r="C244" s="454" t="s">
        <v>405</v>
      </c>
      <c r="D244" s="454" t="s">
        <v>191</v>
      </c>
      <c r="E244" s="454" t="s">
        <v>406</v>
      </c>
      <c r="F244" s="537" t="s">
        <v>350</v>
      </c>
      <c r="G244" s="455"/>
      <c r="H244" s="456"/>
      <c r="I244" s="455"/>
      <c r="J244" s="453">
        <v>50000</v>
      </c>
      <c r="K244" s="456"/>
    </row>
    <row r="245" spans="1:18" ht="34.5" customHeight="1" thickTop="1" thickBot="1" x14ac:dyDescent="0.25">
      <c r="A245" s="779"/>
      <c r="B245" s="328" t="s">
        <v>418</v>
      </c>
      <c r="C245" s="328" t="s">
        <v>418</v>
      </c>
      <c r="D245" s="328" t="s">
        <v>418</v>
      </c>
      <c r="E245" s="338" t="s">
        <v>428</v>
      </c>
      <c r="F245" s="328" t="s">
        <v>418</v>
      </c>
      <c r="G245" s="328" t="s">
        <v>418</v>
      </c>
      <c r="H245" s="328" t="s">
        <v>418</v>
      </c>
      <c r="I245" s="328" t="s">
        <v>418</v>
      </c>
      <c r="J245" s="328">
        <f>J12+J18+J111+J75+J90+J101+J239+J232+J230+J224+J236+J202+J137+J123</f>
        <v>346106659.33999997</v>
      </c>
      <c r="K245" s="328" t="s">
        <v>418</v>
      </c>
      <c r="L245" s="339" t="b">
        <f>J245='d3'!K302</f>
        <v>1</v>
      </c>
    </row>
    <row r="246" spans="1:18" ht="16.5" thickTop="1" x14ac:dyDescent="0.2">
      <c r="B246" s="905" t="s">
        <v>612</v>
      </c>
      <c r="C246" s="906"/>
      <c r="D246" s="906"/>
      <c r="E246" s="906"/>
      <c r="F246" s="906"/>
      <c r="G246" s="906"/>
      <c r="H246" s="906"/>
      <c r="I246" s="906"/>
      <c r="J246" s="906"/>
      <c r="K246" s="906"/>
      <c r="L246" s="907"/>
      <c r="M246" s="907"/>
      <c r="N246" s="907"/>
      <c r="O246" s="907"/>
      <c r="P246" s="907"/>
      <c r="Q246" s="907"/>
      <c r="R246" s="907"/>
    </row>
    <row r="247" spans="1:18" ht="12" customHeight="1" x14ac:dyDescent="0.2">
      <c r="B247" s="908"/>
      <c r="C247" s="908"/>
      <c r="D247" s="908"/>
      <c r="E247" s="908"/>
      <c r="F247" s="908"/>
      <c r="G247" s="908"/>
      <c r="H247" s="908"/>
      <c r="I247" s="908"/>
      <c r="J247" s="908"/>
      <c r="K247" s="908"/>
    </row>
    <row r="248" spans="1:18" ht="26.45" hidden="1" customHeight="1" x14ac:dyDescent="0.2">
      <c r="B248" s="771"/>
      <c r="C248" s="771"/>
      <c r="D248" s="771" t="s">
        <v>625</v>
      </c>
      <c r="E248" s="771"/>
      <c r="F248" s="771"/>
      <c r="G248" s="771"/>
      <c r="H248" s="771"/>
      <c r="I248" s="771"/>
      <c r="J248" s="771" t="s">
        <v>620</v>
      </c>
      <c r="K248" s="771"/>
    </row>
    <row r="249" spans="1:18" ht="15" x14ac:dyDescent="0.25">
      <c r="D249" s="203" t="s">
        <v>1272</v>
      </c>
      <c r="E249" s="204"/>
      <c r="F249" s="208"/>
      <c r="G249" s="205" t="s">
        <v>1273</v>
      </c>
      <c r="H249" s="205"/>
      <c r="I249" s="206"/>
      <c r="J249" s="206"/>
      <c r="K249" s="205"/>
    </row>
    <row r="250" spans="1:18" x14ac:dyDescent="0.2">
      <c r="F250" s="788"/>
      <c r="G250" s="788"/>
      <c r="H250" s="788"/>
      <c r="I250" s="788"/>
      <c r="J250" s="788"/>
      <c r="K250" s="788"/>
    </row>
    <row r="251" spans="1:18" ht="16.5" thickTop="1" thickBot="1" x14ac:dyDescent="0.3">
      <c r="D251" s="203" t="s">
        <v>621</v>
      </c>
      <c r="E251" s="204"/>
      <c r="F251" s="208"/>
      <c r="G251" s="205" t="s">
        <v>622</v>
      </c>
      <c r="H251" s="205"/>
      <c r="I251" s="206"/>
      <c r="J251" s="206"/>
      <c r="K251" s="205"/>
    </row>
    <row r="263" spans="7:11" ht="46.5" x14ac:dyDescent="0.2">
      <c r="K263" s="161"/>
    </row>
    <row r="266" spans="7:11" ht="46.5" x14ac:dyDescent="0.2">
      <c r="G266" s="161"/>
      <c r="K266" s="161"/>
    </row>
    <row r="285" spans="12:12" ht="90" x14ac:dyDescent="1.1499999999999999">
      <c r="L285" s="125"/>
    </row>
  </sheetData>
  <mergeCells count="8">
    <mergeCell ref="B246:R246"/>
    <mergeCell ref="B247:K247"/>
    <mergeCell ref="B1:K1"/>
    <mergeCell ref="G2:K2"/>
    <mergeCell ref="B4:K4"/>
    <mergeCell ref="B7:C7"/>
    <mergeCell ref="B8:C8"/>
    <mergeCell ref="B5:K5"/>
  </mergeCells>
  <printOptions horizontalCentered="1"/>
  <pageMargins left="0.82677165354330717" right="0" top="0.31496062992125984" bottom="0.31496062992125984" header="0.23622047244094491" footer="0.19685039370078741"/>
  <pageSetup paperSize="9" scale="63" fitToHeight="0" orientation="landscape" r:id="rId1"/>
  <headerFooter alignWithMargins="0">
    <oddFooter>&amp;R&amp;P</oddFooter>
  </headerFooter>
  <rowBreaks count="3" manualBreakCount="3">
    <brk id="30" min="1" max="10" man="1"/>
    <brk id="39" min="1" max="10" man="1"/>
    <brk id="214" min="1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58"/>
  <sheetViews>
    <sheetView view="pageBreakPreview" zoomScale="25" zoomScaleNormal="25" zoomScaleSheetLayoutView="25" zoomScalePageLayoutView="10" workbookViewId="0">
      <pane ySplit="14" topLeftCell="A79" activePane="bottomLeft" state="frozen"/>
      <selection activeCell="F175" sqref="F175"/>
      <selection pane="bottomLeft" activeCell="I81" sqref="I81:I82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113.85546875" style="5" customWidth="1"/>
    <col min="6" max="6" width="114" style="1" customWidth="1"/>
    <col min="7" max="7" width="55.42578125" style="1" customWidth="1"/>
    <col min="8" max="8" width="63.5703125" style="1" customWidth="1"/>
    <col min="9" max="9" width="62.140625" style="1" customWidth="1"/>
    <col min="10" max="10" width="70.28515625" style="5" customWidth="1"/>
    <col min="11" max="11" width="62.28515625" style="266" customWidth="1"/>
    <col min="12" max="12" width="60.140625" style="266" bestFit="1" customWidth="1"/>
    <col min="13" max="13" width="63" style="266" bestFit="1" customWidth="1"/>
    <col min="14" max="16" width="9.140625" style="266"/>
    <col min="17" max="17" width="70.28515625" style="266" customWidth="1"/>
    <col min="18" max="16384" width="9.140625" style="189"/>
  </cols>
  <sheetData>
    <row r="1" spans="1:17" ht="45.75" x14ac:dyDescent="0.2">
      <c r="D1" s="191"/>
      <c r="E1" s="192"/>
      <c r="F1" s="190"/>
      <c r="G1" s="192"/>
      <c r="H1" s="192"/>
      <c r="I1" s="849" t="s">
        <v>757</v>
      </c>
      <c r="J1" s="849"/>
    </row>
    <row r="2" spans="1:17" ht="45.75" x14ac:dyDescent="0.2">
      <c r="A2" s="191"/>
      <c r="B2" s="191"/>
      <c r="C2" s="191"/>
      <c r="D2" s="191"/>
      <c r="E2" s="192"/>
      <c r="F2" s="190"/>
      <c r="G2" s="192"/>
      <c r="H2" s="192"/>
      <c r="I2" s="849" t="s">
        <v>1271</v>
      </c>
      <c r="J2" s="851"/>
    </row>
    <row r="3" spans="1:17" ht="40.700000000000003" customHeight="1" x14ac:dyDescent="0.2">
      <c r="A3" s="191"/>
      <c r="B3" s="191"/>
      <c r="C3" s="191"/>
      <c r="D3" s="191"/>
      <c r="E3" s="192"/>
      <c r="F3" s="190"/>
      <c r="G3" s="192"/>
      <c r="H3" s="192"/>
      <c r="I3" s="849"/>
      <c r="J3" s="851"/>
    </row>
    <row r="4" spans="1:17" ht="45.75" hidden="1" x14ac:dyDescent="0.2">
      <c r="A4" s="191"/>
      <c r="B4" s="191"/>
      <c r="C4" s="191"/>
      <c r="D4" s="191"/>
      <c r="E4" s="192"/>
      <c r="F4" s="190"/>
      <c r="G4" s="192"/>
      <c r="H4" s="192"/>
      <c r="I4" s="191"/>
      <c r="J4" s="190"/>
    </row>
    <row r="5" spans="1:17" ht="45" x14ac:dyDescent="0.2">
      <c r="A5" s="852" t="s">
        <v>705</v>
      </c>
      <c r="B5" s="852"/>
      <c r="C5" s="852"/>
      <c r="D5" s="852"/>
      <c r="E5" s="852"/>
      <c r="F5" s="852"/>
      <c r="G5" s="852"/>
      <c r="H5" s="852"/>
      <c r="I5" s="852"/>
      <c r="J5" s="852"/>
    </row>
    <row r="6" spans="1:17" s="235" customFormat="1" ht="45" x14ac:dyDescent="0.2">
      <c r="A6" s="852" t="s">
        <v>706</v>
      </c>
      <c r="B6" s="852"/>
      <c r="C6" s="852"/>
      <c r="D6" s="852"/>
      <c r="E6" s="852"/>
      <c r="F6" s="852"/>
      <c r="G6" s="852"/>
      <c r="H6" s="852"/>
      <c r="I6" s="852"/>
      <c r="J6" s="852"/>
      <c r="K6" s="266"/>
      <c r="L6" s="266"/>
      <c r="M6" s="266"/>
      <c r="N6" s="266"/>
      <c r="O6" s="266"/>
      <c r="P6" s="266"/>
      <c r="Q6" s="266"/>
    </row>
    <row r="7" spans="1:17" ht="45" x14ac:dyDescent="0.2">
      <c r="A7" s="192"/>
      <c r="B7" s="192"/>
      <c r="C7" s="192"/>
      <c r="D7" s="192"/>
      <c r="E7" s="192"/>
      <c r="F7" s="192"/>
      <c r="G7" s="192"/>
      <c r="H7" s="192"/>
      <c r="I7" s="192"/>
      <c r="J7" s="192"/>
    </row>
    <row r="8" spans="1:17" ht="45" x14ac:dyDescent="0.2">
      <c r="A8" s="852"/>
      <c r="B8" s="852"/>
      <c r="C8" s="852"/>
      <c r="D8" s="852"/>
      <c r="E8" s="852"/>
      <c r="F8" s="852"/>
      <c r="G8" s="852"/>
      <c r="H8" s="852"/>
      <c r="I8" s="852"/>
      <c r="J8" s="852"/>
    </row>
    <row r="9" spans="1:17" ht="45.75" x14ac:dyDescent="0.65">
      <c r="A9" s="853">
        <v>22564000000</v>
      </c>
      <c r="B9" s="854"/>
      <c r="C9" s="820"/>
      <c r="D9" s="820"/>
      <c r="E9" s="820"/>
      <c r="F9" s="820"/>
      <c r="G9" s="820"/>
      <c r="H9" s="820"/>
      <c r="I9" s="820"/>
      <c r="J9" s="820"/>
    </row>
    <row r="10" spans="1:17" ht="45.75" x14ac:dyDescent="0.2">
      <c r="A10" s="858" t="s">
        <v>546</v>
      </c>
      <c r="B10" s="859"/>
      <c r="C10" s="820"/>
      <c r="D10" s="820"/>
      <c r="E10" s="820"/>
      <c r="F10" s="820"/>
      <c r="G10" s="820"/>
      <c r="H10" s="820"/>
      <c r="I10" s="820"/>
      <c r="J10" s="820"/>
    </row>
    <row r="11" spans="1:17" ht="53.45" customHeight="1" thickBot="1" x14ac:dyDescent="0.25">
      <c r="A11" s="192"/>
      <c r="B11" s="192"/>
      <c r="C11" s="192"/>
      <c r="D11" s="192"/>
      <c r="E11" s="192"/>
      <c r="F11" s="190"/>
      <c r="G11" s="192"/>
      <c r="H11" s="192"/>
      <c r="I11" s="192"/>
      <c r="J11" s="6" t="s">
        <v>441</v>
      </c>
    </row>
    <row r="12" spans="1:17" ht="104.25" customHeight="1" thickTop="1" thickBot="1" x14ac:dyDescent="0.25">
      <c r="A12" s="857" t="s">
        <v>547</v>
      </c>
      <c r="B12" s="857" t="s">
        <v>548</v>
      </c>
      <c r="C12" s="857" t="s">
        <v>427</v>
      </c>
      <c r="D12" s="857" t="s">
        <v>707</v>
      </c>
      <c r="E12" s="857" t="s">
        <v>552</v>
      </c>
      <c r="F12" s="857" t="s">
        <v>553</v>
      </c>
      <c r="G12" s="857" t="s">
        <v>420</v>
      </c>
      <c r="H12" s="857" t="s">
        <v>12</v>
      </c>
      <c r="I12" s="855" t="s">
        <v>57</v>
      </c>
      <c r="J12" s="856"/>
    </row>
    <row r="13" spans="1:17" ht="406.5" customHeight="1" thickTop="1" thickBot="1" x14ac:dyDescent="0.25">
      <c r="A13" s="855"/>
      <c r="B13" s="860"/>
      <c r="C13" s="860"/>
      <c r="D13" s="855"/>
      <c r="E13" s="855"/>
      <c r="F13" s="855"/>
      <c r="G13" s="855"/>
      <c r="H13" s="855"/>
      <c r="I13" s="250" t="s">
        <v>421</v>
      </c>
      <c r="J13" s="250" t="s">
        <v>422</v>
      </c>
    </row>
    <row r="14" spans="1:17" s="2" customFormat="1" ht="46.5" thickTop="1" thickBot="1" x14ac:dyDescent="0.25">
      <c r="A14" s="251" t="s">
        <v>2</v>
      </c>
      <c r="B14" s="251" t="s">
        <v>3</v>
      </c>
      <c r="C14" s="251" t="s">
        <v>14</v>
      </c>
      <c r="D14" s="251" t="s">
        <v>5</v>
      </c>
      <c r="E14" s="251" t="s">
        <v>429</v>
      </c>
      <c r="F14" s="251" t="s">
        <v>430</v>
      </c>
      <c r="G14" s="251" t="s">
        <v>431</v>
      </c>
      <c r="H14" s="251" t="s">
        <v>432</v>
      </c>
      <c r="I14" s="251" t="s">
        <v>433</v>
      </c>
      <c r="J14" s="251" t="s">
        <v>434</v>
      </c>
      <c r="K14" s="269"/>
      <c r="L14" s="269"/>
      <c r="M14" s="269"/>
      <c r="N14" s="269"/>
      <c r="O14" s="269"/>
      <c r="P14" s="269"/>
      <c r="Q14" s="269"/>
    </row>
    <row r="15" spans="1:17" s="2" customFormat="1" ht="148.69999999999999" customHeight="1" thickTop="1" thickBot="1" x14ac:dyDescent="0.25">
      <c r="A15" s="680" t="s">
        <v>169</v>
      </c>
      <c r="B15" s="680"/>
      <c r="C15" s="680"/>
      <c r="D15" s="681" t="s">
        <v>171</v>
      </c>
      <c r="E15" s="682"/>
      <c r="F15" s="683"/>
      <c r="G15" s="683">
        <f>G16</f>
        <v>28936959.169999998</v>
      </c>
      <c r="H15" s="683">
        <f t="shared" ref="H15:J15" si="0">H16</f>
        <v>18967292.59</v>
      </c>
      <c r="I15" s="682">
        <f>I16</f>
        <v>9969666.5800000001</v>
      </c>
      <c r="J15" s="682">
        <f t="shared" si="0"/>
        <v>5314500</v>
      </c>
      <c r="K15" s="311" t="b">
        <f>H16='d3'!F17-'d3'!F19-'d3'!F20+'d7'!H17+'d7'!H18</f>
        <v>1</v>
      </c>
      <c r="L15" s="311" t="b">
        <f>I16='d3'!J17-'d3'!J19-'d3'!J20+'d7'!I17+'d7'!I18</f>
        <v>1</v>
      </c>
      <c r="M15" s="311" t="b">
        <f>J16='d3'!K17-'d3'!K19-'d3'!K20+'d7'!J17+'d7'!J18</f>
        <v>1</v>
      </c>
      <c r="N15" s="269"/>
      <c r="O15" s="269"/>
      <c r="P15" s="269"/>
      <c r="Q15" s="269"/>
    </row>
    <row r="16" spans="1:17" s="2" customFormat="1" ht="157.69999999999999" customHeight="1" thickTop="1" thickBot="1" x14ac:dyDescent="0.25">
      <c r="A16" s="684" t="s">
        <v>170</v>
      </c>
      <c r="B16" s="684"/>
      <c r="C16" s="684"/>
      <c r="D16" s="685" t="s">
        <v>172</v>
      </c>
      <c r="E16" s="686"/>
      <c r="F16" s="686"/>
      <c r="G16" s="686">
        <f>SUM(G17:G36)</f>
        <v>28936959.169999998</v>
      </c>
      <c r="H16" s="686">
        <f>SUM(H17:H36)</f>
        <v>18967292.59</v>
      </c>
      <c r="I16" s="686">
        <f>SUM(I17:I36)</f>
        <v>9969666.5800000001</v>
      </c>
      <c r="J16" s="686">
        <f>SUM(J17:J36)</f>
        <v>5314500</v>
      </c>
      <c r="K16" s="269"/>
      <c r="L16" s="269"/>
      <c r="M16" s="269"/>
      <c r="N16" s="269"/>
      <c r="O16" s="269"/>
      <c r="P16" s="269"/>
      <c r="Q16" s="269"/>
    </row>
    <row r="17" spans="1:17" ht="321.75" thickTop="1" thickBot="1" x14ac:dyDescent="0.25">
      <c r="A17" s="307" t="s">
        <v>257</v>
      </c>
      <c r="B17" s="307" t="s">
        <v>258</v>
      </c>
      <c r="C17" s="307" t="s">
        <v>259</v>
      </c>
      <c r="D17" s="307" t="s">
        <v>256</v>
      </c>
      <c r="E17" s="394" t="s">
        <v>1065</v>
      </c>
      <c r="F17" s="593" t="s">
        <v>1066</v>
      </c>
      <c r="G17" s="308">
        <f t="shared" ref="G17:G24" si="1">H17+I17</f>
        <v>2236000</v>
      </c>
      <c r="H17" s="402"/>
      <c r="I17" s="308">
        <f>(300000+300000+330000+15000)+336000+900000+55000</f>
        <v>2236000</v>
      </c>
      <c r="J17" s="308">
        <f>(300000+300000+330000+15000)+336000+900000+55000</f>
        <v>2236000</v>
      </c>
      <c r="K17" s="300"/>
      <c r="L17" s="311" t="b">
        <f>I17+I18='d3'!J19</f>
        <v>1</v>
      </c>
      <c r="M17" s="311" t="b">
        <f>J17+J18='d3'!K19</f>
        <v>1</v>
      </c>
    </row>
    <row r="18" spans="1:17" s="246" customFormat="1" ht="367.5" thickTop="1" thickBot="1" x14ac:dyDescent="0.25">
      <c r="A18" s="307" t="s">
        <v>257</v>
      </c>
      <c r="B18" s="307" t="s">
        <v>258</v>
      </c>
      <c r="C18" s="307" t="s">
        <v>259</v>
      </c>
      <c r="D18" s="307" t="s">
        <v>256</v>
      </c>
      <c r="E18" s="394" t="s">
        <v>1087</v>
      </c>
      <c r="F18" s="596" t="s">
        <v>1088</v>
      </c>
      <c r="G18" s="308">
        <f t="shared" si="1"/>
        <v>638500</v>
      </c>
      <c r="H18" s="402">
        <v>20000</v>
      </c>
      <c r="I18" s="308">
        <v>618500</v>
      </c>
      <c r="J18" s="308">
        <v>618500</v>
      </c>
      <c r="K18" s="301"/>
      <c r="L18" s="302"/>
      <c r="M18" s="266"/>
      <c r="N18" s="266"/>
      <c r="O18" s="266"/>
      <c r="P18" s="266"/>
      <c r="Q18" s="266"/>
    </row>
    <row r="19" spans="1:17" s="389" customFormat="1" ht="409.6" thickTop="1" thickBot="1" x14ac:dyDescent="0.25">
      <c r="A19" s="395" t="s">
        <v>814</v>
      </c>
      <c r="B19" s="395" t="s">
        <v>398</v>
      </c>
      <c r="C19" s="395" t="s">
        <v>815</v>
      </c>
      <c r="D19" s="395" t="s">
        <v>816</v>
      </c>
      <c r="E19" s="394" t="s">
        <v>1101</v>
      </c>
      <c r="F19" s="619" t="s">
        <v>1102</v>
      </c>
      <c r="G19" s="308">
        <f t="shared" si="1"/>
        <v>49000</v>
      </c>
      <c r="H19" s="402">
        <f>'d3'!E21</f>
        <v>49000</v>
      </c>
      <c r="I19" s="308"/>
      <c r="J19" s="308"/>
      <c r="K19" s="301"/>
      <c r="L19" s="302"/>
      <c r="M19" s="390"/>
      <c r="N19" s="390"/>
      <c r="O19" s="390"/>
      <c r="P19" s="390"/>
      <c r="Q19" s="390"/>
    </row>
    <row r="20" spans="1:17" ht="138.75" thickTop="1" thickBot="1" x14ac:dyDescent="0.25">
      <c r="A20" s="307" t="s">
        <v>272</v>
      </c>
      <c r="B20" s="307" t="s">
        <v>45</v>
      </c>
      <c r="C20" s="307" t="s">
        <v>44</v>
      </c>
      <c r="D20" s="307" t="s">
        <v>273</v>
      </c>
      <c r="E20" s="601" t="s">
        <v>1067</v>
      </c>
      <c r="F20" s="593" t="s">
        <v>1068</v>
      </c>
      <c r="G20" s="308">
        <f t="shared" si="1"/>
        <v>1500000</v>
      </c>
      <c r="H20" s="402">
        <v>1500000</v>
      </c>
      <c r="I20" s="308"/>
      <c r="J20" s="308"/>
      <c r="K20" s="925" t="b">
        <f>H20+H21='d3'!E22</f>
        <v>1</v>
      </c>
      <c r="L20" s="925"/>
      <c r="M20" s="925"/>
    </row>
    <row r="21" spans="1:17" ht="184.5" customHeight="1" thickTop="1" thickBot="1" x14ac:dyDescent="0.25">
      <c r="A21" s="307" t="s">
        <v>272</v>
      </c>
      <c r="B21" s="307" t="s">
        <v>45</v>
      </c>
      <c r="C21" s="307" t="s">
        <v>44</v>
      </c>
      <c r="D21" s="307" t="s">
        <v>273</v>
      </c>
      <c r="E21" s="394" t="s">
        <v>1071</v>
      </c>
      <c r="F21" s="593" t="s">
        <v>1072</v>
      </c>
      <c r="G21" s="308">
        <f t="shared" si="1"/>
        <v>1635750</v>
      </c>
      <c r="H21" s="402">
        <f>(20000+41000+1549750)+25000</f>
        <v>1635750</v>
      </c>
      <c r="I21" s="308"/>
      <c r="J21" s="308"/>
      <c r="K21" s="926"/>
      <c r="L21" s="926"/>
      <c r="M21" s="926"/>
    </row>
    <row r="22" spans="1:17" ht="138.75" thickTop="1" thickBot="1" x14ac:dyDescent="0.25">
      <c r="A22" s="307" t="s">
        <v>263</v>
      </c>
      <c r="B22" s="307" t="s">
        <v>264</v>
      </c>
      <c r="C22" s="307" t="s">
        <v>265</v>
      </c>
      <c r="D22" s="307" t="s">
        <v>262</v>
      </c>
      <c r="E22" s="394" t="s">
        <v>1065</v>
      </c>
      <c r="F22" s="593" t="s">
        <v>1066</v>
      </c>
      <c r="G22" s="308">
        <f t="shared" si="1"/>
        <v>5892400</v>
      </c>
      <c r="H22" s="308">
        <f>'d3'!E25</f>
        <v>4392400</v>
      </c>
      <c r="I22" s="308">
        <f>'d3'!J25</f>
        <v>1500000</v>
      </c>
      <c r="J22" s="308">
        <f>'d3'!K25</f>
        <v>1500000</v>
      </c>
      <c r="K22" s="311" t="b">
        <f>H22='d3'!E25</f>
        <v>1</v>
      </c>
      <c r="L22" s="312" t="b">
        <f>I22='d3'!J25</f>
        <v>1</v>
      </c>
      <c r="M22" s="313" t="b">
        <f>J22='d3'!K25</f>
        <v>1</v>
      </c>
    </row>
    <row r="23" spans="1:17" ht="230.25" thickTop="1" thickBot="1" x14ac:dyDescent="0.25">
      <c r="A23" s="395" t="s">
        <v>325</v>
      </c>
      <c r="B23" s="395" t="s">
        <v>326</v>
      </c>
      <c r="C23" s="395" t="s">
        <v>191</v>
      </c>
      <c r="D23" s="395" t="s">
        <v>485</v>
      </c>
      <c r="E23" s="394" t="s">
        <v>1071</v>
      </c>
      <c r="F23" s="593" t="s">
        <v>1072</v>
      </c>
      <c r="G23" s="308">
        <f t="shared" si="1"/>
        <v>290200</v>
      </c>
      <c r="H23" s="308">
        <f>'d3'!E27</f>
        <v>290200</v>
      </c>
      <c r="I23" s="308">
        <f>'d3'!J27</f>
        <v>0</v>
      </c>
      <c r="J23" s="308">
        <f>'d3'!K27</f>
        <v>0</v>
      </c>
      <c r="K23" s="311" t="b">
        <f>H23='d3'!E27</f>
        <v>1</v>
      </c>
      <c r="L23" s="312" t="b">
        <f>I23='d3'!J27</f>
        <v>1</v>
      </c>
      <c r="M23" s="313" t="b">
        <f>J23='d3'!K27</f>
        <v>1</v>
      </c>
    </row>
    <row r="24" spans="1:17" ht="364.5" customHeight="1" thickTop="1" thickBot="1" x14ac:dyDescent="0.7">
      <c r="A24" s="921" t="s">
        <v>372</v>
      </c>
      <c r="B24" s="921" t="s">
        <v>371</v>
      </c>
      <c r="C24" s="921" t="s">
        <v>191</v>
      </c>
      <c r="D24" s="403" t="s">
        <v>483</v>
      </c>
      <c r="E24" s="921" t="s">
        <v>1071</v>
      </c>
      <c r="F24" s="921" t="s">
        <v>1072</v>
      </c>
      <c r="G24" s="923">
        <f t="shared" si="1"/>
        <v>4655166.58</v>
      </c>
      <c r="H24" s="923">
        <f>'d3'!E29</f>
        <v>0</v>
      </c>
      <c r="I24" s="923">
        <f>'d3'!J29</f>
        <v>4655166.58</v>
      </c>
      <c r="J24" s="923">
        <f>'d3'!K29</f>
        <v>0</v>
      </c>
      <c r="K24" s="311" t="b">
        <f>H24='d3'!E29</f>
        <v>1</v>
      </c>
      <c r="L24" s="312" t="b">
        <f>I24='d3'!J29</f>
        <v>1</v>
      </c>
      <c r="M24" s="313" t="b">
        <f>J24='d3'!K29</f>
        <v>1</v>
      </c>
    </row>
    <row r="25" spans="1:17" ht="184.5" thickTop="1" thickBot="1" x14ac:dyDescent="0.25">
      <c r="A25" s="922"/>
      <c r="B25" s="922"/>
      <c r="C25" s="922"/>
      <c r="D25" s="404" t="s">
        <v>484</v>
      </c>
      <c r="E25" s="922"/>
      <c r="F25" s="922"/>
      <c r="G25" s="924"/>
      <c r="H25" s="924"/>
      <c r="I25" s="924"/>
      <c r="J25" s="924"/>
      <c r="K25" s="132"/>
      <c r="L25" s="132"/>
      <c r="M25" s="132"/>
    </row>
    <row r="26" spans="1:17" s="664" customFormat="1" ht="276" thickTop="1" thickBot="1" x14ac:dyDescent="0.25">
      <c r="A26" s="666" t="s">
        <v>1169</v>
      </c>
      <c r="B26" s="666" t="s">
        <v>282</v>
      </c>
      <c r="C26" s="666" t="s">
        <v>191</v>
      </c>
      <c r="D26" s="666" t="s">
        <v>280</v>
      </c>
      <c r="E26" s="665" t="s">
        <v>492</v>
      </c>
      <c r="F26" s="361" t="s">
        <v>468</v>
      </c>
      <c r="G26" s="308">
        <f>H26+I26</f>
        <v>1600542.59</v>
      </c>
      <c r="H26" s="308">
        <f>'d3'!E31</f>
        <v>1600542.59</v>
      </c>
      <c r="I26" s="308">
        <f>'d3'!J31</f>
        <v>0</v>
      </c>
      <c r="J26" s="308">
        <f>'d3'!K31</f>
        <v>0</v>
      </c>
      <c r="K26" s="132"/>
      <c r="L26" s="132"/>
      <c r="M26" s="132"/>
      <c r="N26" s="668"/>
      <c r="O26" s="668"/>
      <c r="P26" s="668"/>
      <c r="Q26" s="668"/>
    </row>
    <row r="27" spans="1:17" ht="255.75" customHeight="1" thickTop="1" thickBot="1" x14ac:dyDescent="0.25">
      <c r="A27" s="307" t="s">
        <v>266</v>
      </c>
      <c r="B27" s="307" t="s">
        <v>267</v>
      </c>
      <c r="C27" s="307" t="s">
        <v>268</v>
      </c>
      <c r="D27" s="307" t="s">
        <v>269</v>
      </c>
      <c r="E27" s="308" t="s">
        <v>1107</v>
      </c>
      <c r="F27" s="619" t="s">
        <v>1108</v>
      </c>
      <c r="G27" s="308">
        <f>H27+I27</f>
        <v>6359300</v>
      </c>
      <c r="H27" s="308">
        <f>'d3'!E34</f>
        <v>6359300</v>
      </c>
      <c r="I27" s="308">
        <f>'d3'!J34</f>
        <v>0</v>
      </c>
      <c r="J27" s="308">
        <f>'d3'!K34</f>
        <v>0</v>
      </c>
      <c r="K27" s="311" t="b">
        <f>H27='d3'!E34</f>
        <v>1</v>
      </c>
      <c r="L27" s="312" t="b">
        <f>I27='d3'!J34</f>
        <v>1</v>
      </c>
      <c r="M27" s="313" t="b">
        <f>J27='d3'!K34</f>
        <v>1</v>
      </c>
    </row>
    <row r="28" spans="1:17" ht="276" thickTop="1" thickBot="1" x14ac:dyDescent="0.25">
      <c r="A28" s="360" t="s">
        <v>270</v>
      </c>
      <c r="B28" s="360" t="s">
        <v>271</v>
      </c>
      <c r="C28" s="360" t="s">
        <v>45</v>
      </c>
      <c r="D28" s="360" t="s">
        <v>486</v>
      </c>
      <c r="E28" s="394" t="s">
        <v>1071</v>
      </c>
      <c r="F28" s="593" t="s">
        <v>1072</v>
      </c>
      <c r="G28" s="370">
        <f>H28+I28</f>
        <v>300000</v>
      </c>
      <c r="H28" s="406">
        <f>'d3'!E37</f>
        <v>300000</v>
      </c>
      <c r="I28" s="370">
        <f>'d3'!J37</f>
        <v>0</v>
      </c>
      <c r="J28" s="370">
        <f>'d3'!K37</f>
        <v>0</v>
      </c>
      <c r="K28" s="311" t="b">
        <f>H28='d3'!E37</f>
        <v>1</v>
      </c>
      <c r="L28" s="312" t="b">
        <f>I28='d3'!J37</f>
        <v>1</v>
      </c>
      <c r="M28" s="312" t="b">
        <f>J28='d3'!K37</f>
        <v>1</v>
      </c>
    </row>
    <row r="29" spans="1:17" s="263" customFormat="1" ht="230.25" thickTop="1" thickBot="1" x14ac:dyDescent="0.25">
      <c r="A29" s="388" t="s">
        <v>721</v>
      </c>
      <c r="B29" s="388" t="s">
        <v>399</v>
      </c>
      <c r="C29" s="388" t="s">
        <v>45</v>
      </c>
      <c r="D29" s="388" t="s">
        <v>400</v>
      </c>
      <c r="E29" s="394" t="s">
        <v>1071</v>
      </c>
      <c r="F29" s="593" t="s">
        <v>1072</v>
      </c>
      <c r="G29" s="370">
        <f>H29+I29</f>
        <v>120100</v>
      </c>
      <c r="H29" s="406">
        <f>'d3'!E38</f>
        <v>120100</v>
      </c>
      <c r="I29" s="370">
        <f>'d3'!J38</f>
        <v>0</v>
      </c>
      <c r="J29" s="370">
        <f>'d3'!K38</f>
        <v>0</v>
      </c>
      <c r="K29" s="311" t="b">
        <f>H29='d3'!E38</f>
        <v>1</v>
      </c>
      <c r="L29" s="312" t="b">
        <f>I29='d3'!J38</f>
        <v>1</v>
      </c>
      <c r="M29" s="312" t="b">
        <f>J29='d3'!K38</f>
        <v>1</v>
      </c>
      <c r="N29" s="288"/>
      <c r="O29" s="288"/>
      <c r="P29" s="288"/>
      <c r="Q29" s="288"/>
    </row>
    <row r="30" spans="1:17" ht="276" thickTop="1" thickBot="1" x14ac:dyDescent="0.25">
      <c r="A30" s="745" t="s">
        <v>572</v>
      </c>
      <c r="B30" s="745" t="s">
        <v>573</v>
      </c>
      <c r="C30" s="745" t="s">
        <v>45</v>
      </c>
      <c r="D30" s="745" t="s">
        <v>574</v>
      </c>
      <c r="E30" s="742" t="s">
        <v>1254</v>
      </c>
      <c r="F30" s="361" t="s">
        <v>1255</v>
      </c>
      <c r="G30" s="742">
        <f t="shared" ref="G30:G36" si="2">H30+I30</f>
        <v>1680000</v>
      </c>
      <c r="H30" s="742">
        <f>400000+80000+400000+80000+60000+200000+80000</f>
        <v>1300000</v>
      </c>
      <c r="I30" s="742">
        <f>80000+300000</f>
        <v>380000</v>
      </c>
      <c r="J30" s="742">
        <f>80000+300000</f>
        <v>380000</v>
      </c>
      <c r="K30" s="311" t="b">
        <f>H30+H31+H32+H33+H34+H35+H36='d3'!E39</f>
        <v>1</v>
      </c>
      <c r="L30" s="312" t="b">
        <f>I30+I31+I32+I33+I34+I35+I36='d3'!J39</f>
        <v>1</v>
      </c>
      <c r="M30" s="312" t="b">
        <f>J30+J31+J32+J33+J34+J35+J36='d3'!K39</f>
        <v>1</v>
      </c>
    </row>
    <row r="31" spans="1:17" s="741" customFormat="1" ht="409.6" thickTop="1" thickBot="1" x14ac:dyDescent="0.25">
      <c r="A31" s="745" t="s">
        <v>572</v>
      </c>
      <c r="B31" s="745" t="s">
        <v>573</v>
      </c>
      <c r="C31" s="745" t="s">
        <v>45</v>
      </c>
      <c r="D31" s="745" t="s">
        <v>574</v>
      </c>
      <c r="E31" s="742" t="s">
        <v>1256</v>
      </c>
      <c r="F31" s="742" t="s">
        <v>1070</v>
      </c>
      <c r="G31" s="742">
        <f t="shared" si="2"/>
        <v>500000</v>
      </c>
      <c r="H31" s="742">
        <v>500000</v>
      </c>
      <c r="I31" s="742">
        <v>0</v>
      </c>
      <c r="J31" s="742">
        <v>0</v>
      </c>
      <c r="K31" s="300"/>
      <c r="L31" s="303"/>
      <c r="M31" s="304"/>
      <c r="N31" s="750"/>
      <c r="O31" s="750"/>
      <c r="P31" s="750"/>
      <c r="Q31" s="750"/>
    </row>
    <row r="32" spans="1:17" s="741" customFormat="1" ht="367.5" thickTop="1" thickBot="1" x14ac:dyDescent="0.25">
      <c r="A32" s="745" t="s">
        <v>572</v>
      </c>
      <c r="B32" s="745" t="s">
        <v>573</v>
      </c>
      <c r="C32" s="745" t="s">
        <v>45</v>
      </c>
      <c r="D32" s="745" t="s">
        <v>574</v>
      </c>
      <c r="E32" s="742" t="s">
        <v>1257</v>
      </c>
      <c r="F32" s="742" t="s">
        <v>1258</v>
      </c>
      <c r="G32" s="742">
        <f t="shared" si="2"/>
        <v>500000</v>
      </c>
      <c r="H32" s="742">
        <v>500000</v>
      </c>
      <c r="I32" s="742">
        <v>0</v>
      </c>
      <c r="J32" s="742">
        <v>0</v>
      </c>
      <c r="K32" s="300"/>
      <c r="L32" s="303"/>
      <c r="M32" s="304"/>
      <c r="N32" s="750"/>
      <c r="O32" s="750"/>
      <c r="P32" s="750"/>
      <c r="Q32" s="750"/>
    </row>
    <row r="33" spans="1:17" s="741" customFormat="1" ht="230.25" thickTop="1" thickBot="1" x14ac:dyDescent="0.25">
      <c r="A33" s="745" t="s">
        <v>572</v>
      </c>
      <c r="B33" s="745" t="s">
        <v>573</v>
      </c>
      <c r="C33" s="745" t="s">
        <v>45</v>
      </c>
      <c r="D33" s="745" t="s">
        <v>574</v>
      </c>
      <c r="E33" s="742" t="s">
        <v>1259</v>
      </c>
      <c r="F33" s="742"/>
      <c r="G33" s="742">
        <f t="shared" si="2"/>
        <v>300000</v>
      </c>
      <c r="H33" s="742">
        <v>300000</v>
      </c>
      <c r="I33" s="742">
        <v>0</v>
      </c>
      <c r="J33" s="742">
        <v>0</v>
      </c>
      <c r="K33" s="300"/>
      <c r="L33" s="303"/>
      <c r="M33" s="304"/>
      <c r="N33" s="750"/>
      <c r="O33" s="750"/>
      <c r="P33" s="750"/>
      <c r="Q33" s="750"/>
    </row>
    <row r="34" spans="1:17" s="741" customFormat="1" ht="409.6" thickTop="1" thickBot="1" x14ac:dyDescent="0.25">
      <c r="A34" s="745" t="s">
        <v>572</v>
      </c>
      <c r="B34" s="745" t="s">
        <v>573</v>
      </c>
      <c r="C34" s="745" t="s">
        <v>45</v>
      </c>
      <c r="D34" s="745" t="s">
        <v>574</v>
      </c>
      <c r="E34" s="742" t="s">
        <v>1260</v>
      </c>
      <c r="F34" s="742"/>
      <c r="G34" s="742">
        <f t="shared" si="2"/>
        <v>500000</v>
      </c>
      <c r="H34" s="742">
        <v>0</v>
      </c>
      <c r="I34" s="742">
        <v>500000</v>
      </c>
      <c r="J34" s="742">
        <v>500000</v>
      </c>
      <c r="K34" s="300"/>
      <c r="L34" s="303"/>
      <c r="M34" s="304"/>
      <c r="N34" s="750"/>
      <c r="O34" s="750"/>
      <c r="P34" s="750"/>
      <c r="Q34" s="750"/>
    </row>
    <row r="35" spans="1:17" s="741" customFormat="1" ht="321.75" thickTop="1" thickBot="1" x14ac:dyDescent="0.25">
      <c r="A35" s="745" t="s">
        <v>572</v>
      </c>
      <c r="B35" s="745" t="s">
        <v>573</v>
      </c>
      <c r="C35" s="745" t="s">
        <v>45</v>
      </c>
      <c r="D35" s="745" t="s">
        <v>574</v>
      </c>
      <c r="E35" s="742" t="s">
        <v>1264</v>
      </c>
      <c r="F35" s="742"/>
      <c r="G35" s="742">
        <f t="shared" si="2"/>
        <v>80000</v>
      </c>
      <c r="H35" s="742">
        <v>0</v>
      </c>
      <c r="I35" s="742">
        <v>80000</v>
      </c>
      <c r="J35" s="742">
        <v>80000</v>
      </c>
      <c r="K35" s="300"/>
      <c r="L35" s="303"/>
      <c r="M35" s="304"/>
      <c r="N35" s="750"/>
      <c r="O35" s="750"/>
      <c r="P35" s="750"/>
      <c r="Q35" s="750"/>
    </row>
    <row r="36" spans="1:17" s="741" customFormat="1" ht="367.5" thickTop="1" thickBot="1" x14ac:dyDescent="0.25">
      <c r="A36" s="745" t="s">
        <v>572</v>
      </c>
      <c r="B36" s="745" t="s">
        <v>573</v>
      </c>
      <c r="C36" s="745" t="s">
        <v>45</v>
      </c>
      <c r="D36" s="745" t="s">
        <v>574</v>
      </c>
      <c r="E36" s="742" t="s">
        <v>1266</v>
      </c>
      <c r="F36" s="742"/>
      <c r="G36" s="742">
        <f t="shared" si="2"/>
        <v>100000</v>
      </c>
      <c r="H36" s="742">
        <v>100000</v>
      </c>
      <c r="I36" s="742">
        <v>0</v>
      </c>
      <c r="J36" s="742">
        <v>0</v>
      </c>
      <c r="K36" s="300"/>
      <c r="L36" s="303"/>
      <c r="M36" s="304"/>
      <c r="N36" s="750"/>
      <c r="O36" s="750"/>
      <c r="P36" s="750"/>
      <c r="Q36" s="750"/>
    </row>
    <row r="37" spans="1:17" ht="136.5" thickTop="1" thickBot="1" x14ac:dyDescent="0.25">
      <c r="A37" s="680" t="s">
        <v>173</v>
      </c>
      <c r="B37" s="680"/>
      <c r="C37" s="680"/>
      <c r="D37" s="681" t="s">
        <v>0</v>
      </c>
      <c r="E37" s="682"/>
      <c r="F37" s="683"/>
      <c r="G37" s="683">
        <f>G38</f>
        <v>1761556674.3800001</v>
      </c>
      <c r="H37" s="683">
        <f t="shared" ref="H37:J37" si="3">H38</f>
        <v>1576262554.1299999</v>
      </c>
      <c r="I37" s="682">
        <f t="shared" si="3"/>
        <v>185294120.25</v>
      </c>
      <c r="J37" s="682">
        <f t="shared" si="3"/>
        <v>41396880.250000007</v>
      </c>
      <c r="K37" s="311" t="b">
        <f>H37='d3'!E41</f>
        <v>1</v>
      </c>
      <c r="L37" s="312" t="b">
        <f>I37='d3'!J41</f>
        <v>1</v>
      </c>
      <c r="M37" s="313" t="b">
        <f>J37='d3'!K40</f>
        <v>1</v>
      </c>
    </row>
    <row r="38" spans="1:17" ht="172.5" customHeight="1" thickTop="1" thickBot="1" x14ac:dyDescent="0.25">
      <c r="A38" s="684" t="s">
        <v>174</v>
      </c>
      <c r="B38" s="684"/>
      <c r="C38" s="684"/>
      <c r="D38" s="685" t="s">
        <v>1</v>
      </c>
      <c r="E38" s="686"/>
      <c r="F38" s="686"/>
      <c r="G38" s="686">
        <f>SUM(G39:G59)</f>
        <v>1761556674.3800001</v>
      </c>
      <c r="H38" s="686">
        <f t="shared" ref="H38:J38" si="4">SUM(H39:H59)</f>
        <v>1576262554.1299999</v>
      </c>
      <c r="I38" s="686">
        <f t="shared" si="4"/>
        <v>185294120.25</v>
      </c>
      <c r="J38" s="686">
        <f t="shared" si="4"/>
        <v>41396880.250000007</v>
      </c>
    </row>
    <row r="39" spans="1:17" ht="230.25" thickTop="1" thickBot="1" x14ac:dyDescent="0.25">
      <c r="A39" s="449" t="s">
        <v>223</v>
      </c>
      <c r="B39" s="449" t="s">
        <v>224</v>
      </c>
      <c r="C39" s="449" t="s">
        <v>226</v>
      </c>
      <c r="D39" s="449" t="s">
        <v>227</v>
      </c>
      <c r="E39" s="249" t="s">
        <v>732</v>
      </c>
      <c r="F39" s="448" t="s">
        <v>449</v>
      </c>
      <c r="G39" s="448">
        <f t="shared" ref="G39:G50" si="5">H39+I39</f>
        <v>535869327.37</v>
      </c>
      <c r="H39" s="448">
        <f>'d3'!E43-H40</f>
        <v>463994912</v>
      </c>
      <c r="I39" s="448">
        <f>'d3'!J43-I40</f>
        <v>71874415.370000005</v>
      </c>
      <c r="J39" s="448">
        <f>'d3'!K43-J40</f>
        <v>7328695.3700000001</v>
      </c>
      <c r="K39" s="311" t="b">
        <f>H39+H40='d3'!E43</f>
        <v>1</v>
      </c>
      <c r="L39" s="312" t="b">
        <f>I39+I40='d3'!J43</f>
        <v>1</v>
      </c>
      <c r="M39" s="312" t="b">
        <f>J39+J40='d3'!K43</f>
        <v>1</v>
      </c>
    </row>
    <row r="40" spans="1:17" s="309" customFormat="1" ht="230.25" thickTop="1" thickBot="1" x14ac:dyDescent="0.25">
      <c r="A40" s="449" t="s">
        <v>223</v>
      </c>
      <c r="B40" s="449" t="s">
        <v>224</v>
      </c>
      <c r="C40" s="449" t="s">
        <v>226</v>
      </c>
      <c r="D40" s="449" t="s">
        <v>227</v>
      </c>
      <c r="E40" s="249" t="s">
        <v>495</v>
      </c>
      <c r="F40" s="361" t="s">
        <v>496</v>
      </c>
      <c r="G40" s="448">
        <f>H40+I40</f>
        <v>590000</v>
      </c>
      <c r="H40" s="448">
        <f>(37683.94+102316.06+90274+29393+150000+101020+33980)</f>
        <v>544667</v>
      </c>
      <c r="I40" s="448">
        <f>(30333+15000)</f>
        <v>45333</v>
      </c>
      <c r="J40" s="448">
        <f>(30333+15000)</f>
        <v>45333</v>
      </c>
      <c r="K40" s="310"/>
      <c r="L40" s="310"/>
      <c r="M40" s="310"/>
      <c r="N40" s="310"/>
      <c r="O40" s="310"/>
      <c r="P40" s="310"/>
      <c r="Q40" s="310"/>
    </row>
    <row r="41" spans="1:17" ht="230.25" thickTop="1" thickBot="1" x14ac:dyDescent="0.25">
      <c r="A41" s="472" t="s">
        <v>836</v>
      </c>
      <c r="B41" s="472" t="s">
        <v>837</v>
      </c>
      <c r="C41" s="472" t="s">
        <v>229</v>
      </c>
      <c r="D41" s="472" t="s">
        <v>838</v>
      </c>
      <c r="E41" s="249" t="s">
        <v>732</v>
      </c>
      <c r="F41" s="473" t="s">
        <v>449</v>
      </c>
      <c r="G41" s="473">
        <f t="shared" si="5"/>
        <v>350749508.02999997</v>
      </c>
      <c r="H41" s="473">
        <f>'d3'!E45-H42-H43</f>
        <v>280571267.13999999</v>
      </c>
      <c r="I41" s="473">
        <f>'d3'!J45-I42-I43</f>
        <v>70178240.890000001</v>
      </c>
      <c r="J41" s="473">
        <f>'d3'!K45-J42-J43</f>
        <v>17621190.890000004</v>
      </c>
      <c r="K41" s="311" t="b">
        <f>H41+H42+H43='d3'!E45</f>
        <v>1</v>
      </c>
      <c r="L41" s="312" t="b">
        <f>I41+I42+I43='d3'!J45</f>
        <v>1</v>
      </c>
      <c r="M41" s="312" t="b">
        <f>J41+J42+J43='d3'!K45</f>
        <v>1</v>
      </c>
    </row>
    <row r="42" spans="1:17" ht="230.25" thickTop="1" thickBot="1" x14ac:dyDescent="0.25">
      <c r="A42" s="472" t="s">
        <v>836</v>
      </c>
      <c r="B42" s="472" t="s">
        <v>837</v>
      </c>
      <c r="C42" s="472" t="s">
        <v>229</v>
      </c>
      <c r="D42" s="472" t="s">
        <v>838</v>
      </c>
      <c r="E42" s="249" t="s">
        <v>733</v>
      </c>
      <c r="F42" s="473" t="s">
        <v>445</v>
      </c>
      <c r="G42" s="473">
        <f t="shared" si="5"/>
        <v>7730217</v>
      </c>
      <c r="H42" s="473">
        <v>7730217</v>
      </c>
      <c r="I42" s="473">
        <v>0</v>
      </c>
      <c r="J42" s="473">
        <v>0</v>
      </c>
      <c r="K42" s="249" t="s">
        <v>701</v>
      </c>
    </row>
    <row r="43" spans="1:17" ht="230.25" thickTop="1" thickBot="1" x14ac:dyDescent="0.25">
      <c r="A43" s="472" t="s">
        <v>836</v>
      </c>
      <c r="B43" s="472" t="s">
        <v>837</v>
      </c>
      <c r="C43" s="472" t="s">
        <v>229</v>
      </c>
      <c r="D43" s="472" t="s">
        <v>838</v>
      </c>
      <c r="E43" s="249" t="s">
        <v>495</v>
      </c>
      <c r="F43" s="361" t="s">
        <v>496</v>
      </c>
      <c r="G43" s="473">
        <f>H43+I43</f>
        <v>150000</v>
      </c>
      <c r="H43" s="473">
        <f>(45200+12350)</f>
        <v>57550</v>
      </c>
      <c r="I43" s="473">
        <f>92450</f>
        <v>92450</v>
      </c>
      <c r="J43" s="473">
        <v>92450</v>
      </c>
    </row>
    <row r="44" spans="1:17" ht="276" thickTop="1" thickBot="1" x14ac:dyDescent="0.25">
      <c r="A44" s="472" t="s">
        <v>846</v>
      </c>
      <c r="B44" s="472" t="s">
        <v>847</v>
      </c>
      <c r="C44" s="472" t="s">
        <v>232</v>
      </c>
      <c r="D44" s="472" t="s">
        <v>555</v>
      </c>
      <c r="E44" s="249" t="s">
        <v>732</v>
      </c>
      <c r="F44" s="473" t="s">
        <v>449</v>
      </c>
      <c r="G44" s="473">
        <f t="shared" si="5"/>
        <v>20085219</v>
      </c>
      <c r="H44" s="473">
        <f>'d3'!E46-H45</f>
        <v>19084178</v>
      </c>
      <c r="I44" s="473">
        <f>'d3'!J46-I45</f>
        <v>1001041</v>
      </c>
      <c r="J44" s="473">
        <f>'d3'!K46-J45</f>
        <v>949141</v>
      </c>
      <c r="K44" s="311" t="b">
        <f>H44+H45='d3'!E46</f>
        <v>1</v>
      </c>
      <c r="L44" s="311" t="b">
        <f>I44+I45='d3'!J46</f>
        <v>1</v>
      </c>
      <c r="M44" s="311" t="b">
        <f>J44+J45='d3'!K46</f>
        <v>1</v>
      </c>
    </row>
    <row r="45" spans="1:17" ht="276" thickTop="1" thickBot="1" x14ac:dyDescent="0.25">
      <c r="A45" s="472" t="s">
        <v>846</v>
      </c>
      <c r="B45" s="472" t="s">
        <v>847</v>
      </c>
      <c r="C45" s="472" t="s">
        <v>232</v>
      </c>
      <c r="D45" s="472" t="s">
        <v>555</v>
      </c>
      <c r="E45" s="249" t="s">
        <v>733</v>
      </c>
      <c r="F45" s="473" t="s">
        <v>445</v>
      </c>
      <c r="G45" s="473">
        <f t="shared" si="5"/>
        <v>2866404</v>
      </c>
      <c r="H45" s="473">
        <v>2866404</v>
      </c>
      <c r="I45" s="473"/>
      <c r="J45" s="473"/>
      <c r="K45" s="249" t="s">
        <v>702</v>
      </c>
    </row>
    <row r="46" spans="1:17" s="474" customFormat="1" ht="230.25" thickTop="1" thickBot="1" x14ac:dyDescent="0.25">
      <c r="A46" s="476" t="s">
        <v>855</v>
      </c>
      <c r="B46" s="476" t="s">
        <v>856</v>
      </c>
      <c r="C46" s="476" t="s">
        <v>229</v>
      </c>
      <c r="D46" s="476" t="s">
        <v>838</v>
      </c>
      <c r="E46" s="249" t="s">
        <v>732</v>
      </c>
      <c r="F46" s="475" t="s">
        <v>449</v>
      </c>
      <c r="G46" s="475">
        <f t="shared" si="5"/>
        <v>608795058</v>
      </c>
      <c r="H46" s="475">
        <f>'d3'!E48</f>
        <v>608795058</v>
      </c>
      <c r="I46" s="475">
        <f>'d3'!J48</f>
        <v>0</v>
      </c>
      <c r="J46" s="475">
        <f>'d3'!K48</f>
        <v>0</v>
      </c>
      <c r="K46" s="483"/>
      <c r="L46" s="477"/>
      <c r="M46" s="477"/>
      <c r="N46" s="477"/>
      <c r="O46" s="477"/>
      <c r="P46" s="477"/>
      <c r="Q46" s="477"/>
    </row>
    <row r="47" spans="1:17" s="725" customFormat="1" ht="230.25" thickTop="1" thickBot="1" x14ac:dyDescent="0.25">
      <c r="A47" s="731" t="s">
        <v>1227</v>
      </c>
      <c r="B47" s="731" t="s">
        <v>1228</v>
      </c>
      <c r="C47" s="731" t="s">
        <v>229</v>
      </c>
      <c r="D47" s="731" t="s">
        <v>1231</v>
      </c>
      <c r="E47" s="249" t="s">
        <v>732</v>
      </c>
      <c r="F47" s="726" t="s">
        <v>449</v>
      </c>
      <c r="G47" s="726">
        <f t="shared" si="5"/>
        <v>6197509.9900000002</v>
      </c>
      <c r="H47" s="726">
        <f>'d3'!E51</f>
        <v>0</v>
      </c>
      <c r="I47" s="726">
        <f>'d3'!J51</f>
        <v>6197509.9900000002</v>
      </c>
      <c r="J47" s="726">
        <f>'d3'!K51</f>
        <v>6197509.9900000002</v>
      </c>
      <c r="K47" s="740"/>
      <c r="L47" s="737"/>
      <c r="M47" s="737"/>
      <c r="N47" s="737"/>
      <c r="O47" s="737"/>
      <c r="P47" s="737"/>
      <c r="Q47" s="737"/>
    </row>
    <row r="48" spans="1:17" ht="230.25" thickTop="1" thickBot="1" x14ac:dyDescent="0.25">
      <c r="A48" s="480" t="s">
        <v>857</v>
      </c>
      <c r="B48" s="480" t="s">
        <v>231</v>
      </c>
      <c r="C48" s="480" t="s">
        <v>206</v>
      </c>
      <c r="D48" s="480" t="s">
        <v>557</v>
      </c>
      <c r="E48" s="249" t="s">
        <v>732</v>
      </c>
      <c r="F48" s="481" t="s">
        <v>449</v>
      </c>
      <c r="G48" s="481">
        <f t="shared" si="5"/>
        <v>42339933</v>
      </c>
      <c r="H48" s="481">
        <f>'d3'!E52</f>
        <v>33802238</v>
      </c>
      <c r="I48" s="481">
        <f>'d3'!J52</f>
        <v>8537695</v>
      </c>
      <c r="J48" s="481">
        <f>'d3'!K52</f>
        <v>2938145</v>
      </c>
    </row>
    <row r="49" spans="1:17" s="479" customFormat="1" ht="230.25" thickTop="1" thickBot="1" x14ac:dyDescent="0.25">
      <c r="A49" s="480" t="s">
        <v>858</v>
      </c>
      <c r="B49" s="480" t="s">
        <v>859</v>
      </c>
      <c r="C49" s="480" t="s">
        <v>234</v>
      </c>
      <c r="D49" s="480" t="s">
        <v>860</v>
      </c>
      <c r="E49" s="249" t="s">
        <v>732</v>
      </c>
      <c r="F49" s="481" t="s">
        <v>449</v>
      </c>
      <c r="G49" s="481">
        <f t="shared" si="5"/>
        <v>120753115.98999999</v>
      </c>
      <c r="H49" s="481">
        <f>'d3'!E54</f>
        <v>98296478.989999995</v>
      </c>
      <c r="I49" s="481">
        <f>'d3'!J54</f>
        <v>22456637</v>
      </c>
      <c r="J49" s="481">
        <f>'d3'!K54</f>
        <v>1728217</v>
      </c>
      <c r="K49" s="482"/>
      <c r="L49" s="482"/>
      <c r="M49" s="482"/>
      <c r="N49" s="482"/>
      <c r="O49" s="482"/>
      <c r="P49" s="482"/>
      <c r="Q49" s="482"/>
    </row>
    <row r="50" spans="1:17" s="479" customFormat="1" ht="230.25" thickTop="1" thickBot="1" x14ac:dyDescent="0.25">
      <c r="A50" s="480" t="s">
        <v>862</v>
      </c>
      <c r="B50" s="480" t="s">
        <v>861</v>
      </c>
      <c r="C50" s="480" t="s">
        <v>234</v>
      </c>
      <c r="D50" s="480" t="s">
        <v>863</v>
      </c>
      <c r="E50" s="249" t="s">
        <v>732</v>
      </c>
      <c r="F50" s="481" t="s">
        <v>449</v>
      </c>
      <c r="G50" s="481">
        <f t="shared" si="5"/>
        <v>17771100</v>
      </c>
      <c r="H50" s="481">
        <f>'d3'!E55</f>
        <v>17771100</v>
      </c>
      <c r="I50" s="481">
        <f>'d3'!J55</f>
        <v>0</v>
      </c>
      <c r="J50" s="481">
        <f>'d3'!K55</f>
        <v>0</v>
      </c>
      <c r="K50" s="482"/>
      <c r="L50" s="482"/>
      <c r="M50" s="482"/>
      <c r="N50" s="482"/>
      <c r="O50" s="482"/>
      <c r="P50" s="482"/>
      <c r="Q50" s="482"/>
    </row>
    <row r="51" spans="1:17" s="479" customFormat="1" ht="230.25" thickTop="1" thickBot="1" x14ac:dyDescent="0.25">
      <c r="A51" s="487" t="s">
        <v>867</v>
      </c>
      <c r="B51" s="487" t="s">
        <v>868</v>
      </c>
      <c r="C51" s="487" t="s">
        <v>235</v>
      </c>
      <c r="D51" s="487" t="s">
        <v>560</v>
      </c>
      <c r="E51" s="249" t="s">
        <v>732</v>
      </c>
      <c r="F51" s="485" t="s">
        <v>449</v>
      </c>
      <c r="G51" s="485">
        <f t="shared" ref="G51" si="6">H51+I51</f>
        <v>28246200</v>
      </c>
      <c r="H51" s="485">
        <f>'d3'!E57</f>
        <v>27831600</v>
      </c>
      <c r="I51" s="485">
        <f>'d3'!J57</f>
        <v>414600</v>
      </c>
      <c r="J51" s="485">
        <f>'d3'!K57</f>
        <v>0</v>
      </c>
      <c r="K51" s="482"/>
      <c r="L51" s="482"/>
      <c r="M51" s="482"/>
      <c r="N51" s="482"/>
      <c r="O51" s="482"/>
      <c r="P51" s="482"/>
      <c r="Q51" s="482"/>
    </row>
    <row r="52" spans="1:17" s="479" customFormat="1" ht="230.25" thickTop="1" thickBot="1" x14ac:dyDescent="0.25">
      <c r="A52" s="487" t="s">
        <v>869</v>
      </c>
      <c r="B52" s="487" t="s">
        <v>870</v>
      </c>
      <c r="C52" s="487" t="s">
        <v>235</v>
      </c>
      <c r="D52" s="487" t="s">
        <v>370</v>
      </c>
      <c r="E52" s="249" t="s">
        <v>732</v>
      </c>
      <c r="F52" s="485" t="s">
        <v>449</v>
      </c>
      <c r="G52" s="485">
        <f>H52+I52</f>
        <v>167420</v>
      </c>
      <c r="H52" s="485">
        <f>'d3'!E58-H53</f>
        <v>167420</v>
      </c>
      <c r="I52" s="485">
        <f>'d3'!J58-I53</f>
        <v>0</v>
      </c>
      <c r="J52" s="485">
        <f>'d3'!K58-J53</f>
        <v>0</v>
      </c>
      <c r="K52" s="496" t="b">
        <f>H52+H53='d3'!E58</f>
        <v>1</v>
      </c>
      <c r="L52" s="497" t="b">
        <f>I52+I53='d3'!J58</f>
        <v>1</v>
      </c>
      <c r="M52" s="497" t="b">
        <f>J52+J53='d3'!K58</f>
        <v>1</v>
      </c>
      <c r="N52" s="482"/>
      <c r="O52" s="482"/>
      <c r="P52" s="482"/>
      <c r="Q52" s="482"/>
    </row>
    <row r="53" spans="1:17" s="479" customFormat="1" ht="230.25" thickTop="1" thickBot="1" x14ac:dyDescent="0.25">
      <c r="A53" s="487" t="s">
        <v>869</v>
      </c>
      <c r="B53" s="487" t="s">
        <v>870</v>
      </c>
      <c r="C53" s="487" t="s">
        <v>235</v>
      </c>
      <c r="D53" s="487" t="s">
        <v>370</v>
      </c>
      <c r="E53" s="249" t="s">
        <v>733</v>
      </c>
      <c r="F53" s="485" t="s">
        <v>445</v>
      </c>
      <c r="G53" s="485">
        <f>H53+I53</f>
        <v>32580</v>
      </c>
      <c r="H53" s="485">
        <v>32580</v>
      </c>
      <c r="I53" s="485"/>
      <c r="J53" s="485"/>
      <c r="K53" s="249" t="s">
        <v>703</v>
      </c>
      <c r="L53" s="482"/>
      <c r="M53" s="482"/>
      <c r="N53" s="482"/>
      <c r="O53" s="482"/>
      <c r="P53" s="482"/>
      <c r="Q53" s="482"/>
    </row>
    <row r="54" spans="1:17" s="479" customFormat="1" ht="230.25" thickTop="1" thickBot="1" x14ac:dyDescent="0.25">
      <c r="A54" s="487" t="s">
        <v>873</v>
      </c>
      <c r="B54" s="487" t="s">
        <v>874</v>
      </c>
      <c r="C54" s="487" t="s">
        <v>235</v>
      </c>
      <c r="D54" s="487" t="s">
        <v>875</v>
      </c>
      <c r="E54" s="249" t="s">
        <v>732</v>
      </c>
      <c r="F54" s="485" t="s">
        <v>449</v>
      </c>
      <c r="G54" s="485">
        <f t="shared" ref="G54:G55" si="7">H54+I54</f>
        <v>1197685</v>
      </c>
      <c r="H54" s="481">
        <f>'d3'!E60</f>
        <v>1147685</v>
      </c>
      <c r="I54" s="481">
        <f>'d3'!J60</f>
        <v>50000</v>
      </c>
      <c r="J54" s="485">
        <f>'d3'!K60</f>
        <v>50000</v>
      </c>
      <c r="K54" s="482"/>
      <c r="L54" s="482"/>
      <c r="M54" s="482"/>
      <c r="N54" s="482"/>
      <c r="O54" s="482"/>
      <c r="P54" s="482"/>
      <c r="Q54" s="482"/>
    </row>
    <row r="55" spans="1:17" s="479" customFormat="1" ht="230.25" thickTop="1" thickBot="1" x14ac:dyDescent="0.25">
      <c r="A55" s="487" t="s">
        <v>876</v>
      </c>
      <c r="B55" s="487" t="s">
        <v>877</v>
      </c>
      <c r="C55" s="487" t="s">
        <v>235</v>
      </c>
      <c r="D55" s="487" t="s">
        <v>878</v>
      </c>
      <c r="E55" s="249" t="s">
        <v>732</v>
      </c>
      <c r="F55" s="485" t="s">
        <v>449</v>
      </c>
      <c r="G55" s="485">
        <f t="shared" si="7"/>
        <v>3886800</v>
      </c>
      <c r="H55" s="485">
        <f>'d3'!E61</f>
        <v>3886800</v>
      </c>
      <c r="I55" s="485">
        <f>'d3'!J61</f>
        <v>0</v>
      </c>
      <c r="J55" s="485">
        <f>'d3'!K61</f>
        <v>0</v>
      </c>
      <c r="K55" s="482"/>
      <c r="L55" s="482"/>
      <c r="M55" s="482"/>
      <c r="N55" s="482"/>
      <c r="O55" s="482"/>
      <c r="P55" s="482"/>
      <c r="Q55" s="482"/>
    </row>
    <row r="56" spans="1:17" s="438" customFormat="1" ht="230.25" thickTop="1" thickBot="1" x14ac:dyDescent="0.25">
      <c r="A56" s="441" t="s">
        <v>843</v>
      </c>
      <c r="B56" s="441" t="s">
        <v>844</v>
      </c>
      <c r="C56" s="441" t="s">
        <v>235</v>
      </c>
      <c r="D56" s="441" t="s">
        <v>845</v>
      </c>
      <c r="E56" s="249" t="s">
        <v>732</v>
      </c>
      <c r="F56" s="439" t="s">
        <v>449</v>
      </c>
      <c r="G56" s="439">
        <f t="shared" ref="G56:G57" si="8">H56+I56</f>
        <v>2110415</v>
      </c>
      <c r="H56" s="439">
        <f>'d3'!E62</f>
        <v>2060415</v>
      </c>
      <c r="I56" s="439">
        <f>'d3'!J62</f>
        <v>50000</v>
      </c>
      <c r="J56" s="439">
        <f>'d3'!K62</f>
        <v>50000</v>
      </c>
      <c r="K56" s="443"/>
      <c r="L56" s="443"/>
      <c r="M56" s="443"/>
      <c r="N56" s="443"/>
      <c r="O56" s="443"/>
      <c r="P56" s="443"/>
      <c r="Q56" s="443"/>
    </row>
    <row r="57" spans="1:17" s="132" customFormat="1" ht="367.5" thickTop="1" thickBot="1" x14ac:dyDescent="0.25">
      <c r="A57" s="487" t="s">
        <v>851</v>
      </c>
      <c r="B57" s="487" t="s">
        <v>852</v>
      </c>
      <c r="C57" s="487" t="s">
        <v>235</v>
      </c>
      <c r="D57" s="487" t="s">
        <v>853</v>
      </c>
      <c r="E57" s="249" t="s">
        <v>732</v>
      </c>
      <c r="F57" s="485" t="s">
        <v>449</v>
      </c>
      <c r="G57" s="485">
        <f t="shared" si="8"/>
        <v>4900000</v>
      </c>
      <c r="H57" s="485">
        <f>'d3'!E64</f>
        <v>2900000</v>
      </c>
      <c r="I57" s="485">
        <f>'d3'!J64</f>
        <v>2000000</v>
      </c>
      <c r="J57" s="485">
        <f>'d3'!K64</f>
        <v>2000000</v>
      </c>
      <c r="K57" s="489"/>
      <c r="L57" s="489"/>
      <c r="M57" s="489"/>
      <c r="N57" s="489"/>
      <c r="O57" s="489"/>
      <c r="P57" s="489"/>
      <c r="Q57" s="489"/>
    </row>
    <row r="58" spans="1:17" s="438" customFormat="1" ht="321.75" thickTop="1" thickBot="1" x14ac:dyDescent="0.25">
      <c r="A58" s="441" t="s">
        <v>840</v>
      </c>
      <c r="B58" s="441" t="s">
        <v>841</v>
      </c>
      <c r="C58" s="441" t="s">
        <v>235</v>
      </c>
      <c r="D58" s="441" t="s">
        <v>842</v>
      </c>
      <c r="E58" s="249" t="s">
        <v>732</v>
      </c>
      <c r="F58" s="439" t="s">
        <v>449</v>
      </c>
      <c r="G58" s="439">
        <f>H58+I58</f>
        <v>7118182</v>
      </c>
      <c r="H58" s="439">
        <f>'d3'!E65</f>
        <v>4721984</v>
      </c>
      <c r="I58" s="439">
        <f>'d3'!J65</f>
        <v>2396198</v>
      </c>
      <c r="J58" s="439">
        <f>'d3'!K65</f>
        <v>2396198</v>
      </c>
      <c r="K58" s="443"/>
      <c r="L58" s="443"/>
      <c r="M58" s="443"/>
      <c r="N58" s="443"/>
      <c r="O58" s="443"/>
      <c r="P58" s="443"/>
      <c r="Q58" s="443"/>
    </row>
    <row r="59" spans="1:17" ht="367.5" hidden="1" thickTop="1" thickBot="1" x14ac:dyDescent="0.25">
      <c r="A59" s="486" t="s">
        <v>471</v>
      </c>
      <c r="B59" s="486" t="s">
        <v>472</v>
      </c>
      <c r="C59" s="486" t="s">
        <v>210</v>
      </c>
      <c r="D59" s="486" t="s">
        <v>470</v>
      </c>
      <c r="E59" s="249" t="s">
        <v>733</v>
      </c>
      <c r="F59" s="485" t="s">
        <v>445</v>
      </c>
      <c r="G59" s="485">
        <f>H59+I59</f>
        <v>0</v>
      </c>
      <c r="H59" s="485">
        <f>'d3'!E67</f>
        <v>0</v>
      </c>
      <c r="I59" s="485">
        <f>'d3'!J67</f>
        <v>0</v>
      </c>
      <c r="J59" s="485">
        <f>'d3'!K67</f>
        <v>0</v>
      </c>
    </row>
    <row r="60" spans="1:17" ht="160.5" customHeight="1" thickTop="1" thickBot="1" x14ac:dyDescent="0.25">
      <c r="A60" s="680" t="s">
        <v>175</v>
      </c>
      <c r="B60" s="680"/>
      <c r="C60" s="680"/>
      <c r="D60" s="681" t="s">
        <v>18</v>
      </c>
      <c r="E60" s="682"/>
      <c r="F60" s="683"/>
      <c r="G60" s="683">
        <f>G61</f>
        <v>87541072</v>
      </c>
      <c r="H60" s="683">
        <f t="shared" ref="H60:J60" si="9">H61</f>
        <v>71287249</v>
      </c>
      <c r="I60" s="682">
        <f t="shared" si="9"/>
        <v>16253823</v>
      </c>
      <c r="J60" s="682">
        <f t="shared" si="9"/>
        <v>16231823</v>
      </c>
      <c r="K60" s="311" t="b">
        <f>H60='d3'!E68-'d3'!P71</f>
        <v>1</v>
      </c>
      <c r="L60" s="312" t="b">
        <f>I60='d3'!J68</f>
        <v>1</v>
      </c>
      <c r="M60" s="312" t="b">
        <f>J60='d3'!K68</f>
        <v>1</v>
      </c>
    </row>
    <row r="61" spans="1:17" ht="172.5" customHeight="1" thickTop="1" thickBot="1" x14ac:dyDescent="0.25">
      <c r="A61" s="684" t="s">
        <v>176</v>
      </c>
      <c r="B61" s="684"/>
      <c r="C61" s="684"/>
      <c r="D61" s="685" t="s">
        <v>38</v>
      </c>
      <c r="E61" s="686"/>
      <c r="F61" s="686"/>
      <c r="G61" s="686">
        <f>SUM(G62:G84)</f>
        <v>87541072</v>
      </c>
      <c r="H61" s="686">
        <f>SUM(H62:H84)</f>
        <v>71287249</v>
      </c>
      <c r="I61" s="686">
        <f>SUM(I62:I84)</f>
        <v>16253823</v>
      </c>
      <c r="J61" s="686">
        <f>SUM(J62:J84)</f>
        <v>16231823</v>
      </c>
    </row>
    <row r="62" spans="1:17" ht="138.75" thickTop="1" thickBot="1" x14ac:dyDescent="0.25">
      <c r="A62" s="360" t="s">
        <v>239</v>
      </c>
      <c r="B62" s="360" t="s">
        <v>236</v>
      </c>
      <c r="C62" s="360" t="s">
        <v>240</v>
      </c>
      <c r="D62" s="360" t="s">
        <v>19</v>
      </c>
      <c r="E62" s="370" t="s">
        <v>477</v>
      </c>
      <c r="F62" s="370" t="s">
        <v>448</v>
      </c>
      <c r="G62" s="915">
        <f>H62+I62</f>
        <v>15249455</v>
      </c>
      <c r="H62" s="915">
        <f>'d3'!E73</f>
        <v>15249455</v>
      </c>
      <c r="I62" s="915">
        <f>'d3'!J73</f>
        <v>0</v>
      </c>
      <c r="J62" s="915">
        <f>'d3'!K73</f>
        <v>0</v>
      </c>
    </row>
    <row r="63" spans="1:17" ht="405.75" customHeight="1" thickTop="1" thickBot="1" x14ac:dyDescent="0.25">
      <c r="A63" s="360" t="s">
        <v>239</v>
      </c>
      <c r="B63" s="360" t="s">
        <v>236</v>
      </c>
      <c r="C63" s="360" t="s">
        <v>240</v>
      </c>
      <c r="D63" s="360" t="s">
        <v>19</v>
      </c>
      <c r="E63" s="710" t="s">
        <v>1085</v>
      </c>
      <c r="F63" s="597" t="s">
        <v>1086</v>
      </c>
      <c r="G63" s="917"/>
      <c r="H63" s="917"/>
      <c r="I63" s="917"/>
      <c r="J63" s="917"/>
    </row>
    <row r="64" spans="1:17" ht="138.75" thickTop="1" thickBot="1" x14ac:dyDescent="0.25">
      <c r="A64" s="360" t="s">
        <v>564</v>
      </c>
      <c r="B64" s="360" t="s">
        <v>567</v>
      </c>
      <c r="C64" s="360" t="s">
        <v>566</v>
      </c>
      <c r="D64" s="360" t="s">
        <v>565</v>
      </c>
      <c r="E64" s="370" t="s">
        <v>477</v>
      </c>
      <c r="F64" s="370" t="s">
        <v>448</v>
      </c>
      <c r="G64" s="915">
        <f>H64+I64</f>
        <v>7638429</v>
      </c>
      <c r="H64" s="915">
        <f>'d3'!E74</f>
        <v>7638429</v>
      </c>
      <c r="I64" s="915">
        <f>'d3'!J74</f>
        <v>0</v>
      </c>
      <c r="J64" s="915">
        <f>'d3'!K74</f>
        <v>0</v>
      </c>
    </row>
    <row r="65" spans="1:17" ht="409.6" thickTop="1" thickBot="1" x14ac:dyDescent="0.25">
      <c r="A65" s="360" t="s">
        <v>564</v>
      </c>
      <c r="B65" s="360" t="s">
        <v>567</v>
      </c>
      <c r="C65" s="360" t="s">
        <v>566</v>
      </c>
      <c r="D65" s="360" t="s">
        <v>565</v>
      </c>
      <c r="E65" s="710" t="s">
        <v>1085</v>
      </c>
      <c r="F65" s="597" t="s">
        <v>1086</v>
      </c>
      <c r="G65" s="917"/>
      <c r="H65" s="917"/>
      <c r="I65" s="917"/>
      <c r="J65" s="917"/>
    </row>
    <row r="66" spans="1:17" ht="138.75" thickTop="1" thickBot="1" x14ac:dyDescent="0.25">
      <c r="A66" s="360" t="s">
        <v>241</v>
      </c>
      <c r="B66" s="360" t="s">
        <v>242</v>
      </c>
      <c r="C66" s="360" t="s">
        <v>243</v>
      </c>
      <c r="D66" s="360" t="s">
        <v>244</v>
      </c>
      <c r="E66" s="370" t="s">
        <v>477</v>
      </c>
      <c r="F66" s="370" t="s">
        <v>448</v>
      </c>
      <c r="G66" s="915">
        <f t="shared" ref="G66:G77" si="10">H66+I66</f>
        <v>5291200</v>
      </c>
      <c r="H66" s="915">
        <f>'d3'!E75</f>
        <v>5291200</v>
      </c>
      <c r="I66" s="915">
        <f>'d3'!J75</f>
        <v>0</v>
      </c>
      <c r="J66" s="915">
        <f>'d3'!K75</f>
        <v>0</v>
      </c>
    </row>
    <row r="67" spans="1:17" ht="409.6" thickTop="1" thickBot="1" x14ac:dyDescent="0.25">
      <c r="A67" s="360" t="s">
        <v>241</v>
      </c>
      <c r="B67" s="360" t="s">
        <v>242</v>
      </c>
      <c r="C67" s="360" t="s">
        <v>243</v>
      </c>
      <c r="D67" s="360" t="s">
        <v>244</v>
      </c>
      <c r="E67" s="710" t="s">
        <v>1085</v>
      </c>
      <c r="F67" s="597" t="s">
        <v>1086</v>
      </c>
      <c r="G67" s="917"/>
      <c r="H67" s="917"/>
      <c r="I67" s="917"/>
      <c r="J67" s="917"/>
    </row>
    <row r="68" spans="1:17" ht="138.75" thickTop="1" thickBot="1" x14ac:dyDescent="0.25">
      <c r="A68" s="360" t="s">
        <v>245</v>
      </c>
      <c r="B68" s="360" t="s">
        <v>246</v>
      </c>
      <c r="C68" s="360" t="s">
        <v>247</v>
      </c>
      <c r="D68" s="360" t="s">
        <v>379</v>
      </c>
      <c r="E68" s="370" t="s">
        <v>477</v>
      </c>
      <c r="F68" s="370" t="s">
        <v>448</v>
      </c>
      <c r="G68" s="915">
        <f t="shared" si="10"/>
        <v>9696090</v>
      </c>
      <c r="H68" s="915">
        <f>'d3'!E76</f>
        <v>9696090</v>
      </c>
      <c r="I68" s="915">
        <f>'d3'!J76</f>
        <v>0</v>
      </c>
      <c r="J68" s="915">
        <f>'d3'!K76</f>
        <v>0</v>
      </c>
    </row>
    <row r="69" spans="1:17" ht="409.6" thickTop="1" thickBot="1" x14ac:dyDescent="0.25">
      <c r="A69" s="360" t="s">
        <v>245</v>
      </c>
      <c r="B69" s="360" t="s">
        <v>246</v>
      </c>
      <c r="C69" s="360" t="s">
        <v>247</v>
      </c>
      <c r="D69" s="360" t="s">
        <v>379</v>
      </c>
      <c r="E69" s="710" t="s">
        <v>1085</v>
      </c>
      <c r="F69" s="597" t="s">
        <v>1086</v>
      </c>
      <c r="G69" s="917"/>
      <c r="H69" s="917"/>
      <c r="I69" s="917"/>
      <c r="J69" s="917"/>
    </row>
    <row r="70" spans="1:17" ht="172.5" customHeight="1" thickTop="1" thickBot="1" x14ac:dyDescent="0.25">
      <c r="A70" s="360" t="s">
        <v>248</v>
      </c>
      <c r="B70" s="360" t="s">
        <v>249</v>
      </c>
      <c r="C70" s="360" t="s">
        <v>250</v>
      </c>
      <c r="D70" s="360" t="s">
        <v>251</v>
      </c>
      <c r="E70" s="370" t="s">
        <v>477</v>
      </c>
      <c r="F70" s="370" t="s">
        <v>448</v>
      </c>
      <c r="G70" s="915">
        <f t="shared" si="10"/>
        <v>5594335</v>
      </c>
      <c r="H70" s="915">
        <f>'d3'!E77-H72</f>
        <v>5594335</v>
      </c>
      <c r="I70" s="915">
        <f>'d3'!J77-I72</f>
        <v>0</v>
      </c>
      <c r="J70" s="915">
        <f>'d3'!K77-J72</f>
        <v>0</v>
      </c>
    </row>
    <row r="71" spans="1:17" ht="409.6" thickTop="1" thickBot="1" x14ac:dyDescent="0.25">
      <c r="A71" s="360" t="s">
        <v>248</v>
      </c>
      <c r="B71" s="360" t="s">
        <v>249</v>
      </c>
      <c r="C71" s="360" t="s">
        <v>250</v>
      </c>
      <c r="D71" s="360" t="s">
        <v>251</v>
      </c>
      <c r="E71" s="710" t="s">
        <v>1085</v>
      </c>
      <c r="F71" s="597" t="s">
        <v>1086</v>
      </c>
      <c r="G71" s="917"/>
      <c r="H71" s="917"/>
      <c r="I71" s="917"/>
      <c r="J71" s="917"/>
    </row>
    <row r="72" spans="1:17" ht="184.5" thickTop="1" thickBot="1" x14ac:dyDescent="0.25">
      <c r="A72" s="360" t="s">
        <v>248</v>
      </c>
      <c r="B72" s="360" t="s">
        <v>249</v>
      </c>
      <c r="C72" s="360" t="s">
        <v>250</v>
      </c>
      <c r="D72" s="360" t="s">
        <v>251</v>
      </c>
      <c r="E72" s="429" t="s">
        <v>1081</v>
      </c>
      <c r="F72" s="596" t="s">
        <v>1082</v>
      </c>
      <c r="G72" s="370">
        <f t="shared" si="10"/>
        <v>1287600</v>
      </c>
      <c r="H72" s="370">
        <v>1287600</v>
      </c>
      <c r="I72" s="370"/>
      <c r="J72" s="370"/>
    </row>
    <row r="73" spans="1:17" ht="184.5" thickTop="1" thickBot="1" x14ac:dyDescent="0.25">
      <c r="A73" s="360" t="s">
        <v>252</v>
      </c>
      <c r="B73" s="360" t="s">
        <v>253</v>
      </c>
      <c r="C73" s="360" t="s">
        <v>380</v>
      </c>
      <c r="D73" s="360" t="s">
        <v>254</v>
      </c>
      <c r="E73" s="370" t="s">
        <v>477</v>
      </c>
      <c r="F73" s="370" t="s">
        <v>448</v>
      </c>
      <c r="G73" s="915">
        <f t="shared" si="10"/>
        <v>11147515</v>
      </c>
      <c r="H73" s="915">
        <f>'d3'!E79</f>
        <v>11147515</v>
      </c>
      <c r="I73" s="915">
        <f>'d3'!J79</f>
        <v>0</v>
      </c>
      <c r="J73" s="915">
        <f>'d3'!K79</f>
        <v>0</v>
      </c>
    </row>
    <row r="74" spans="1:17" ht="409.6" thickTop="1" thickBot="1" x14ac:dyDescent="0.25">
      <c r="A74" s="360" t="s">
        <v>252</v>
      </c>
      <c r="B74" s="360" t="s">
        <v>253</v>
      </c>
      <c r="C74" s="360" t="s">
        <v>380</v>
      </c>
      <c r="D74" s="360" t="s">
        <v>254</v>
      </c>
      <c r="E74" s="710" t="s">
        <v>1085</v>
      </c>
      <c r="F74" s="597" t="s">
        <v>1086</v>
      </c>
      <c r="G74" s="917"/>
      <c r="H74" s="917"/>
      <c r="I74" s="917"/>
      <c r="J74" s="917"/>
    </row>
    <row r="75" spans="1:17" ht="138.75" hidden="1" thickTop="1" thickBot="1" x14ac:dyDescent="0.25">
      <c r="A75" s="360" t="s">
        <v>530</v>
      </c>
      <c r="B75" s="360" t="s">
        <v>531</v>
      </c>
      <c r="C75" s="360" t="s">
        <v>255</v>
      </c>
      <c r="D75" s="360" t="s">
        <v>532</v>
      </c>
      <c r="E75" s="370" t="s">
        <v>477</v>
      </c>
      <c r="F75" s="370" t="s">
        <v>448</v>
      </c>
      <c r="G75" s="915">
        <f t="shared" si="10"/>
        <v>9137200</v>
      </c>
      <c r="H75" s="915">
        <f>'d3'!E81</f>
        <v>9137200</v>
      </c>
      <c r="I75" s="915">
        <f>'d3'!J81</f>
        <v>0</v>
      </c>
      <c r="J75" s="915">
        <f>'d3'!K81</f>
        <v>0</v>
      </c>
    </row>
    <row r="76" spans="1:17" ht="409.6" thickTop="1" thickBot="1" x14ac:dyDescent="0.25">
      <c r="A76" s="360" t="s">
        <v>530</v>
      </c>
      <c r="B76" s="360" t="s">
        <v>531</v>
      </c>
      <c r="C76" s="360" t="s">
        <v>255</v>
      </c>
      <c r="D76" s="360" t="s">
        <v>532</v>
      </c>
      <c r="E76" s="710" t="s">
        <v>1085</v>
      </c>
      <c r="F76" s="597" t="s">
        <v>1086</v>
      </c>
      <c r="G76" s="917"/>
      <c r="H76" s="917"/>
      <c r="I76" s="917"/>
      <c r="J76" s="917"/>
    </row>
    <row r="77" spans="1:17" s="85" customFormat="1" ht="160.5" customHeight="1" thickTop="1" thickBot="1" x14ac:dyDescent="0.25">
      <c r="A77" s="486" t="s">
        <v>354</v>
      </c>
      <c r="B77" s="486" t="s">
        <v>356</v>
      </c>
      <c r="C77" s="486" t="s">
        <v>255</v>
      </c>
      <c r="D77" s="434" t="s">
        <v>352</v>
      </c>
      <c r="E77" s="485" t="s">
        <v>477</v>
      </c>
      <c r="F77" s="485" t="s">
        <v>448</v>
      </c>
      <c r="G77" s="915">
        <f t="shared" si="10"/>
        <v>3251425</v>
      </c>
      <c r="H77" s="915">
        <f>'d3'!E83</f>
        <v>3229425</v>
      </c>
      <c r="I77" s="915">
        <f>'d3'!J83</f>
        <v>22000</v>
      </c>
      <c r="J77" s="915">
        <f>'d3'!K83</f>
        <v>0</v>
      </c>
      <c r="K77" s="273"/>
      <c r="L77" s="273"/>
      <c r="M77" s="273"/>
      <c r="N77" s="273"/>
      <c r="O77" s="273"/>
      <c r="P77" s="273"/>
      <c r="Q77" s="273"/>
    </row>
    <row r="78" spans="1:17" s="85" customFormat="1" ht="409.6" thickTop="1" thickBot="1" x14ac:dyDescent="0.25">
      <c r="A78" s="486" t="s">
        <v>354</v>
      </c>
      <c r="B78" s="486" t="s">
        <v>356</v>
      </c>
      <c r="C78" s="486" t="s">
        <v>255</v>
      </c>
      <c r="D78" s="434" t="s">
        <v>352</v>
      </c>
      <c r="E78" s="710" t="s">
        <v>1085</v>
      </c>
      <c r="F78" s="597" t="s">
        <v>1086</v>
      </c>
      <c r="G78" s="917"/>
      <c r="H78" s="917"/>
      <c r="I78" s="917"/>
      <c r="J78" s="917"/>
      <c r="K78" s="273"/>
      <c r="L78" s="273"/>
      <c r="M78" s="273"/>
      <c r="N78" s="273"/>
      <c r="O78" s="273"/>
      <c r="P78" s="273"/>
      <c r="Q78" s="273"/>
    </row>
    <row r="79" spans="1:17" s="85" customFormat="1" ht="166.7" customHeight="1" thickTop="1" thickBot="1" x14ac:dyDescent="0.25">
      <c r="A79" s="486" t="s">
        <v>355</v>
      </c>
      <c r="B79" s="486" t="s">
        <v>357</v>
      </c>
      <c r="C79" s="486" t="s">
        <v>255</v>
      </c>
      <c r="D79" s="434" t="s">
        <v>353</v>
      </c>
      <c r="E79" s="485" t="s">
        <v>477</v>
      </c>
      <c r="F79" s="485" t="s">
        <v>448</v>
      </c>
      <c r="G79" s="915">
        <f>H79+I79</f>
        <v>3016000</v>
      </c>
      <c r="H79" s="915">
        <f>'d3'!E84</f>
        <v>3016000</v>
      </c>
      <c r="I79" s="915">
        <f>'d3'!J84</f>
        <v>0</v>
      </c>
      <c r="J79" s="915">
        <f>'d3'!K84</f>
        <v>0</v>
      </c>
      <c r="K79" s="273"/>
      <c r="L79" s="273"/>
      <c r="M79" s="273"/>
      <c r="N79" s="273"/>
      <c r="O79" s="273"/>
      <c r="P79" s="273"/>
      <c r="Q79" s="273"/>
    </row>
    <row r="80" spans="1:17" s="85" customFormat="1" ht="409.5" customHeight="1" thickTop="1" thickBot="1" x14ac:dyDescent="0.25">
      <c r="A80" s="486" t="s">
        <v>355</v>
      </c>
      <c r="B80" s="486" t="s">
        <v>357</v>
      </c>
      <c r="C80" s="486" t="s">
        <v>255</v>
      </c>
      <c r="D80" s="434" t="s">
        <v>353</v>
      </c>
      <c r="E80" s="710" t="s">
        <v>1085</v>
      </c>
      <c r="F80" s="597" t="s">
        <v>1086</v>
      </c>
      <c r="G80" s="917"/>
      <c r="H80" s="917"/>
      <c r="I80" s="917"/>
      <c r="J80" s="917"/>
      <c r="K80" s="273"/>
      <c r="L80" s="273"/>
      <c r="M80" s="273"/>
      <c r="N80" s="273"/>
      <c r="O80" s="273"/>
      <c r="P80" s="273"/>
      <c r="Q80" s="273"/>
    </row>
    <row r="81" spans="1:17" s="85" customFormat="1" ht="138.75" thickTop="1" thickBot="1" x14ac:dyDescent="0.25">
      <c r="A81" s="486" t="s">
        <v>476</v>
      </c>
      <c r="B81" s="486" t="s">
        <v>222</v>
      </c>
      <c r="C81" s="486" t="s">
        <v>191</v>
      </c>
      <c r="D81" s="486" t="s">
        <v>36</v>
      </c>
      <c r="E81" s="485" t="s">
        <v>477</v>
      </c>
      <c r="F81" s="485" t="s">
        <v>448</v>
      </c>
      <c r="G81" s="915">
        <f>H81+I81</f>
        <v>15859159</v>
      </c>
      <c r="H81" s="915">
        <v>0</v>
      </c>
      <c r="I81" s="915">
        <f>'d3'!J87-I83</f>
        <v>15859159</v>
      </c>
      <c r="J81" s="915">
        <f>'d3'!K87-J83</f>
        <v>15859159</v>
      </c>
      <c r="K81" s="273"/>
      <c r="L81" s="273"/>
      <c r="M81" s="273"/>
      <c r="N81" s="273"/>
      <c r="O81" s="273"/>
      <c r="P81" s="273"/>
      <c r="Q81" s="273"/>
    </row>
    <row r="82" spans="1:17" s="85" customFormat="1" ht="409.5" customHeight="1" thickTop="1" thickBot="1" x14ac:dyDescent="0.25">
      <c r="A82" s="486" t="s">
        <v>476</v>
      </c>
      <c r="B82" s="486" t="s">
        <v>222</v>
      </c>
      <c r="C82" s="486" t="s">
        <v>191</v>
      </c>
      <c r="D82" s="486" t="s">
        <v>36</v>
      </c>
      <c r="E82" s="710" t="s">
        <v>1085</v>
      </c>
      <c r="F82" s="597" t="s">
        <v>1086</v>
      </c>
      <c r="G82" s="917"/>
      <c r="H82" s="917"/>
      <c r="I82" s="917"/>
      <c r="J82" s="917"/>
      <c r="K82" s="273"/>
      <c r="L82" s="273"/>
      <c r="M82" s="273"/>
      <c r="N82" s="273"/>
      <c r="O82" s="273"/>
      <c r="P82" s="273"/>
      <c r="Q82" s="273"/>
    </row>
    <row r="83" spans="1:17" s="85" customFormat="1" ht="230.25" thickTop="1" thickBot="1" x14ac:dyDescent="0.25">
      <c r="A83" s="486" t="s">
        <v>476</v>
      </c>
      <c r="B83" s="486" t="s">
        <v>222</v>
      </c>
      <c r="C83" s="486" t="s">
        <v>191</v>
      </c>
      <c r="D83" s="486" t="s">
        <v>36</v>
      </c>
      <c r="E83" s="249" t="s">
        <v>495</v>
      </c>
      <c r="F83" s="361" t="s">
        <v>496</v>
      </c>
      <c r="G83" s="485">
        <f>H83+I83</f>
        <v>372664</v>
      </c>
      <c r="H83" s="485">
        <v>0</v>
      </c>
      <c r="I83" s="485">
        <f>(136258+107000+129406)</f>
        <v>372664</v>
      </c>
      <c r="J83" s="485">
        <f>(136258+107000+129406)</f>
        <v>372664</v>
      </c>
      <c r="K83" s="273"/>
      <c r="L83" s="273"/>
      <c r="M83" s="273"/>
      <c r="N83" s="273"/>
      <c r="O83" s="273"/>
      <c r="P83" s="273"/>
      <c r="Q83" s="273"/>
    </row>
    <row r="84" spans="1:17" s="85" customFormat="1" ht="138.75" hidden="1" thickTop="1" thickBot="1" x14ac:dyDescent="0.25">
      <c r="A84" s="264" t="s">
        <v>568</v>
      </c>
      <c r="B84" s="264" t="s">
        <v>399</v>
      </c>
      <c r="C84" s="264" t="s">
        <v>45</v>
      </c>
      <c r="D84" s="264" t="s">
        <v>400</v>
      </c>
      <c r="E84" s="245" t="s">
        <v>477</v>
      </c>
      <c r="F84" s="245" t="s">
        <v>448</v>
      </c>
      <c r="G84" s="245">
        <f>H84+I84</f>
        <v>0</v>
      </c>
      <c r="H84" s="245">
        <f>'d3'!F88</f>
        <v>0</v>
      </c>
      <c r="I84" s="245">
        <f>'d3'!J88</f>
        <v>0</v>
      </c>
      <c r="J84" s="245">
        <f>'d3'!K88</f>
        <v>0</v>
      </c>
      <c r="K84" s="273"/>
      <c r="L84" s="273"/>
      <c r="M84" s="273"/>
      <c r="N84" s="273"/>
      <c r="O84" s="273"/>
      <c r="P84" s="273"/>
      <c r="Q84" s="273"/>
    </row>
    <row r="85" spans="1:17" ht="241.5" customHeight="1" thickTop="1" thickBot="1" x14ac:dyDescent="0.25">
      <c r="A85" s="680" t="s">
        <v>177</v>
      </c>
      <c r="B85" s="680"/>
      <c r="C85" s="680"/>
      <c r="D85" s="681" t="s">
        <v>39</v>
      </c>
      <c r="E85" s="682"/>
      <c r="F85" s="683"/>
      <c r="G85" s="683">
        <f>G86</f>
        <v>172102869</v>
      </c>
      <c r="H85" s="683">
        <f t="shared" ref="H85:J85" si="11">H86</f>
        <v>165837089</v>
      </c>
      <c r="I85" s="682">
        <f t="shared" si="11"/>
        <v>6265780</v>
      </c>
      <c r="J85" s="682">
        <f t="shared" si="11"/>
        <v>5648780</v>
      </c>
      <c r="K85" s="311" t="b">
        <f>H85='d3'!E90-'d3'!E92+H87+H88</f>
        <v>1</v>
      </c>
      <c r="L85" s="312" t="b">
        <f>I85='d3'!J90-'d3'!J92+'d7'!I87+I88</f>
        <v>1</v>
      </c>
      <c r="M85" s="312" t="b">
        <f>J85='d3'!K90-'d3'!K92+'d7'!J87+J88</f>
        <v>1</v>
      </c>
    </row>
    <row r="86" spans="1:17" ht="226.5" thickTop="1" thickBot="1" x14ac:dyDescent="0.25">
      <c r="A86" s="684" t="s">
        <v>178</v>
      </c>
      <c r="B86" s="684"/>
      <c r="C86" s="684"/>
      <c r="D86" s="685" t="s">
        <v>40</v>
      </c>
      <c r="E86" s="686"/>
      <c r="F86" s="686"/>
      <c r="G86" s="686">
        <f>SUM(G87:G115)</f>
        <v>172102869</v>
      </c>
      <c r="H86" s="686">
        <f>SUM(H87:H115)</f>
        <v>165837089</v>
      </c>
      <c r="I86" s="686">
        <f>SUM(I87:I115)</f>
        <v>6265780</v>
      </c>
      <c r="J86" s="686">
        <f>SUM(J87:J115)</f>
        <v>5648780</v>
      </c>
      <c r="L86" s="305"/>
    </row>
    <row r="87" spans="1:17" ht="230.25" thickTop="1" thickBot="1" x14ac:dyDescent="0.25">
      <c r="A87" s="360" t="s">
        <v>453</v>
      </c>
      <c r="B87" s="360" t="s">
        <v>261</v>
      </c>
      <c r="C87" s="360" t="s">
        <v>259</v>
      </c>
      <c r="D87" s="360" t="s">
        <v>260</v>
      </c>
      <c r="E87" s="394" t="s">
        <v>1065</v>
      </c>
      <c r="F87" s="593" t="s">
        <v>1066</v>
      </c>
      <c r="G87" s="370">
        <f t="shared" ref="G87:G113" si="12">H87+I87</f>
        <v>270000</v>
      </c>
      <c r="H87" s="370">
        <v>0</v>
      </c>
      <c r="I87" s="370">
        <v>270000</v>
      </c>
      <c r="J87" s="370">
        <v>270000</v>
      </c>
      <c r="L87" s="305"/>
    </row>
    <row r="88" spans="1:17" s="725" customFormat="1" ht="230.25" thickTop="1" thickBot="1" x14ac:dyDescent="0.25">
      <c r="A88" s="727" t="s">
        <v>453</v>
      </c>
      <c r="B88" s="727" t="s">
        <v>261</v>
      </c>
      <c r="C88" s="727" t="s">
        <v>259</v>
      </c>
      <c r="D88" s="727" t="s">
        <v>260</v>
      </c>
      <c r="E88" s="249" t="s">
        <v>733</v>
      </c>
      <c r="F88" s="726" t="s">
        <v>445</v>
      </c>
      <c r="G88" s="726">
        <f t="shared" si="12"/>
        <v>250000</v>
      </c>
      <c r="H88" s="726">
        <v>0</v>
      </c>
      <c r="I88" s="726">
        <v>250000</v>
      </c>
      <c r="J88" s="726">
        <v>250000</v>
      </c>
      <c r="K88" s="737"/>
      <c r="L88" s="305"/>
      <c r="M88" s="737"/>
      <c r="N88" s="737"/>
      <c r="O88" s="737"/>
      <c r="P88" s="737"/>
      <c r="Q88" s="737"/>
    </row>
    <row r="89" spans="1:17" s="412" customFormat="1" ht="409.6" thickTop="1" thickBot="1" x14ac:dyDescent="0.25">
      <c r="A89" s="419" t="s">
        <v>823</v>
      </c>
      <c r="B89" s="419" t="s">
        <v>398</v>
      </c>
      <c r="C89" s="419" t="s">
        <v>815</v>
      </c>
      <c r="D89" s="419" t="s">
        <v>816</v>
      </c>
      <c r="E89" s="394" t="s">
        <v>1101</v>
      </c>
      <c r="F89" s="619" t="s">
        <v>1102</v>
      </c>
      <c r="G89" s="370">
        <f t="shared" si="12"/>
        <v>10000</v>
      </c>
      <c r="H89" s="370">
        <f>'d3'!E93</f>
        <v>10000</v>
      </c>
      <c r="I89" s="712">
        <f>'d3'!J93</f>
        <v>0</v>
      </c>
      <c r="J89" s="712">
        <f>'d3'!K93</f>
        <v>0</v>
      </c>
      <c r="K89" s="414"/>
      <c r="L89" s="305"/>
      <c r="M89" s="414"/>
      <c r="N89" s="414"/>
      <c r="O89" s="414"/>
      <c r="P89" s="414"/>
      <c r="Q89" s="414"/>
    </row>
    <row r="90" spans="1:17" s="711" customFormat="1" ht="138.75" thickTop="1" thickBot="1" x14ac:dyDescent="0.25">
      <c r="A90" s="717" t="s">
        <v>1187</v>
      </c>
      <c r="B90" s="717" t="s">
        <v>45</v>
      </c>
      <c r="C90" s="717" t="s">
        <v>44</v>
      </c>
      <c r="D90" s="717" t="s">
        <v>273</v>
      </c>
      <c r="E90" s="394" t="s">
        <v>1188</v>
      </c>
      <c r="F90" s="712"/>
      <c r="G90" s="712">
        <f t="shared" si="12"/>
        <v>30000</v>
      </c>
      <c r="H90" s="712">
        <f>'d3'!E94</f>
        <v>30000</v>
      </c>
      <c r="I90" s="712">
        <f>'d3'!J94</f>
        <v>0</v>
      </c>
      <c r="J90" s="712">
        <f>'d3'!K94</f>
        <v>0</v>
      </c>
      <c r="K90" s="718"/>
      <c r="L90" s="305"/>
      <c r="M90" s="718"/>
      <c r="N90" s="718"/>
      <c r="O90" s="718"/>
      <c r="P90" s="718"/>
      <c r="Q90" s="718"/>
    </row>
    <row r="91" spans="1:17" s="85" customFormat="1" ht="230.25" thickTop="1" thickBot="1" x14ac:dyDescent="0.25">
      <c r="A91" s="360" t="s">
        <v>294</v>
      </c>
      <c r="B91" s="360" t="s">
        <v>295</v>
      </c>
      <c r="C91" s="360" t="s">
        <v>230</v>
      </c>
      <c r="D91" s="361" t="s">
        <v>296</v>
      </c>
      <c r="E91" s="249" t="s">
        <v>733</v>
      </c>
      <c r="F91" s="370" t="s">
        <v>445</v>
      </c>
      <c r="G91" s="370">
        <f t="shared" si="12"/>
        <v>469000</v>
      </c>
      <c r="H91" s="370">
        <f>'d3'!E97</f>
        <v>270000</v>
      </c>
      <c r="I91" s="370">
        <f>'d3'!J97</f>
        <v>199000</v>
      </c>
      <c r="J91" s="370">
        <f>'d3'!K97</f>
        <v>199000</v>
      </c>
      <c r="K91" s="273"/>
      <c r="L91" s="273"/>
      <c r="M91" s="273"/>
      <c r="N91" s="273"/>
      <c r="O91" s="273"/>
      <c r="P91" s="273"/>
      <c r="Q91" s="273"/>
    </row>
    <row r="92" spans="1:17" s="85" customFormat="1" ht="230.25" thickTop="1" thickBot="1" x14ac:dyDescent="0.25">
      <c r="A92" s="360" t="s">
        <v>297</v>
      </c>
      <c r="B92" s="360" t="s">
        <v>298</v>
      </c>
      <c r="C92" s="360" t="s">
        <v>231</v>
      </c>
      <c r="D92" s="360" t="s">
        <v>6</v>
      </c>
      <c r="E92" s="249" t="s">
        <v>733</v>
      </c>
      <c r="F92" s="370" t="s">
        <v>445</v>
      </c>
      <c r="G92" s="370">
        <f t="shared" si="12"/>
        <v>1350000</v>
      </c>
      <c r="H92" s="370">
        <f>'d3'!E98</f>
        <v>1350000</v>
      </c>
      <c r="I92" s="370">
        <f>'d3'!J98</f>
        <v>0</v>
      </c>
      <c r="J92" s="370">
        <f>'d3'!K98</f>
        <v>0</v>
      </c>
      <c r="K92" s="273"/>
      <c r="L92" s="273"/>
      <c r="M92" s="273"/>
      <c r="N92" s="273"/>
      <c r="O92" s="273"/>
      <c r="P92" s="273"/>
      <c r="Q92" s="273"/>
    </row>
    <row r="93" spans="1:17" s="85" customFormat="1" ht="230.25" thickTop="1" thickBot="1" x14ac:dyDescent="0.25">
      <c r="A93" s="360" t="s">
        <v>300</v>
      </c>
      <c r="B93" s="360" t="s">
        <v>301</v>
      </c>
      <c r="C93" s="360" t="s">
        <v>231</v>
      </c>
      <c r="D93" s="360" t="s">
        <v>7</v>
      </c>
      <c r="E93" s="249" t="s">
        <v>733</v>
      </c>
      <c r="F93" s="370" t="s">
        <v>445</v>
      </c>
      <c r="G93" s="370">
        <f t="shared" si="12"/>
        <v>11250000</v>
      </c>
      <c r="H93" s="370">
        <f>'d3'!E99</f>
        <v>11250000</v>
      </c>
      <c r="I93" s="370">
        <f>'d3'!J99</f>
        <v>0</v>
      </c>
      <c r="J93" s="370">
        <f>'d3'!K99</f>
        <v>0</v>
      </c>
      <c r="K93" s="273"/>
      <c r="L93" s="273"/>
      <c r="M93" s="273"/>
      <c r="N93" s="273"/>
      <c r="O93" s="273"/>
      <c r="P93" s="273"/>
      <c r="Q93" s="273"/>
    </row>
    <row r="94" spans="1:17" s="85" customFormat="1" ht="230.25" thickTop="1" thickBot="1" x14ac:dyDescent="0.25">
      <c r="A94" s="360" t="s">
        <v>302</v>
      </c>
      <c r="B94" s="360" t="s">
        <v>299</v>
      </c>
      <c r="C94" s="360" t="s">
        <v>231</v>
      </c>
      <c r="D94" s="360" t="s">
        <v>8</v>
      </c>
      <c r="E94" s="249" t="s">
        <v>733</v>
      </c>
      <c r="F94" s="370" t="s">
        <v>445</v>
      </c>
      <c r="G94" s="370">
        <f t="shared" si="12"/>
        <v>500000</v>
      </c>
      <c r="H94" s="370">
        <f>'d3'!E100</f>
        <v>500000</v>
      </c>
      <c r="I94" s="370">
        <f>'d3'!J100</f>
        <v>0</v>
      </c>
      <c r="J94" s="370">
        <f>'d3'!K100</f>
        <v>0</v>
      </c>
      <c r="K94" s="273"/>
      <c r="L94" s="273"/>
      <c r="M94" s="273"/>
      <c r="N94" s="273"/>
      <c r="O94" s="273"/>
      <c r="P94" s="273"/>
      <c r="Q94" s="273"/>
    </row>
    <row r="95" spans="1:17" s="85" customFormat="1" ht="230.25" thickTop="1" thickBot="1" x14ac:dyDescent="0.25">
      <c r="A95" s="360" t="s">
        <v>303</v>
      </c>
      <c r="B95" s="360" t="s">
        <v>304</v>
      </c>
      <c r="C95" s="360" t="s">
        <v>231</v>
      </c>
      <c r="D95" s="360" t="s">
        <v>9</v>
      </c>
      <c r="E95" s="249" t="s">
        <v>733</v>
      </c>
      <c r="F95" s="370" t="s">
        <v>445</v>
      </c>
      <c r="G95" s="370">
        <f t="shared" si="12"/>
        <v>74942240</v>
      </c>
      <c r="H95" s="370">
        <f>'d3'!E101</f>
        <v>74942240</v>
      </c>
      <c r="I95" s="370">
        <f>'d3'!J101</f>
        <v>0</v>
      </c>
      <c r="J95" s="370">
        <f>'d3'!K101</f>
        <v>0</v>
      </c>
      <c r="K95" s="273"/>
      <c r="L95" s="273"/>
      <c r="M95" s="273"/>
      <c r="N95" s="273"/>
      <c r="O95" s="273"/>
      <c r="P95" s="273"/>
      <c r="Q95" s="273"/>
    </row>
    <row r="96" spans="1:17" s="85" customFormat="1" ht="230.25" thickTop="1" thickBot="1" x14ac:dyDescent="0.25">
      <c r="A96" s="621" t="s">
        <v>533</v>
      </c>
      <c r="B96" s="621" t="s">
        <v>534</v>
      </c>
      <c r="C96" s="621" t="s">
        <v>231</v>
      </c>
      <c r="D96" s="621" t="s">
        <v>535</v>
      </c>
      <c r="E96" s="249" t="s">
        <v>733</v>
      </c>
      <c r="F96" s="619" t="s">
        <v>445</v>
      </c>
      <c r="G96" s="619">
        <f t="shared" si="12"/>
        <v>206796</v>
      </c>
      <c r="H96" s="619">
        <f>'d3'!E102</f>
        <v>206796</v>
      </c>
      <c r="I96" s="619">
        <f>'d3'!J102</f>
        <v>0</v>
      </c>
      <c r="J96" s="619">
        <f>'d3'!K102</f>
        <v>0</v>
      </c>
      <c r="K96" s="273"/>
      <c r="L96" s="273"/>
      <c r="M96" s="273"/>
      <c r="N96" s="273"/>
      <c r="O96" s="273"/>
      <c r="P96" s="273"/>
      <c r="Q96" s="273"/>
    </row>
    <row r="97" spans="1:17" s="85" customFormat="1" ht="230.25" thickTop="1" thickBot="1" x14ac:dyDescent="0.25">
      <c r="A97" s="713" t="s">
        <v>1189</v>
      </c>
      <c r="B97" s="713" t="s">
        <v>1190</v>
      </c>
      <c r="C97" s="713" t="s">
        <v>231</v>
      </c>
      <c r="D97" s="713" t="s">
        <v>1191</v>
      </c>
      <c r="E97" s="249" t="s">
        <v>733</v>
      </c>
      <c r="F97" s="712" t="s">
        <v>445</v>
      </c>
      <c r="G97" s="712">
        <f t="shared" ref="G97" si="13">H97+I97</f>
        <v>180000</v>
      </c>
      <c r="H97" s="712">
        <f>'d3'!E103</f>
        <v>180000</v>
      </c>
      <c r="I97" s="712">
        <f>'d3'!J103</f>
        <v>0</v>
      </c>
      <c r="J97" s="712">
        <f>'d3'!K103</f>
        <v>0</v>
      </c>
      <c r="K97" s="273"/>
      <c r="L97" s="273"/>
      <c r="M97" s="273"/>
      <c r="N97" s="273"/>
      <c r="O97" s="273"/>
      <c r="P97" s="273"/>
      <c r="Q97" s="273"/>
    </row>
    <row r="98" spans="1:17" s="85" customFormat="1" ht="230.25" thickTop="1" thickBot="1" x14ac:dyDescent="0.25">
      <c r="A98" s="621" t="s">
        <v>536</v>
      </c>
      <c r="B98" s="621" t="s">
        <v>537</v>
      </c>
      <c r="C98" s="621" t="s">
        <v>230</v>
      </c>
      <c r="D98" s="621" t="s">
        <v>538</v>
      </c>
      <c r="E98" s="249" t="s">
        <v>733</v>
      </c>
      <c r="F98" s="619" t="s">
        <v>445</v>
      </c>
      <c r="G98" s="619">
        <f t="shared" si="12"/>
        <v>353047</v>
      </c>
      <c r="H98" s="619">
        <f>'d3'!E104</f>
        <v>353047</v>
      </c>
      <c r="I98" s="619">
        <f>'d3'!J104</f>
        <v>0</v>
      </c>
      <c r="J98" s="619">
        <f>'d3'!K104</f>
        <v>0</v>
      </c>
      <c r="K98" s="273"/>
      <c r="L98" s="273"/>
      <c r="M98" s="273"/>
      <c r="N98" s="273"/>
      <c r="O98" s="273"/>
      <c r="P98" s="273"/>
      <c r="Q98" s="273"/>
    </row>
    <row r="99" spans="1:17" ht="276" thickTop="1" thickBot="1" x14ac:dyDescent="0.25">
      <c r="A99" s="486" t="s">
        <v>292</v>
      </c>
      <c r="B99" s="486" t="s">
        <v>290</v>
      </c>
      <c r="C99" s="486" t="s">
        <v>225</v>
      </c>
      <c r="D99" s="486" t="s">
        <v>17</v>
      </c>
      <c r="E99" s="249" t="s">
        <v>733</v>
      </c>
      <c r="F99" s="485" t="s">
        <v>445</v>
      </c>
      <c r="G99" s="485">
        <f t="shared" si="12"/>
        <v>28239120</v>
      </c>
      <c r="H99" s="485">
        <f>'d3'!E106</f>
        <v>27961120</v>
      </c>
      <c r="I99" s="485">
        <f>'d3'!J106</f>
        <v>278000</v>
      </c>
      <c r="J99" s="485">
        <f>'d3'!K106</f>
        <v>128000</v>
      </c>
    </row>
    <row r="100" spans="1:17" ht="230.25" thickTop="1" thickBot="1" x14ac:dyDescent="0.25">
      <c r="A100" s="486" t="s">
        <v>293</v>
      </c>
      <c r="B100" s="486" t="s">
        <v>291</v>
      </c>
      <c r="C100" s="486" t="s">
        <v>224</v>
      </c>
      <c r="D100" s="486" t="s">
        <v>501</v>
      </c>
      <c r="E100" s="249" t="s">
        <v>733</v>
      </c>
      <c r="F100" s="485" t="s">
        <v>445</v>
      </c>
      <c r="G100" s="485">
        <f t="shared" si="12"/>
        <v>7585530</v>
      </c>
      <c r="H100" s="485">
        <f>'d3'!E107</f>
        <v>7542090</v>
      </c>
      <c r="I100" s="488">
        <f>'d3'!J107</f>
        <v>43440</v>
      </c>
      <c r="J100" s="488">
        <f>'d3'!K107</f>
        <v>43440</v>
      </c>
    </row>
    <row r="101" spans="1:17" ht="409.6" thickTop="1" thickBot="1" x14ac:dyDescent="0.25">
      <c r="A101" s="486" t="s">
        <v>288</v>
      </c>
      <c r="B101" s="486" t="s">
        <v>289</v>
      </c>
      <c r="C101" s="486" t="s">
        <v>224</v>
      </c>
      <c r="D101" s="486" t="s">
        <v>499</v>
      </c>
      <c r="E101" s="249" t="s">
        <v>733</v>
      </c>
      <c r="F101" s="485" t="s">
        <v>445</v>
      </c>
      <c r="G101" s="485">
        <f t="shared" si="12"/>
        <v>2242695</v>
      </c>
      <c r="H101" s="485">
        <f>'d3'!E108</f>
        <v>2242695</v>
      </c>
      <c r="I101" s="485">
        <f>'d3'!J108</f>
        <v>0</v>
      </c>
      <c r="J101" s="485">
        <f>'d3'!K108</f>
        <v>0</v>
      </c>
    </row>
    <row r="102" spans="1:17" ht="276" thickTop="1" thickBot="1" x14ac:dyDescent="0.25">
      <c r="A102" s="486" t="s">
        <v>539</v>
      </c>
      <c r="B102" s="486" t="s">
        <v>540</v>
      </c>
      <c r="C102" s="486" t="s">
        <v>224</v>
      </c>
      <c r="D102" s="486" t="s">
        <v>541</v>
      </c>
      <c r="E102" s="249" t="s">
        <v>733</v>
      </c>
      <c r="F102" s="619" t="s">
        <v>445</v>
      </c>
      <c r="G102" s="485">
        <f t="shared" si="12"/>
        <v>147491</v>
      </c>
      <c r="H102" s="485">
        <f>'d3'!E110</f>
        <v>147491</v>
      </c>
      <c r="I102" s="485">
        <f>'d3'!J110</f>
        <v>0</v>
      </c>
      <c r="J102" s="619">
        <f>'d3'!K110</f>
        <v>0</v>
      </c>
    </row>
    <row r="103" spans="1:17" ht="367.5" thickTop="1" thickBot="1" x14ac:dyDescent="0.25">
      <c r="A103" s="486" t="s">
        <v>382</v>
      </c>
      <c r="B103" s="486" t="s">
        <v>381</v>
      </c>
      <c r="C103" s="486" t="s">
        <v>52</v>
      </c>
      <c r="D103" s="486" t="s">
        <v>500</v>
      </c>
      <c r="E103" s="249" t="s">
        <v>733</v>
      </c>
      <c r="F103" s="485" t="s">
        <v>445</v>
      </c>
      <c r="G103" s="485">
        <f t="shared" si="12"/>
        <v>1046775</v>
      </c>
      <c r="H103" s="485">
        <f>'d3'!E111-H104</f>
        <v>1046775</v>
      </c>
      <c r="I103" s="485">
        <f>'d3'!J111-I104</f>
        <v>0</v>
      </c>
      <c r="J103" s="485">
        <f>'d3'!K111-J104</f>
        <v>0</v>
      </c>
    </row>
    <row r="104" spans="1:17" ht="367.5" thickTop="1" thickBot="1" x14ac:dyDescent="0.25">
      <c r="A104" s="486" t="s">
        <v>382</v>
      </c>
      <c r="B104" s="486" t="s">
        <v>381</v>
      </c>
      <c r="C104" s="486" t="s">
        <v>52</v>
      </c>
      <c r="D104" s="486" t="s">
        <v>500</v>
      </c>
      <c r="E104" s="429" t="s">
        <v>1081</v>
      </c>
      <c r="F104" s="596" t="s">
        <v>1082</v>
      </c>
      <c r="G104" s="485">
        <f t="shared" si="12"/>
        <v>1578650</v>
      </c>
      <c r="H104" s="485">
        <f>(1284230+294420)</f>
        <v>1578650</v>
      </c>
      <c r="I104" s="485">
        <v>0</v>
      </c>
      <c r="J104" s="485">
        <v>0</v>
      </c>
    </row>
    <row r="105" spans="1:17" ht="230.25" thickTop="1" thickBot="1" x14ac:dyDescent="0.25">
      <c r="A105" s="486" t="s">
        <v>358</v>
      </c>
      <c r="B105" s="486" t="s">
        <v>359</v>
      </c>
      <c r="C105" s="486" t="s">
        <v>230</v>
      </c>
      <c r="D105" s="486" t="s">
        <v>830</v>
      </c>
      <c r="E105" s="249" t="s">
        <v>733</v>
      </c>
      <c r="F105" s="485" t="s">
        <v>445</v>
      </c>
      <c r="G105" s="485">
        <f t="shared" si="12"/>
        <v>500000</v>
      </c>
      <c r="H105" s="485">
        <f>'d3'!E113</f>
        <v>500000</v>
      </c>
      <c r="I105" s="485">
        <f>'d3'!J113</f>
        <v>0</v>
      </c>
      <c r="J105" s="485">
        <f>'d3'!K113</f>
        <v>0</v>
      </c>
    </row>
    <row r="106" spans="1:17" ht="184.5" thickTop="1" thickBot="1" x14ac:dyDescent="0.25">
      <c r="A106" s="486" t="s">
        <v>466</v>
      </c>
      <c r="B106" s="486" t="s">
        <v>408</v>
      </c>
      <c r="C106" s="486" t="s">
        <v>409</v>
      </c>
      <c r="D106" s="486" t="s">
        <v>407</v>
      </c>
      <c r="E106" s="429" t="s">
        <v>1208</v>
      </c>
      <c r="F106" s="747"/>
      <c r="G106" s="485">
        <f t="shared" si="12"/>
        <v>100040</v>
      </c>
      <c r="H106" s="485">
        <f>'d3'!E115</f>
        <v>100040</v>
      </c>
      <c r="I106" s="485">
        <f>'d3'!J115</f>
        <v>0</v>
      </c>
      <c r="J106" s="485">
        <f>'d3'!K115</f>
        <v>0</v>
      </c>
    </row>
    <row r="107" spans="1:17" ht="230.25" thickTop="1" thickBot="1" x14ac:dyDescent="0.25">
      <c r="A107" s="486" t="s">
        <v>360</v>
      </c>
      <c r="B107" s="486" t="s">
        <v>362</v>
      </c>
      <c r="C107" s="486" t="s">
        <v>216</v>
      </c>
      <c r="D107" s="434" t="s">
        <v>364</v>
      </c>
      <c r="E107" s="249" t="s">
        <v>733</v>
      </c>
      <c r="F107" s="485" t="s">
        <v>445</v>
      </c>
      <c r="G107" s="485">
        <f t="shared" si="12"/>
        <v>7916379</v>
      </c>
      <c r="H107" s="406">
        <f>'d3'!E117-H108</f>
        <v>7771379</v>
      </c>
      <c r="I107" s="485">
        <f>'d3'!J117-I108</f>
        <v>145000</v>
      </c>
      <c r="J107" s="485">
        <f>'d3'!K117-J108</f>
        <v>0</v>
      </c>
    </row>
    <row r="108" spans="1:17" ht="230.25" thickTop="1" thickBot="1" x14ac:dyDescent="0.25">
      <c r="A108" s="486" t="s">
        <v>360</v>
      </c>
      <c r="B108" s="486" t="s">
        <v>362</v>
      </c>
      <c r="C108" s="486" t="s">
        <v>216</v>
      </c>
      <c r="D108" s="434" t="s">
        <v>364</v>
      </c>
      <c r="E108" s="249" t="s">
        <v>495</v>
      </c>
      <c r="F108" s="361" t="s">
        <v>496</v>
      </c>
      <c r="G108" s="485">
        <f>H108+I108</f>
        <v>463983</v>
      </c>
      <c r="H108" s="406">
        <f>(34018+31058+10567)</f>
        <v>75643</v>
      </c>
      <c r="I108" s="485">
        <f>(136399+40788+138259+72894)</f>
        <v>388340</v>
      </c>
      <c r="J108" s="485">
        <f>(136399+40788+138259+72894)</f>
        <v>388340</v>
      </c>
    </row>
    <row r="109" spans="1:17" ht="230.25" thickTop="1" thickBot="1" x14ac:dyDescent="0.25">
      <c r="A109" s="486" t="s">
        <v>361</v>
      </c>
      <c r="B109" s="486" t="s">
        <v>363</v>
      </c>
      <c r="C109" s="486" t="s">
        <v>216</v>
      </c>
      <c r="D109" s="434" t="s">
        <v>365</v>
      </c>
      <c r="E109" s="249" t="s">
        <v>733</v>
      </c>
      <c r="F109" s="485" t="s">
        <v>445</v>
      </c>
      <c r="G109" s="485">
        <f t="shared" si="12"/>
        <v>23292633</v>
      </c>
      <c r="H109" s="485">
        <f>'d3'!E118-H110-H111</f>
        <v>23142633</v>
      </c>
      <c r="I109" s="485">
        <f>'d3'!J118-I110-I111</f>
        <v>150000</v>
      </c>
      <c r="J109" s="485">
        <f>'d3'!K118-J110-J111</f>
        <v>150000</v>
      </c>
    </row>
    <row r="110" spans="1:17" ht="138.75" thickTop="1" thickBot="1" x14ac:dyDescent="0.25">
      <c r="A110" s="486" t="s">
        <v>361</v>
      </c>
      <c r="B110" s="486" t="s">
        <v>363</v>
      </c>
      <c r="C110" s="486" t="s">
        <v>216</v>
      </c>
      <c r="D110" s="434" t="s">
        <v>365</v>
      </c>
      <c r="E110" s="485" t="s">
        <v>1079</v>
      </c>
      <c r="F110" s="485" t="s">
        <v>1080</v>
      </c>
      <c r="G110" s="485">
        <f t="shared" si="12"/>
        <v>700000</v>
      </c>
      <c r="H110" s="485">
        <f>200000+500000</f>
        <v>700000</v>
      </c>
      <c r="I110" s="485">
        <v>0</v>
      </c>
      <c r="J110" s="485">
        <v>0</v>
      </c>
    </row>
    <row r="111" spans="1:17" ht="184.5" thickTop="1" thickBot="1" x14ac:dyDescent="0.25">
      <c r="A111" s="486" t="s">
        <v>361</v>
      </c>
      <c r="B111" s="486" t="s">
        <v>363</v>
      </c>
      <c r="C111" s="486" t="s">
        <v>216</v>
      </c>
      <c r="D111" s="434" t="s">
        <v>365</v>
      </c>
      <c r="E111" s="429" t="s">
        <v>1081</v>
      </c>
      <c r="F111" s="596" t="s">
        <v>1082</v>
      </c>
      <c r="G111" s="485">
        <f t="shared" si="12"/>
        <v>3936490</v>
      </c>
      <c r="H111" s="485">
        <f>3000000+476490+400000+60000</f>
        <v>3936490</v>
      </c>
      <c r="I111" s="485">
        <v>0</v>
      </c>
      <c r="J111" s="485">
        <v>0</v>
      </c>
      <c r="K111" s="306"/>
    </row>
    <row r="112" spans="1:17" ht="184.5" thickTop="1" thickBot="1" x14ac:dyDescent="0.25">
      <c r="A112" s="486" t="s">
        <v>403</v>
      </c>
      <c r="B112" s="486" t="s">
        <v>401</v>
      </c>
      <c r="C112" s="486" t="s">
        <v>373</v>
      </c>
      <c r="D112" s="434" t="s">
        <v>402</v>
      </c>
      <c r="E112" s="429" t="s">
        <v>1081</v>
      </c>
      <c r="F112" s="596" t="s">
        <v>1082</v>
      </c>
      <c r="G112" s="485">
        <f t="shared" si="12"/>
        <v>4000000</v>
      </c>
      <c r="H112" s="485">
        <f>'d3'!E121</f>
        <v>0</v>
      </c>
      <c r="I112" s="485">
        <f>'d3'!J121</f>
        <v>4000000</v>
      </c>
      <c r="J112" s="485">
        <f>'d3'!K121</f>
        <v>4000000</v>
      </c>
    </row>
    <row r="113" spans="1:17" s="725" customFormat="1" ht="230.25" thickTop="1" thickBot="1" x14ac:dyDescent="0.25">
      <c r="A113" s="731" t="s">
        <v>1195</v>
      </c>
      <c r="B113" s="731" t="s">
        <v>1196</v>
      </c>
      <c r="C113" s="731" t="s">
        <v>330</v>
      </c>
      <c r="D113" s="731" t="s">
        <v>1197</v>
      </c>
      <c r="E113" s="249" t="s">
        <v>733</v>
      </c>
      <c r="F113" s="726" t="s">
        <v>445</v>
      </c>
      <c r="G113" s="726">
        <f t="shared" si="12"/>
        <v>220000</v>
      </c>
      <c r="H113" s="736">
        <f>'d3'!E125</f>
        <v>0</v>
      </c>
      <c r="I113" s="736">
        <f>'d3'!J125</f>
        <v>220000</v>
      </c>
      <c r="J113" s="736">
        <f>'d3'!K125</f>
        <v>220000</v>
      </c>
      <c r="K113" s="737"/>
      <c r="L113" s="737"/>
      <c r="M113" s="737"/>
      <c r="N113" s="737"/>
      <c r="O113" s="737"/>
      <c r="P113" s="737"/>
      <c r="Q113" s="737"/>
    </row>
    <row r="114" spans="1:17" ht="409.6" thickTop="1" thickBot="1" x14ac:dyDescent="0.7">
      <c r="A114" s="875" t="s">
        <v>461</v>
      </c>
      <c r="B114" s="875" t="s">
        <v>371</v>
      </c>
      <c r="C114" s="875" t="s">
        <v>191</v>
      </c>
      <c r="D114" s="420" t="s">
        <v>483</v>
      </c>
      <c r="E114" s="875" t="s">
        <v>1071</v>
      </c>
      <c r="F114" s="875" t="s">
        <v>1072</v>
      </c>
      <c r="G114" s="915">
        <f>H114+I114</f>
        <v>322000</v>
      </c>
      <c r="H114" s="915">
        <f>'d3'!E128</f>
        <v>0</v>
      </c>
      <c r="I114" s="915">
        <f>'d3'!J128</f>
        <v>322000</v>
      </c>
      <c r="J114" s="915">
        <f>'d3'!K128</f>
        <v>0</v>
      </c>
    </row>
    <row r="115" spans="1:17" ht="184.5" thickTop="1" thickBot="1" x14ac:dyDescent="0.25">
      <c r="A115" s="876"/>
      <c r="B115" s="876"/>
      <c r="C115" s="876"/>
      <c r="D115" s="424" t="s">
        <v>484</v>
      </c>
      <c r="E115" s="876"/>
      <c r="F115" s="876"/>
      <c r="G115" s="917"/>
      <c r="H115" s="917"/>
      <c r="I115" s="918"/>
      <c r="J115" s="918"/>
      <c r="K115" s="300"/>
      <c r="L115" s="303"/>
      <c r="M115" s="303"/>
    </row>
    <row r="116" spans="1:17" ht="181.5" thickTop="1" thickBot="1" x14ac:dyDescent="0.25">
      <c r="A116" s="680">
        <v>1000000</v>
      </c>
      <c r="B116" s="680"/>
      <c r="C116" s="680"/>
      <c r="D116" s="681" t="s">
        <v>24</v>
      </c>
      <c r="E116" s="682"/>
      <c r="F116" s="683"/>
      <c r="G116" s="683">
        <f>G117</f>
        <v>140459607</v>
      </c>
      <c r="H116" s="683">
        <f t="shared" ref="H116:J116" si="14">H117</f>
        <v>123163207</v>
      </c>
      <c r="I116" s="682">
        <f t="shared" si="14"/>
        <v>17296400</v>
      </c>
      <c r="J116" s="682">
        <f t="shared" si="14"/>
        <v>7466000</v>
      </c>
      <c r="K116" s="311" t="b">
        <f>H116='d3'!E131</f>
        <v>1</v>
      </c>
      <c r="L116" s="312" t="b">
        <f>I116='d3'!J131</f>
        <v>1</v>
      </c>
      <c r="M116" s="312" t="b">
        <f>J116='d3'!K131</f>
        <v>1</v>
      </c>
    </row>
    <row r="117" spans="1:17" ht="181.5" thickTop="1" thickBot="1" x14ac:dyDescent="0.25">
      <c r="A117" s="684">
        <v>1010000</v>
      </c>
      <c r="B117" s="684"/>
      <c r="C117" s="684"/>
      <c r="D117" s="685" t="s">
        <v>41</v>
      </c>
      <c r="E117" s="686"/>
      <c r="F117" s="686"/>
      <c r="G117" s="686">
        <f>SUM(G118:G132)</f>
        <v>140459607</v>
      </c>
      <c r="H117" s="686">
        <f>SUM(H118:H132)</f>
        <v>123163207</v>
      </c>
      <c r="I117" s="686">
        <f>SUM(I118:I132)</f>
        <v>17296400</v>
      </c>
      <c r="J117" s="686">
        <f>SUM(J118:J132)</f>
        <v>7466000</v>
      </c>
    </row>
    <row r="118" spans="1:17" ht="184.5" thickTop="1" thickBot="1" x14ac:dyDescent="0.25">
      <c r="A118" s="486" t="s">
        <v>831</v>
      </c>
      <c r="B118" s="486" t="s">
        <v>832</v>
      </c>
      <c r="C118" s="486" t="s">
        <v>206</v>
      </c>
      <c r="D118" s="486" t="s">
        <v>558</v>
      </c>
      <c r="E118" s="485" t="s">
        <v>1077</v>
      </c>
      <c r="F118" s="596" t="s">
        <v>1078</v>
      </c>
      <c r="G118" s="485">
        <f>H118+I118</f>
        <v>79031685</v>
      </c>
      <c r="H118" s="485">
        <f>'d3'!E133</f>
        <v>68969585</v>
      </c>
      <c r="I118" s="485">
        <f>'d3'!J133</f>
        <v>10062100</v>
      </c>
      <c r="J118" s="485">
        <f>'d3'!K133</f>
        <v>1000000</v>
      </c>
    </row>
    <row r="119" spans="1:17" ht="243" customHeight="1" thickTop="1" thickBot="1" x14ac:dyDescent="0.25">
      <c r="A119" s="486" t="s">
        <v>192</v>
      </c>
      <c r="B119" s="486" t="s">
        <v>193</v>
      </c>
      <c r="C119" s="486" t="s">
        <v>195</v>
      </c>
      <c r="D119" s="486" t="s">
        <v>196</v>
      </c>
      <c r="E119" s="596" t="s">
        <v>1077</v>
      </c>
      <c r="F119" s="596" t="s">
        <v>1078</v>
      </c>
      <c r="G119" s="485">
        <f t="shared" ref="G119:G132" si="15">H119+I119</f>
        <v>1030790</v>
      </c>
      <c r="H119" s="485">
        <f>'d3'!E135</f>
        <v>1030790</v>
      </c>
      <c r="I119" s="485">
        <f>'d3'!J135</f>
        <v>0</v>
      </c>
      <c r="J119" s="485">
        <f>'d3'!K135</f>
        <v>0</v>
      </c>
    </row>
    <row r="120" spans="1:17" ht="184.5" thickTop="1" thickBot="1" x14ac:dyDescent="0.25">
      <c r="A120" s="486" t="s">
        <v>197</v>
      </c>
      <c r="B120" s="486" t="s">
        <v>198</v>
      </c>
      <c r="C120" s="486" t="s">
        <v>199</v>
      </c>
      <c r="D120" s="486" t="s">
        <v>200</v>
      </c>
      <c r="E120" s="596" t="s">
        <v>1077</v>
      </c>
      <c r="F120" s="596" t="s">
        <v>1078</v>
      </c>
      <c r="G120" s="485">
        <f t="shared" si="15"/>
        <v>13740395</v>
      </c>
      <c r="H120" s="485">
        <f>'d3'!E136-H121-H122</f>
        <v>13645395</v>
      </c>
      <c r="I120" s="485">
        <f>'d3'!J136-I121-I122</f>
        <v>95000</v>
      </c>
      <c r="J120" s="485">
        <f>'d3'!K136-J121-J122</f>
        <v>0</v>
      </c>
    </row>
    <row r="121" spans="1:17" ht="230.25" thickTop="1" thickBot="1" x14ac:dyDescent="0.25">
      <c r="A121" s="486" t="s">
        <v>197</v>
      </c>
      <c r="B121" s="486" t="s">
        <v>198</v>
      </c>
      <c r="C121" s="486" t="s">
        <v>199</v>
      </c>
      <c r="D121" s="486" t="s">
        <v>200</v>
      </c>
      <c r="E121" s="249" t="s">
        <v>495</v>
      </c>
      <c r="F121" s="361" t="s">
        <v>496</v>
      </c>
      <c r="G121" s="485">
        <f>H121+I121</f>
        <v>300000</v>
      </c>
      <c r="H121" s="406">
        <f>(56000+55000)</f>
        <v>111000</v>
      </c>
      <c r="I121" s="485">
        <f>(10000+84000+28000+67000)</f>
        <v>189000</v>
      </c>
      <c r="J121" s="485">
        <f>(10000+84000+28000+67000)</f>
        <v>189000</v>
      </c>
    </row>
    <row r="122" spans="1:17" s="669" customFormat="1" ht="276" thickTop="1" thickBot="1" x14ac:dyDescent="0.25">
      <c r="A122" s="675" t="s">
        <v>197</v>
      </c>
      <c r="B122" s="675" t="s">
        <v>198</v>
      </c>
      <c r="C122" s="675" t="s">
        <v>199</v>
      </c>
      <c r="D122" s="675" t="s">
        <v>200</v>
      </c>
      <c r="E122" s="671" t="s">
        <v>1075</v>
      </c>
      <c r="F122" s="674" t="s">
        <v>1076</v>
      </c>
      <c r="G122" s="674">
        <f>H122+I122</f>
        <v>766000</v>
      </c>
      <c r="H122" s="676">
        <v>0</v>
      </c>
      <c r="I122" s="674">
        <v>766000</v>
      </c>
      <c r="J122" s="674">
        <v>766000</v>
      </c>
      <c r="K122" s="678"/>
      <c r="L122" s="678"/>
      <c r="M122" s="678"/>
      <c r="N122" s="678"/>
      <c r="O122" s="678"/>
      <c r="P122" s="678"/>
      <c r="Q122" s="678"/>
    </row>
    <row r="123" spans="1:17" ht="184.5" thickTop="1" thickBot="1" x14ac:dyDescent="0.25">
      <c r="A123" s="486" t="s">
        <v>201</v>
      </c>
      <c r="B123" s="486" t="s">
        <v>202</v>
      </c>
      <c r="C123" s="486" t="s">
        <v>199</v>
      </c>
      <c r="D123" s="486" t="s">
        <v>511</v>
      </c>
      <c r="E123" s="596" t="s">
        <v>1077</v>
      </c>
      <c r="F123" s="596" t="s">
        <v>1078</v>
      </c>
      <c r="G123" s="485">
        <f t="shared" si="15"/>
        <v>7102055</v>
      </c>
      <c r="H123" s="485">
        <f>'d3'!E137</f>
        <v>1856955</v>
      </c>
      <c r="I123" s="485">
        <f>'d3'!J137</f>
        <v>5245100</v>
      </c>
      <c r="J123" s="485">
        <f>'d3'!K137</f>
        <v>5164900</v>
      </c>
    </row>
    <row r="124" spans="1:17" ht="184.5" thickTop="1" thickBot="1" x14ac:dyDescent="0.25">
      <c r="A124" s="486" t="s">
        <v>203</v>
      </c>
      <c r="B124" s="486" t="s">
        <v>194</v>
      </c>
      <c r="C124" s="486" t="s">
        <v>204</v>
      </c>
      <c r="D124" s="486" t="s">
        <v>205</v>
      </c>
      <c r="E124" s="596" t="s">
        <v>1077</v>
      </c>
      <c r="F124" s="596" t="s">
        <v>1078</v>
      </c>
      <c r="G124" s="485">
        <f t="shared" si="15"/>
        <v>13945815</v>
      </c>
      <c r="H124" s="485">
        <f>'d3'!E138-H125</f>
        <v>13468115</v>
      </c>
      <c r="I124" s="485">
        <f>'d3'!J138-I125</f>
        <v>477700</v>
      </c>
      <c r="J124" s="485">
        <f>'d3'!K138-J125</f>
        <v>21600</v>
      </c>
    </row>
    <row r="125" spans="1:17" ht="230.25" thickTop="1" thickBot="1" x14ac:dyDescent="0.25">
      <c r="A125" s="486" t="s">
        <v>203</v>
      </c>
      <c r="B125" s="486" t="s">
        <v>194</v>
      </c>
      <c r="C125" s="486" t="s">
        <v>204</v>
      </c>
      <c r="D125" s="486" t="s">
        <v>205</v>
      </c>
      <c r="E125" s="249" t="s">
        <v>495</v>
      </c>
      <c r="F125" s="361" t="s">
        <v>496</v>
      </c>
      <c r="G125" s="485">
        <f>H125+I125</f>
        <v>149300</v>
      </c>
      <c r="H125" s="406">
        <v>24800</v>
      </c>
      <c r="I125" s="485">
        <v>124500</v>
      </c>
      <c r="J125" s="485">
        <v>124500</v>
      </c>
    </row>
    <row r="126" spans="1:17" ht="184.5" thickTop="1" thickBot="1" x14ac:dyDescent="0.25">
      <c r="A126" s="486" t="s">
        <v>366</v>
      </c>
      <c r="B126" s="486" t="s">
        <v>367</v>
      </c>
      <c r="C126" s="486" t="s">
        <v>207</v>
      </c>
      <c r="D126" s="486" t="s">
        <v>512</v>
      </c>
      <c r="E126" s="596" t="s">
        <v>1077</v>
      </c>
      <c r="F126" s="596" t="s">
        <v>1078</v>
      </c>
      <c r="G126" s="485">
        <f t="shared" si="15"/>
        <v>18515270</v>
      </c>
      <c r="H126" s="485">
        <f>'d3'!E140-H127</f>
        <v>18378270</v>
      </c>
      <c r="I126" s="485">
        <f>'d3'!J140-I127</f>
        <v>137000</v>
      </c>
      <c r="J126" s="485">
        <f>'d3'!K140-J127</f>
        <v>0</v>
      </c>
    </row>
    <row r="127" spans="1:17" ht="199.5" customHeight="1" thickTop="1" thickBot="1" x14ac:dyDescent="0.25">
      <c r="A127" s="486" t="s">
        <v>366</v>
      </c>
      <c r="B127" s="486" t="s">
        <v>367</v>
      </c>
      <c r="C127" s="486" t="s">
        <v>207</v>
      </c>
      <c r="D127" s="486" t="s">
        <v>512</v>
      </c>
      <c r="E127" s="485" t="s">
        <v>747</v>
      </c>
      <c r="F127" s="485" t="s">
        <v>444</v>
      </c>
      <c r="G127" s="485">
        <f t="shared" si="15"/>
        <v>804000</v>
      </c>
      <c r="H127" s="485">
        <v>804000</v>
      </c>
      <c r="I127" s="485">
        <v>0</v>
      </c>
      <c r="J127" s="485">
        <v>0</v>
      </c>
    </row>
    <row r="128" spans="1:17" ht="246" customHeight="1" thickTop="1" thickBot="1" x14ac:dyDescent="0.25">
      <c r="A128" s="486" t="s">
        <v>368</v>
      </c>
      <c r="B128" s="486" t="s">
        <v>369</v>
      </c>
      <c r="C128" s="486" t="s">
        <v>207</v>
      </c>
      <c r="D128" s="486" t="s">
        <v>513</v>
      </c>
      <c r="E128" s="596" t="s">
        <v>1077</v>
      </c>
      <c r="F128" s="596" t="s">
        <v>1078</v>
      </c>
      <c r="G128" s="485">
        <f t="shared" si="15"/>
        <v>3837160</v>
      </c>
      <c r="H128" s="485">
        <f>'d3'!E141-H129-H130</f>
        <v>3837160</v>
      </c>
      <c r="I128" s="485">
        <f>'d3'!J141-I129-I130</f>
        <v>0</v>
      </c>
      <c r="J128" s="485">
        <f>'d3'!K141-J129-J130</f>
        <v>0</v>
      </c>
    </row>
    <row r="129" spans="1:17" ht="178.5" customHeight="1" thickTop="1" thickBot="1" x14ac:dyDescent="0.25">
      <c r="A129" s="486" t="s">
        <v>368</v>
      </c>
      <c r="B129" s="486" t="s">
        <v>369</v>
      </c>
      <c r="C129" s="486" t="s">
        <v>207</v>
      </c>
      <c r="D129" s="486" t="s">
        <v>513</v>
      </c>
      <c r="E129" s="485" t="s">
        <v>747</v>
      </c>
      <c r="F129" s="485" t="s">
        <v>444</v>
      </c>
      <c r="G129" s="485">
        <f t="shared" si="15"/>
        <v>315000</v>
      </c>
      <c r="H129" s="485">
        <v>315000</v>
      </c>
      <c r="I129" s="485">
        <v>0</v>
      </c>
      <c r="J129" s="485">
        <v>0</v>
      </c>
    </row>
    <row r="130" spans="1:17" ht="310.7" customHeight="1" thickTop="1" thickBot="1" x14ac:dyDescent="0.25">
      <c r="A130" s="486" t="s">
        <v>368</v>
      </c>
      <c r="B130" s="486" t="s">
        <v>369</v>
      </c>
      <c r="C130" s="486" t="s">
        <v>207</v>
      </c>
      <c r="D130" s="486" t="s">
        <v>513</v>
      </c>
      <c r="E130" s="597" t="s">
        <v>1075</v>
      </c>
      <c r="F130" s="596" t="s">
        <v>1076</v>
      </c>
      <c r="G130" s="485">
        <f t="shared" si="15"/>
        <v>164000</v>
      </c>
      <c r="H130" s="485">
        <v>164000</v>
      </c>
      <c r="I130" s="485">
        <v>0</v>
      </c>
      <c r="J130" s="485">
        <v>0</v>
      </c>
      <c r="K130" s="230"/>
      <c r="L130" s="230"/>
    </row>
    <row r="131" spans="1:17" s="669" customFormat="1" ht="310.7" customHeight="1" thickTop="1" thickBot="1" x14ac:dyDescent="0.25">
      <c r="A131" s="673" t="s">
        <v>1174</v>
      </c>
      <c r="B131" s="673" t="s">
        <v>222</v>
      </c>
      <c r="C131" s="673" t="s">
        <v>191</v>
      </c>
      <c r="D131" s="673" t="s">
        <v>36</v>
      </c>
      <c r="E131" s="394" t="s">
        <v>1071</v>
      </c>
      <c r="F131" s="674" t="s">
        <v>1072</v>
      </c>
      <c r="G131" s="674">
        <f t="shared" si="15"/>
        <v>200000</v>
      </c>
      <c r="H131" s="674">
        <f>'d3'!E144</f>
        <v>0</v>
      </c>
      <c r="I131" s="674">
        <f>'d3'!J144</f>
        <v>200000</v>
      </c>
      <c r="J131" s="679">
        <f>'d3'!K144</f>
        <v>200000</v>
      </c>
      <c r="K131" s="323"/>
      <c r="L131" s="323"/>
      <c r="M131" s="678"/>
      <c r="N131" s="678"/>
      <c r="O131" s="678"/>
      <c r="P131" s="678"/>
      <c r="Q131" s="678"/>
    </row>
    <row r="132" spans="1:17" s="318" customFormat="1" ht="230.25" thickTop="1" thickBot="1" x14ac:dyDescent="0.25">
      <c r="A132" s="487" t="s">
        <v>746</v>
      </c>
      <c r="B132" s="487" t="s">
        <v>399</v>
      </c>
      <c r="C132" s="487" t="s">
        <v>45</v>
      </c>
      <c r="D132" s="487" t="s">
        <v>400</v>
      </c>
      <c r="E132" s="394" t="s">
        <v>1071</v>
      </c>
      <c r="F132" s="593" t="s">
        <v>1072</v>
      </c>
      <c r="G132" s="485">
        <f t="shared" si="15"/>
        <v>558137</v>
      </c>
      <c r="H132" s="485">
        <f>'d3'!E147</f>
        <v>558137</v>
      </c>
      <c r="I132" s="485">
        <f>'d3'!J147</f>
        <v>0</v>
      </c>
      <c r="J132" s="485">
        <f>'d3'!K147</f>
        <v>0</v>
      </c>
      <c r="K132" s="323"/>
      <c r="L132" s="323"/>
      <c r="M132" s="319"/>
      <c r="N132" s="319"/>
      <c r="O132" s="319"/>
      <c r="P132" s="319"/>
      <c r="Q132" s="319"/>
    </row>
    <row r="133" spans="1:17" ht="163.5" customHeight="1" thickTop="1" thickBot="1" x14ac:dyDescent="0.25">
      <c r="A133" s="680" t="s">
        <v>22</v>
      </c>
      <c r="B133" s="680"/>
      <c r="C133" s="680"/>
      <c r="D133" s="681" t="s">
        <v>23</v>
      </c>
      <c r="E133" s="682"/>
      <c r="F133" s="683"/>
      <c r="G133" s="683">
        <f>G134</f>
        <v>94409711.730000004</v>
      </c>
      <c r="H133" s="683">
        <f t="shared" ref="H133:J133" si="16">H134</f>
        <v>88014266.530000001</v>
      </c>
      <c r="I133" s="682">
        <f t="shared" si="16"/>
        <v>6395445.2000000002</v>
      </c>
      <c r="J133" s="682">
        <f t="shared" si="16"/>
        <v>4267458</v>
      </c>
      <c r="K133" s="311" t="b">
        <f>H133='d3'!E149+'d4'!F12</f>
        <v>1</v>
      </c>
      <c r="L133" s="312" t="b">
        <f>I133='d3'!J148+'d4'!G12</f>
        <v>1</v>
      </c>
      <c r="M133" s="312" t="b">
        <f>J133='d3'!K148+'d4'!H12</f>
        <v>1</v>
      </c>
    </row>
    <row r="134" spans="1:17" ht="175.7" customHeight="1" thickTop="1" thickBot="1" x14ac:dyDescent="0.25">
      <c r="A134" s="684" t="s">
        <v>21</v>
      </c>
      <c r="B134" s="684"/>
      <c r="C134" s="684"/>
      <c r="D134" s="685" t="s">
        <v>37</v>
      </c>
      <c r="E134" s="686"/>
      <c r="F134" s="686"/>
      <c r="G134" s="686">
        <f>SUM(G135:G149)</f>
        <v>94409711.730000004</v>
      </c>
      <c r="H134" s="686">
        <f>SUM(H135:H149)</f>
        <v>88014266.530000001</v>
      </c>
      <c r="I134" s="686">
        <f>SUM(I135:I149)</f>
        <v>6395445.2000000002</v>
      </c>
      <c r="J134" s="686">
        <f>SUM(J135:J149)</f>
        <v>4267458</v>
      </c>
    </row>
    <row r="135" spans="1:17" ht="321.75" thickTop="1" thickBot="1" x14ac:dyDescent="0.25">
      <c r="A135" s="486" t="s">
        <v>208</v>
      </c>
      <c r="B135" s="486" t="s">
        <v>209</v>
      </c>
      <c r="C135" s="486" t="s">
        <v>210</v>
      </c>
      <c r="D135" s="487" t="s">
        <v>833</v>
      </c>
      <c r="E135" s="249" t="s">
        <v>749</v>
      </c>
      <c r="F135" s="485" t="s">
        <v>446</v>
      </c>
      <c r="G135" s="485">
        <f t="shared" ref="G135:G136" si="17">H135+I135</f>
        <v>5303095</v>
      </c>
      <c r="H135" s="406">
        <f>'d3'!E152</f>
        <v>5303095</v>
      </c>
      <c r="I135" s="425">
        <f>'d3'!J152</f>
        <v>0</v>
      </c>
      <c r="J135" s="485">
        <f>'d3'!K152</f>
        <v>0</v>
      </c>
    </row>
    <row r="136" spans="1:17" ht="321.75" thickTop="1" thickBot="1" x14ac:dyDescent="0.25">
      <c r="A136" s="486" t="s">
        <v>214</v>
      </c>
      <c r="B136" s="486" t="s">
        <v>215</v>
      </c>
      <c r="C136" s="486" t="s">
        <v>210</v>
      </c>
      <c r="D136" s="486" t="s">
        <v>10</v>
      </c>
      <c r="E136" s="249" t="s">
        <v>749</v>
      </c>
      <c r="F136" s="485" t="s">
        <v>446</v>
      </c>
      <c r="G136" s="485">
        <f t="shared" si="17"/>
        <v>5494267</v>
      </c>
      <c r="H136" s="406">
        <f>'d3'!E154</f>
        <v>4435310</v>
      </c>
      <c r="I136" s="425">
        <f>'d3'!J154</f>
        <v>1058957</v>
      </c>
      <c r="J136" s="485">
        <f>'d3'!K154</f>
        <v>733957</v>
      </c>
    </row>
    <row r="137" spans="1:17" ht="321.75" thickTop="1" thickBot="1" x14ac:dyDescent="0.25">
      <c r="A137" s="486" t="s">
        <v>385</v>
      </c>
      <c r="B137" s="486" t="s">
        <v>386</v>
      </c>
      <c r="C137" s="486" t="s">
        <v>210</v>
      </c>
      <c r="D137" s="486" t="s">
        <v>387</v>
      </c>
      <c r="E137" s="249" t="s">
        <v>749</v>
      </c>
      <c r="F137" s="485" t="s">
        <v>446</v>
      </c>
      <c r="G137" s="485">
        <f t="shared" ref="G137:G141" si="18">H137+I137</f>
        <v>6782786</v>
      </c>
      <c r="H137" s="406">
        <f>'d3'!E155</f>
        <v>6779786</v>
      </c>
      <c r="I137" s="425">
        <f>'d3'!J155</f>
        <v>3000</v>
      </c>
      <c r="J137" s="485">
        <f>'d3'!K155</f>
        <v>0</v>
      </c>
    </row>
    <row r="138" spans="1:17" ht="321.75" thickTop="1" thickBot="1" x14ac:dyDescent="0.25">
      <c r="A138" s="486" t="s">
        <v>46</v>
      </c>
      <c r="B138" s="486" t="s">
        <v>211</v>
      </c>
      <c r="C138" s="486" t="s">
        <v>220</v>
      </c>
      <c r="D138" s="486" t="s">
        <v>47</v>
      </c>
      <c r="E138" s="249" t="s">
        <v>749</v>
      </c>
      <c r="F138" s="485" t="s">
        <v>446</v>
      </c>
      <c r="G138" s="485">
        <f t="shared" si="18"/>
        <v>12164902</v>
      </c>
      <c r="H138" s="485">
        <f>'d3'!E158</f>
        <v>12164902</v>
      </c>
      <c r="I138" s="425">
        <f>'d3'!J158</f>
        <v>0</v>
      </c>
      <c r="J138" s="485">
        <f>'d3'!K158</f>
        <v>0</v>
      </c>
    </row>
    <row r="139" spans="1:17" ht="321.75" thickTop="1" thickBot="1" x14ac:dyDescent="0.25">
      <c r="A139" s="486" t="s">
        <v>48</v>
      </c>
      <c r="B139" s="486" t="s">
        <v>212</v>
      </c>
      <c r="C139" s="486" t="s">
        <v>220</v>
      </c>
      <c r="D139" s="486" t="s">
        <v>4</v>
      </c>
      <c r="E139" s="249" t="s">
        <v>749</v>
      </c>
      <c r="F139" s="485" t="s">
        <v>446</v>
      </c>
      <c r="G139" s="485">
        <f t="shared" si="18"/>
        <v>1909585</v>
      </c>
      <c r="H139" s="485">
        <f>'d3'!E159</f>
        <v>1909585</v>
      </c>
      <c r="I139" s="425">
        <f>'d3'!J159</f>
        <v>0</v>
      </c>
      <c r="J139" s="485">
        <f>'d3'!K159</f>
        <v>0</v>
      </c>
    </row>
    <row r="140" spans="1:17" ht="321.75" thickTop="1" thickBot="1" x14ac:dyDescent="0.25">
      <c r="A140" s="486" t="s">
        <v>49</v>
      </c>
      <c r="B140" s="486" t="s">
        <v>213</v>
      </c>
      <c r="C140" s="486" t="s">
        <v>220</v>
      </c>
      <c r="D140" s="486" t="s">
        <v>383</v>
      </c>
      <c r="E140" s="249" t="s">
        <v>749</v>
      </c>
      <c r="F140" s="485" t="s">
        <v>446</v>
      </c>
      <c r="G140" s="485">
        <f t="shared" si="18"/>
        <v>60300</v>
      </c>
      <c r="H140" s="485">
        <f>'d3'!E161</f>
        <v>60300</v>
      </c>
      <c r="I140" s="425">
        <f>'d3'!J161</f>
        <v>0</v>
      </c>
      <c r="J140" s="485">
        <f>'d3'!K161</f>
        <v>0</v>
      </c>
    </row>
    <row r="141" spans="1:17" ht="321.75" thickTop="1" thickBot="1" x14ac:dyDescent="0.25">
      <c r="A141" s="486" t="s">
        <v>28</v>
      </c>
      <c r="B141" s="486" t="s">
        <v>217</v>
      </c>
      <c r="C141" s="486" t="s">
        <v>220</v>
      </c>
      <c r="D141" s="486" t="s">
        <v>50</v>
      </c>
      <c r="E141" s="249" t="s">
        <v>749</v>
      </c>
      <c r="F141" s="485" t="s">
        <v>446</v>
      </c>
      <c r="G141" s="485">
        <f t="shared" si="18"/>
        <v>48217630</v>
      </c>
      <c r="H141" s="485">
        <f>'d3'!E163-H142</f>
        <v>44376538</v>
      </c>
      <c r="I141" s="425">
        <f>'d3'!J163-I142</f>
        <v>3841092</v>
      </c>
      <c r="J141" s="485">
        <f>'d3'!K163-J142</f>
        <v>2264847</v>
      </c>
    </row>
    <row r="142" spans="1:17" ht="230.25" thickTop="1" thickBot="1" x14ac:dyDescent="0.25">
      <c r="A142" s="486" t="s">
        <v>28</v>
      </c>
      <c r="B142" s="486" t="s">
        <v>217</v>
      </c>
      <c r="C142" s="486" t="s">
        <v>220</v>
      </c>
      <c r="D142" s="486" t="s">
        <v>50</v>
      </c>
      <c r="E142" s="249" t="s">
        <v>495</v>
      </c>
      <c r="F142" s="361" t="s">
        <v>496</v>
      </c>
      <c r="G142" s="485">
        <f>H142+I142</f>
        <v>414145</v>
      </c>
      <c r="H142" s="406">
        <f>(27100+117565+67500)</f>
        <v>212165</v>
      </c>
      <c r="I142" s="485">
        <f>(91670+32400+77910)</f>
        <v>201980</v>
      </c>
      <c r="J142" s="485">
        <f>(91670+32400+77910)</f>
        <v>201980</v>
      </c>
    </row>
    <row r="143" spans="1:17" ht="321.75" thickTop="1" thickBot="1" x14ac:dyDescent="0.25">
      <c r="A143" s="486" t="s">
        <v>29</v>
      </c>
      <c r="B143" s="486" t="s">
        <v>218</v>
      </c>
      <c r="C143" s="486" t="s">
        <v>220</v>
      </c>
      <c r="D143" s="486" t="s">
        <v>51</v>
      </c>
      <c r="E143" s="249" t="s">
        <v>749</v>
      </c>
      <c r="F143" s="485" t="s">
        <v>446</v>
      </c>
      <c r="G143" s="485">
        <f t="shared" ref="G143:G149" si="19">H143+I143</f>
        <v>8112790</v>
      </c>
      <c r="H143" s="485">
        <f>'d3'!E164</f>
        <v>8097590</v>
      </c>
      <c r="I143" s="425">
        <f>'d3'!J164</f>
        <v>15200</v>
      </c>
      <c r="J143" s="485">
        <f>'d3'!K164</f>
        <v>15200</v>
      </c>
    </row>
    <row r="144" spans="1:17" ht="321.75" thickTop="1" thickBot="1" x14ac:dyDescent="0.25">
      <c r="A144" s="498" t="s">
        <v>30</v>
      </c>
      <c r="B144" s="498" t="s">
        <v>219</v>
      </c>
      <c r="C144" s="498" t="s">
        <v>220</v>
      </c>
      <c r="D144" s="486" t="s">
        <v>31</v>
      </c>
      <c r="E144" s="249" t="s">
        <v>749</v>
      </c>
      <c r="F144" s="485" t="s">
        <v>446</v>
      </c>
      <c r="G144" s="485">
        <f t="shared" si="19"/>
        <v>768820</v>
      </c>
      <c r="H144" s="485">
        <f>'d3'!E166</f>
        <v>768820</v>
      </c>
      <c r="I144" s="425">
        <f>'d3'!J166</f>
        <v>0</v>
      </c>
      <c r="J144" s="485">
        <f>'d3'!K166</f>
        <v>0</v>
      </c>
    </row>
    <row r="145" spans="1:17" ht="321.75" thickTop="1" thickBot="1" x14ac:dyDescent="0.25">
      <c r="A145" s="498" t="s">
        <v>571</v>
      </c>
      <c r="B145" s="498" t="s">
        <v>569</v>
      </c>
      <c r="C145" s="498" t="s">
        <v>220</v>
      </c>
      <c r="D145" s="486" t="s">
        <v>570</v>
      </c>
      <c r="E145" s="249" t="s">
        <v>749</v>
      </c>
      <c r="F145" s="485" t="s">
        <v>446</v>
      </c>
      <c r="G145" s="485">
        <f t="shared" si="19"/>
        <v>1969086</v>
      </c>
      <c r="H145" s="485">
        <f>'d3'!E167</f>
        <v>1969086</v>
      </c>
      <c r="I145" s="425">
        <f>'d3'!J167</f>
        <v>0</v>
      </c>
      <c r="J145" s="425">
        <f>'d3'!K167</f>
        <v>0</v>
      </c>
    </row>
    <row r="146" spans="1:17" ht="321.75" thickTop="1" thickBot="1" x14ac:dyDescent="0.25">
      <c r="A146" s="498" t="s">
        <v>32</v>
      </c>
      <c r="B146" s="498" t="s">
        <v>221</v>
      </c>
      <c r="C146" s="498" t="s">
        <v>220</v>
      </c>
      <c r="D146" s="486" t="s">
        <v>33</v>
      </c>
      <c r="E146" s="249" t="s">
        <v>749</v>
      </c>
      <c r="F146" s="485" t="s">
        <v>446</v>
      </c>
      <c r="G146" s="485">
        <f t="shared" si="19"/>
        <v>1741665</v>
      </c>
      <c r="H146" s="485">
        <f>'d3'!E168</f>
        <v>1711665</v>
      </c>
      <c r="I146" s="425">
        <f>'d3'!J168</f>
        <v>30000</v>
      </c>
      <c r="J146" s="485">
        <f>'d3'!K168</f>
        <v>30000</v>
      </c>
    </row>
    <row r="147" spans="1:17" ht="321.75" thickTop="1" thickBot="1" x14ac:dyDescent="0.25">
      <c r="A147" s="498" t="s">
        <v>375</v>
      </c>
      <c r="B147" s="498" t="s">
        <v>374</v>
      </c>
      <c r="C147" s="498" t="s">
        <v>373</v>
      </c>
      <c r="D147" s="486" t="s">
        <v>834</v>
      </c>
      <c r="E147" s="249" t="s">
        <v>749</v>
      </c>
      <c r="F147" s="485" t="s">
        <v>446</v>
      </c>
      <c r="G147" s="485">
        <f t="shared" si="19"/>
        <v>25424.53</v>
      </c>
      <c r="H147" s="485">
        <f>'d3'!E171</f>
        <v>25424.53</v>
      </c>
      <c r="I147" s="425">
        <f>'d3'!J171</f>
        <v>0</v>
      </c>
      <c r="J147" s="425">
        <f>'d3'!K171</f>
        <v>0</v>
      </c>
    </row>
    <row r="148" spans="1:17" s="371" customFormat="1" ht="321.75" thickTop="1" thickBot="1" x14ac:dyDescent="0.25">
      <c r="A148" s="487" t="s">
        <v>777</v>
      </c>
      <c r="B148" s="487" t="s">
        <v>222</v>
      </c>
      <c r="C148" s="487" t="s">
        <v>191</v>
      </c>
      <c r="D148" s="487" t="s">
        <v>36</v>
      </c>
      <c r="E148" s="249" t="s">
        <v>749</v>
      </c>
      <c r="F148" s="485" t="s">
        <v>446</v>
      </c>
      <c r="G148" s="485">
        <f t="shared" ref="G148" si="20">H148+I148</f>
        <v>1021474</v>
      </c>
      <c r="H148" s="485">
        <f>'d3'!E174</f>
        <v>0</v>
      </c>
      <c r="I148" s="425">
        <f>'d3'!J174</f>
        <v>1021474</v>
      </c>
      <c r="J148" s="425">
        <f>'d3'!K174</f>
        <v>1021474</v>
      </c>
      <c r="K148" s="372"/>
      <c r="L148" s="372"/>
      <c r="M148" s="372"/>
      <c r="N148" s="372"/>
      <c r="O148" s="372"/>
      <c r="P148" s="372"/>
      <c r="Q148" s="372"/>
    </row>
    <row r="149" spans="1:17" ht="321.75" thickTop="1" thickBot="1" x14ac:dyDescent="0.25">
      <c r="A149" s="498" t="s">
        <v>503</v>
      </c>
      <c r="B149" s="498" t="s">
        <v>505</v>
      </c>
      <c r="C149" s="498" t="s">
        <v>52</v>
      </c>
      <c r="D149" s="486" t="s">
        <v>502</v>
      </c>
      <c r="E149" s="249" t="s">
        <v>749</v>
      </c>
      <c r="F149" s="485" t="s">
        <v>446</v>
      </c>
      <c r="G149" s="485">
        <f t="shared" si="19"/>
        <v>423742.2</v>
      </c>
      <c r="H149" s="485">
        <f>'d4'!F17</f>
        <v>200000</v>
      </c>
      <c r="I149" s="425">
        <f>'d4'!G17</f>
        <v>223742.2</v>
      </c>
      <c r="J149" s="425">
        <f>'d4'!H17</f>
        <v>0</v>
      </c>
    </row>
    <row r="150" spans="1:17" s="235" customFormat="1" ht="181.5" thickTop="1" thickBot="1" x14ac:dyDescent="0.25">
      <c r="A150" s="680" t="s">
        <v>179</v>
      </c>
      <c r="B150" s="680"/>
      <c r="C150" s="680"/>
      <c r="D150" s="681" t="s">
        <v>698</v>
      </c>
      <c r="E150" s="682"/>
      <c r="F150" s="683"/>
      <c r="G150" s="683">
        <f>G151</f>
        <v>49146549</v>
      </c>
      <c r="H150" s="683">
        <f t="shared" ref="H150:J150" si="21">H151</f>
        <v>17837300</v>
      </c>
      <c r="I150" s="682">
        <f t="shared" si="21"/>
        <v>31309249</v>
      </c>
      <c r="J150" s="682">
        <f t="shared" si="21"/>
        <v>31119249</v>
      </c>
      <c r="K150" s="311" t="b">
        <f>H150='d3'!E175-'d3'!E178+'d7'!H152</f>
        <v>1</v>
      </c>
      <c r="L150" s="311" t="b">
        <f>I150='d3'!J175-'d3'!J178+I152</f>
        <v>1</v>
      </c>
      <c r="M150" s="311" t="b">
        <f>J150='d3'!K175-'d3'!K178+J152</f>
        <v>1</v>
      </c>
      <c r="N150" s="266"/>
      <c r="O150" s="266"/>
      <c r="P150" s="266"/>
      <c r="Q150" s="266"/>
    </row>
    <row r="151" spans="1:17" s="235" customFormat="1" ht="181.5" thickTop="1" thickBot="1" x14ac:dyDescent="0.25">
      <c r="A151" s="684" t="s">
        <v>180</v>
      </c>
      <c r="B151" s="684"/>
      <c r="C151" s="684"/>
      <c r="D151" s="685" t="s">
        <v>699</v>
      </c>
      <c r="E151" s="686"/>
      <c r="F151" s="686"/>
      <c r="G151" s="686">
        <f>SUM(G152:G165)</f>
        <v>49146549</v>
      </c>
      <c r="H151" s="686">
        <f>SUM(H152:H165)</f>
        <v>17837300</v>
      </c>
      <c r="I151" s="686">
        <f>SUM(I152:I165)</f>
        <v>31309249</v>
      </c>
      <c r="J151" s="686">
        <f>SUM(J152:J165)</f>
        <v>31119249</v>
      </c>
      <c r="K151" s="266"/>
      <c r="L151" s="266"/>
      <c r="M151" s="266"/>
      <c r="N151" s="266"/>
      <c r="O151" s="266"/>
      <c r="P151" s="266"/>
      <c r="Q151" s="266"/>
    </row>
    <row r="152" spans="1:17" s="235" customFormat="1" ht="230.25" thickTop="1" thickBot="1" x14ac:dyDescent="0.25">
      <c r="A152" s="360" t="s">
        <v>459</v>
      </c>
      <c r="B152" s="360" t="s">
        <v>261</v>
      </c>
      <c r="C152" s="360" t="s">
        <v>259</v>
      </c>
      <c r="D152" s="360" t="s">
        <v>260</v>
      </c>
      <c r="E152" s="394" t="s">
        <v>1065</v>
      </c>
      <c r="F152" s="593" t="s">
        <v>1066</v>
      </c>
      <c r="G152" s="370">
        <f t="shared" ref="G152:G189" si="22">H152+I152</f>
        <v>163248</v>
      </c>
      <c r="H152" s="406"/>
      <c r="I152" s="425">
        <f>(36000)+31812+95436</f>
        <v>163248</v>
      </c>
      <c r="J152" s="677">
        <f>(36000)+31812+95436</f>
        <v>163248</v>
      </c>
      <c r="K152" s="266"/>
      <c r="L152" s="266"/>
      <c r="M152" s="266"/>
      <c r="N152" s="266"/>
      <c r="O152" s="266"/>
      <c r="P152" s="266"/>
      <c r="Q152" s="266"/>
    </row>
    <row r="153" spans="1:17" s="407" customFormat="1" ht="409.6" thickTop="1" thickBot="1" x14ac:dyDescent="0.25">
      <c r="A153" s="409" t="s">
        <v>822</v>
      </c>
      <c r="B153" s="409" t="s">
        <v>398</v>
      </c>
      <c r="C153" s="409" t="s">
        <v>815</v>
      </c>
      <c r="D153" s="409" t="s">
        <v>816</v>
      </c>
      <c r="E153" s="394" t="s">
        <v>1101</v>
      </c>
      <c r="F153" s="619" t="s">
        <v>1102</v>
      </c>
      <c r="G153" s="370">
        <f t="shared" si="22"/>
        <v>12000</v>
      </c>
      <c r="H153" s="406">
        <f>'d3'!E179</f>
        <v>12000</v>
      </c>
      <c r="I153" s="425"/>
      <c r="J153" s="425"/>
      <c r="K153" s="411"/>
      <c r="L153" s="411"/>
      <c r="M153" s="411"/>
      <c r="N153" s="411"/>
      <c r="O153" s="411"/>
      <c r="P153" s="411"/>
      <c r="Q153" s="411"/>
    </row>
    <row r="154" spans="1:17" s="235" customFormat="1" ht="276" thickTop="1" thickBot="1" x14ac:dyDescent="0.25">
      <c r="A154" s="919" t="s">
        <v>305</v>
      </c>
      <c r="B154" s="919" t="s">
        <v>306</v>
      </c>
      <c r="C154" s="919" t="s">
        <v>373</v>
      </c>
      <c r="D154" s="919" t="s">
        <v>307</v>
      </c>
      <c r="E154" s="406" t="s">
        <v>738</v>
      </c>
      <c r="F154" s="406" t="s">
        <v>739</v>
      </c>
      <c r="G154" s="485">
        <f t="shared" si="22"/>
        <v>7328440</v>
      </c>
      <c r="H154" s="406">
        <v>350000</v>
      </c>
      <c r="I154" s="425">
        <v>6978440</v>
      </c>
      <c r="J154" s="425">
        <v>6978440</v>
      </c>
      <c r="K154" s="266"/>
      <c r="L154" s="266"/>
      <c r="M154" s="266"/>
      <c r="N154" s="266"/>
      <c r="O154" s="266"/>
      <c r="P154" s="266"/>
      <c r="Q154" s="266"/>
    </row>
    <row r="155" spans="1:17" s="235" customFormat="1" ht="230.25" thickTop="1" thickBot="1" x14ac:dyDescent="0.25">
      <c r="A155" s="927"/>
      <c r="B155" s="927"/>
      <c r="C155" s="927"/>
      <c r="D155" s="927"/>
      <c r="E155" s="361" t="s">
        <v>1092</v>
      </c>
      <c r="F155" s="361" t="s">
        <v>740</v>
      </c>
      <c r="G155" s="485">
        <f t="shared" si="22"/>
        <v>5492100</v>
      </c>
      <c r="H155" s="406">
        <f>'d3'!E182-'d7'!H154</f>
        <v>2125300</v>
      </c>
      <c r="I155" s="425">
        <f>'d3'!J182-'d7'!I154</f>
        <v>3366800</v>
      </c>
      <c r="J155" s="425">
        <f>'d3'!K182-'d7'!J154</f>
        <v>3366800</v>
      </c>
      <c r="K155" s="266"/>
      <c r="L155" s="266"/>
      <c r="M155" s="266"/>
      <c r="N155" s="266"/>
      <c r="O155" s="266"/>
      <c r="P155" s="266"/>
      <c r="Q155" s="266"/>
    </row>
    <row r="156" spans="1:17" s="235" customFormat="1" ht="276" thickTop="1" thickBot="1" x14ac:dyDescent="0.25">
      <c r="A156" s="486" t="s">
        <v>327</v>
      </c>
      <c r="B156" s="486" t="s">
        <v>328</v>
      </c>
      <c r="C156" s="486" t="s">
        <v>308</v>
      </c>
      <c r="D156" s="486" t="s">
        <v>329</v>
      </c>
      <c r="E156" s="406" t="s">
        <v>738</v>
      </c>
      <c r="F156" s="406" t="s">
        <v>739</v>
      </c>
      <c r="G156" s="485">
        <f t="shared" si="22"/>
        <v>5000000</v>
      </c>
      <c r="H156" s="406">
        <f>'d3'!E183</f>
        <v>0</v>
      </c>
      <c r="I156" s="425">
        <f>'d3'!J183</f>
        <v>5000000</v>
      </c>
      <c r="J156" s="425">
        <f>'d3'!K183</f>
        <v>5000000</v>
      </c>
      <c r="K156" s="266"/>
      <c r="L156" s="266"/>
      <c r="M156" s="266"/>
      <c r="N156" s="266"/>
      <c r="O156" s="266"/>
      <c r="P156" s="266"/>
      <c r="Q156" s="266"/>
    </row>
    <row r="157" spans="1:17" s="235" customFormat="1" ht="276" thickTop="1" thickBot="1" x14ac:dyDescent="0.25">
      <c r="A157" s="919" t="s">
        <v>309</v>
      </c>
      <c r="B157" s="919" t="s">
        <v>310</v>
      </c>
      <c r="C157" s="919" t="s">
        <v>308</v>
      </c>
      <c r="D157" s="919" t="s">
        <v>514</v>
      </c>
      <c r="E157" s="406" t="s">
        <v>738</v>
      </c>
      <c r="F157" s="499" t="s">
        <v>739</v>
      </c>
      <c r="G157" s="485">
        <f t="shared" si="22"/>
        <v>13209200</v>
      </c>
      <c r="H157" s="500">
        <f>'d3'!E184-H158</f>
        <v>550000</v>
      </c>
      <c r="I157" s="425">
        <f>'d3'!J184-'d7'!I158</f>
        <v>12659200</v>
      </c>
      <c r="J157" s="425">
        <f>'d3'!K184-'d7'!J158</f>
        <v>12659200</v>
      </c>
      <c r="K157" s="266"/>
      <c r="L157" s="266"/>
      <c r="M157" s="266"/>
      <c r="N157" s="266"/>
      <c r="O157" s="266"/>
      <c r="P157" s="266"/>
      <c r="Q157" s="266"/>
    </row>
    <row r="158" spans="1:17" s="235" customFormat="1" ht="230.25" thickTop="1" thickBot="1" x14ac:dyDescent="0.25">
      <c r="A158" s="920"/>
      <c r="B158" s="920"/>
      <c r="C158" s="920"/>
      <c r="D158" s="920"/>
      <c r="E158" s="429" t="s">
        <v>495</v>
      </c>
      <c r="F158" s="501" t="s">
        <v>496</v>
      </c>
      <c r="G158" s="485">
        <f t="shared" si="22"/>
        <v>461561</v>
      </c>
      <c r="H158" s="500">
        <v>0</v>
      </c>
      <c r="I158" s="425">
        <v>461561</v>
      </c>
      <c r="J158" s="425">
        <v>461561</v>
      </c>
      <c r="K158" s="266"/>
      <c r="L158" s="266"/>
      <c r="M158" s="266"/>
      <c r="N158" s="266"/>
      <c r="O158" s="266"/>
      <c r="P158" s="266"/>
      <c r="Q158" s="266"/>
    </row>
    <row r="159" spans="1:17" s="725" customFormat="1" ht="267" thickTop="1" thickBot="1" x14ac:dyDescent="0.25">
      <c r="A159" s="727" t="s">
        <v>1211</v>
      </c>
      <c r="B159" s="727" t="s">
        <v>323</v>
      </c>
      <c r="C159" s="727" t="s">
        <v>308</v>
      </c>
      <c r="D159" s="727" t="s">
        <v>324</v>
      </c>
      <c r="E159" s="696" t="s">
        <v>738</v>
      </c>
      <c r="F159" s="734" t="s">
        <v>739</v>
      </c>
      <c r="G159" s="726">
        <f t="shared" ref="G159" si="23">H159+I159</f>
        <v>200000</v>
      </c>
      <c r="H159" s="734">
        <f>'d3'!E185</f>
        <v>200000</v>
      </c>
      <c r="I159" s="735">
        <f>'d3'!J185</f>
        <v>0</v>
      </c>
      <c r="J159" s="735">
        <f>'d3'!K185</f>
        <v>0</v>
      </c>
      <c r="K159" s="737"/>
      <c r="L159" s="737"/>
      <c r="M159" s="737"/>
      <c r="N159" s="737"/>
      <c r="O159" s="737"/>
      <c r="P159" s="737"/>
      <c r="Q159" s="737"/>
    </row>
    <row r="160" spans="1:17" s="235" customFormat="1" ht="267" thickTop="1" thickBot="1" x14ac:dyDescent="0.25">
      <c r="A160" s="486" t="s">
        <v>313</v>
      </c>
      <c r="B160" s="486" t="s">
        <v>314</v>
      </c>
      <c r="C160" s="486" t="s">
        <v>308</v>
      </c>
      <c r="D160" s="486" t="s">
        <v>315</v>
      </c>
      <c r="E160" s="696" t="s">
        <v>738</v>
      </c>
      <c r="F160" s="406" t="s">
        <v>739</v>
      </c>
      <c r="G160" s="485">
        <f t="shared" si="22"/>
        <v>14100000</v>
      </c>
      <c r="H160" s="406">
        <f>'d3'!E186</f>
        <v>14100000</v>
      </c>
      <c r="I160" s="425">
        <f>'d3'!J186</f>
        <v>0</v>
      </c>
      <c r="J160" s="425">
        <f>'d3'!K186</f>
        <v>0</v>
      </c>
      <c r="K160" s="266"/>
      <c r="L160" s="266"/>
      <c r="M160" s="266"/>
      <c r="N160" s="266"/>
      <c r="O160" s="266"/>
      <c r="P160" s="266"/>
      <c r="Q160" s="266"/>
    </row>
    <row r="161" spans="1:17" s="235" customFormat="1" ht="409.5" customHeight="1" thickTop="1" thickBot="1" x14ac:dyDescent="0.25">
      <c r="A161" s="919" t="s">
        <v>322</v>
      </c>
      <c r="B161" s="919" t="s">
        <v>237</v>
      </c>
      <c r="C161" s="919" t="s">
        <v>238</v>
      </c>
      <c r="D161" s="919" t="s">
        <v>43</v>
      </c>
      <c r="E161" s="697" t="s">
        <v>741</v>
      </c>
      <c r="F161" s="485" t="s">
        <v>750</v>
      </c>
      <c r="G161" s="915">
        <f>H161+I161</f>
        <v>2600000</v>
      </c>
      <c r="H161" s="915">
        <f>'d3'!E189</f>
        <v>500000</v>
      </c>
      <c r="I161" s="915">
        <f>'d3'!J189</f>
        <v>2100000</v>
      </c>
      <c r="J161" s="915">
        <f>'d3'!K189</f>
        <v>2100000</v>
      </c>
      <c r="K161" s="266"/>
      <c r="L161" s="266"/>
      <c r="M161" s="266"/>
      <c r="N161" s="266"/>
      <c r="O161" s="266"/>
      <c r="P161" s="266"/>
      <c r="Q161" s="266"/>
    </row>
    <row r="162" spans="1:17" s="235" customFormat="1" ht="184.5" thickTop="1" thickBot="1" x14ac:dyDescent="0.25">
      <c r="A162" s="920"/>
      <c r="B162" s="920"/>
      <c r="C162" s="920"/>
      <c r="D162" s="920"/>
      <c r="E162" s="249" t="s">
        <v>742</v>
      </c>
      <c r="F162" s="485" t="s">
        <v>751</v>
      </c>
      <c r="G162" s="916"/>
      <c r="H162" s="916"/>
      <c r="I162" s="916"/>
      <c r="J162" s="916"/>
      <c r="K162" s="266"/>
      <c r="L162" s="266"/>
      <c r="M162" s="266"/>
      <c r="N162" s="266"/>
      <c r="O162" s="266"/>
      <c r="P162" s="266"/>
      <c r="Q162" s="266"/>
    </row>
    <row r="163" spans="1:17" s="699" customFormat="1" ht="267" thickTop="1" thickBot="1" x14ac:dyDescent="0.25">
      <c r="A163" s="706" t="s">
        <v>1178</v>
      </c>
      <c r="B163" s="706" t="s">
        <v>222</v>
      </c>
      <c r="C163" s="706" t="s">
        <v>191</v>
      </c>
      <c r="D163" s="706" t="s">
        <v>36</v>
      </c>
      <c r="E163" s="696" t="s">
        <v>738</v>
      </c>
      <c r="F163" s="707" t="s">
        <v>739</v>
      </c>
      <c r="G163" s="704">
        <f t="shared" si="22"/>
        <v>390000</v>
      </c>
      <c r="H163" s="707">
        <f>'d3'!E190</f>
        <v>0</v>
      </c>
      <c r="I163" s="708">
        <f>'d3'!J190</f>
        <v>390000</v>
      </c>
      <c r="J163" s="708">
        <f>'d3'!K190</f>
        <v>390000</v>
      </c>
      <c r="K163" s="709"/>
      <c r="L163" s="709"/>
      <c r="M163" s="709"/>
      <c r="N163" s="709"/>
      <c r="O163" s="709"/>
      <c r="P163" s="709"/>
      <c r="Q163" s="709"/>
    </row>
    <row r="164" spans="1:17" s="320" customFormat="1" ht="409.6" customHeight="1" thickTop="1" thickBot="1" x14ac:dyDescent="0.7">
      <c r="A164" s="875" t="s">
        <v>462</v>
      </c>
      <c r="B164" s="875" t="s">
        <v>371</v>
      </c>
      <c r="C164" s="875" t="s">
        <v>191</v>
      </c>
      <c r="D164" s="502" t="s">
        <v>483</v>
      </c>
      <c r="E164" s="875" t="s">
        <v>1071</v>
      </c>
      <c r="F164" s="875" t="s">
        <v>1072</v>
      </c>
      <c r="G164" s="915">
        <f t="shared" si="22"/>
        <v>190000</v>
      </c>
      <c r="H164" s="915">
        <f>'d3'!E192</f>
        <v>0</v>
      </c>
      <c r="I164" s="915">
        <f>'d3'!J192</f>
        <v>190000</v>
      </c>
      <c r="J164" s="915">
        <f>'d3'!K192</f>
        <v>0</v>
      </c>
      <c r="K164" s="321"/>
      <c r="L164" s="321"/>
      <c r="M164" s="321"/>
      <c r="N164" s="321"/>
      <c r="O164" s="321"/>
      <c r="P164" s="321"/>
      <c r="Q164" s="321"/>
    </row>
    <row r="165" spans="1:17" s="320" customFormat="1" ht="184.5" thickTop="1" thickBot="1" x14ac:dyDescent="0.25">
      <c r="A165" s="876"/>
      <c r="B165" s="876"/>
      <c r="C165" s="876"/>
      <c r="D165" s="503" t="s">
        <v>484</v>
      </c>
      <c r="E165" s="876"/>
      <c r="F165" s="876"/>
      <c r="G165" s="917"/>
      <c r="H165" s="917"/>
      <c r="I165" s="917"/>
      <c r="J165" s="917"/>
      <c r="K165" s="321"/>
      <c r="L165" s="321"/>
      <c r="M165" s="321"/>
      <c r="N165" s="321"/>
      <c r="O165" s="321"/>
      <c r="P165" s="321"/>
      <c r="Q165" s="321"/>
    </row>
    <row r="166" spans="1:17" s="235" customFormat="1" ht="181.5" thickTop="1" thickBot="1" x14ac:dyDescent="0.25">
      <c r="A166" s="680" t="s">
        <v>662</v>
      </c>
      <c r="B166" s="680"/>
      <c r="C166" s="680"/>
      <c r="D166" s="681" t="s">
        <v>696</v>
      </c>
      <c r="E166" s="682"/>
      <c r="F166" s="683"/>
      <c r="G166" s="683">
        <f>H166+I166</f>
        <v>387655984.61000001</v>
      </c>
      <c r="H166" s="683">
        <f>H167</f>
        <v>242369567</v>
      </c>
      <c r="I166" s="682">
        <f>I167</f>
        <v>145286417.61000001</v>
      </c>
      <c r="J166" s="682">
        <f>J167</f>
        <v>144969402.57999998</v>
      </c>
      <c r="K166" s="311" t="b">
        <f>H166='d3'!E195-'d3'!E197+'d7'!H168</f>
        <v>1</v>
      </c>
      <c r="L166" s="311" t="b">
        <f>I166='d3'!J195-'d3'!J197+'d7'!I168</f>
        <v>1</v>
      </c>
      <c r="M166" s="311" t="b">
        <f>J166='d3'!K195-'d3'!K197+'d7'!J168</f>
        <v>1</v>
      </c>
      <c r="N166" s="266"/>
      <c r="O166" s="266"/>
      <c r="P166" s="266"/>
      <c r="Q166" s="266"/>
    </row>
    <row r="167" spans="1:17" s="235" customFormat="1" ht="207.75" customHeight="1" thickTop="1" thickBot="1" x14ac:dyDescent="0.25">
      <c r="A167" s="684" t="s">
        <v>663</v>
      </c>
      <c r="B167" s="684"/>
      <c r="C167" s="684"/>
      <c r="D167" s="685" t="s">
        <v>697</v>
      </c>
      <c r="E167" s="686"/>
      <c r="F167" s="686"/>
      <c r="G167" s="686">
        <f>SUM(G168:G189)</f>
        <v>387655984.60999995</v>
      </c>
      <c r="H167" s="686">
        <f>SUM(H168:H189)</f>
        <v>242369567</v>
      </c>
      <c r="I167" s="686">
        <f>SUM(I168:I189)</f>
        <v>145286417.61000001</v>
      </c>
      <c r="J167" s="686">
        <f>SUM(J168:J189)</f>
        <v>144969402.57999998</v>
      </c>
      <c r="K167" s="266"/>
      <c r="L167" s="266"/>
      <c r="M167" s="266"/>
      <c r="N167" s="266"/>
      <c r="O167" s="266"/>
      <c r="P167" s="266"/>
      <c r="Q167" s="266"/>
    </row>
    <row r="168" spans="1:17" s="235" customFormat="1" ht="340.5" customHeight="1" thickTop="1" thickBot="1" x14ac:dyDescent="0.25">
      <c r="A168" s="419" t="s">
        <v>664</v>
      </c>
      <c r="B168" s="419" t="s">
        <v>261</v>
      </c>
      <c r="C168" s="419" t="s">
        <v>259</v>
      </c>
      <c r="D168" s="419" t="s">
        <v>256</v>
      </c>
      <c r="E168" s="394" t="s">
        <v>1065</v>
      </c>
      <c r="F168" s="593" t="s">
        <v>1066</v>
      </c>
      <c r="G168" s="422">
        <f t="shared" si="22"/>
        <v>144000</v>
      </c>
      <c r="H168" s="422">
        <v>0</v>
      </c>
      <c r="I168" s="422">
        <v>144000</v>
      </c>
      <c r="J168" s="422">
        <v>144000</v>
      </c>
      <c r="K168" s="266"/>
      <c r="L168" s="266"/>
      <c r="M168" s="266"/>
      <c r="N168" s="266"/>
      <c r="O168" s="266"/>
      <c r="P168" s="266"/>
      <c r="Q168" s="266"/>
    </row>
    <row r="169" spans="1:17" s="412" customFormat="1" ht="409.5" customHeight="1" thickTop="1" thickBot="1" x14ac:dyDescent="0.25">
      <c r="A169" s="413" t="s">
        <v>824</v>
      </c>
      <c r="B169" s="413" t="s">
        <v>398</v>
      </c>
      <c r="C169" s="413" t="s">
        <v>815</v>
      </c>
      <c r="D169" s="413" t="s">
        <v>816</v>
      </c>
      <c r="E169" s="394" t="s">
        <v>1101</v>
      </c>
      <c r="F169" s="619" t="s">
        <v>1102</v>
      </c>
      <c r="G169" s="370">
        <f t="shared" ref="G169" si="24">H169+I169</f>
        <v>8000</v>
      </c>
      <c r="H169" s="406">
        <f>'d3'!E198</f>
        <v>8000</v>
      </c>
      <c r="I169" s="425"/>
      <c r="J169" s="425"/>
      <c r="K169" s="414"/>
      <c r="L169" s="414"/>
      <c r="M169" s="414"/>
      <c r="N169" s="414"/>
      <c r="O169" s="414"/>
      <c r="P169" s="414"/>
      <c r="Q169" s="414"/>
    </row>
    <row r="170" spans="1:17" s="235" customFormat="1" ht="276" thickTop="1" thickBot="1" x14ac:dyDescent="0.25">
      <c r="A170" s="486" t="s">
        <v>665</v>
      </c>
      <c r="B170" s="486" t="s">
        <v>45</v>
      </c>
      <c r="C170" s="486" t="s">
        <v>44</v>
      </c>
      <c r="D170" s="486" t="s">
        <v>273</v>
      </c>
      <c r="E170" s="406" t="s">
        <v>738</v>
      </c>
      <c r="F170" s="406" t="s">
        <v>739</v>
      </c>
      <c r="G170" s="485">
        <f t="shared" si="22"/>
        <v>100000</v>
      </c>
      <c r="H170" s="485">
        <f>'d3'!E199</f>
        <v>100000</v>
      </c>
      <c r="I170" s="485">
        <f>'d3'!J199</f>
        <v>0</v>
      </c>
      <c r="J170" s="485">
        <f>'d3'!K199</f>
        <v>0</v>
      </c>
      <c r="K170" s="266"/>
      <c r="L170" s="266"/>
      <c r="M170" s="266"/>
      <c r="N170" s="266"/>
      <c r="O170" s="266"/>
      <c r="P170" s="266"/>
      <c r="Q170" s="266"/>
    </row>
    <row r="171" spans="1:17" s="235" customFormat="1" ht="276" thickTop="1" thickBot="1" x14ac:dyDescent="0.25">
      <c r="A171" s="486" t="s">
        <v>666</v>
      </c>
      <c r="B171" s="486" t="s">
        <v>413</v>
      </c>
      <c r="C171" s="486" t="s">
        <v>308</v>
      </c>
      <c r="D171" s="486" t="s">
        <v>414</v>
      </c>
      <c r="E171" s="406" t="s">
        <v>738</v>
      </c>
      <c r="F171" s="406" t="s">
        <v>739</v>
      </c>
      <c r="G171" s="485">
        <f t="shared" si="22"/>
        <v>28000000</v>
      </c>
      <c r="H171" s="406">
        <f>'d3'!E202</f>
        <v>28000000</v>
      </c>
      <c r="I171" s="425">
        <f>'d3'!J202</f>
        <v>0</v>
      </c>
      <c r="J171" s="425">
        <f>'d3'!K202</f>
        <v>0</v>
      </c>
      <c r="K171" s="266"/>
      <c r="L171" s="266"/>
      <c r="M171" s="266"/>
      <c r="N171" s="266"/>
      <c r="O171" s="266"/>
      <c r="P171" s="266"/>
      <c r="Q171" s="266"/>
    </row>
    <row r="172" spans="1:17" s="235" customFormat="1" ht="276" thickTop="1" thickBot="1" x14ac:dyDescent="0.25">
      <c r="A172" s="486" t="s">
        <v>667</v>
      </c>
      <c r="B172" s="486" t="s">
        <v>311</v>
      </c>
      <c r="C172" s="486" t="s">
        <v>308</v>
      </c>
      <c r="D172" s="486" t="s">
        <v>312</v>
      </c>
      <c r="E172" s="406" t="s">
        <v>738</v>
      </c>
      <c r="F172" s="406" t="s">
        <v>739</v>
      </c>
      <c r="G172" s="485">
        <f t="shared" si="22"/>
        <v>3751000</v>
      </c>
      <c r="H172" s="406">
        <f>'d3'!E203</f>
        <v>3751000</v>
      </c>
      <c r="I172" s="425">
        <f>'d3'!J203</f>
        <v>0</v>
      </c>
      <c r="J172" s="425">
        <f>'d3'!K203</f>
        <v>0</v>
      </c>
      <c r="K172" s="266"/>
      <c r="L172" s="266"/>
      <c r="M172" s="266"/>
      <c r="N172" s="266"/>
      <c r="O172" s="266"/>
      <c r="P172" s="266"/>
      <c r="Q172" s="266"/>
    </row>
    <row r="173" spans="1:17" s="235" customFormat="1" ht="276" customHeight="1" thickTop="1" thickBot="1" x14ac:dyDescent="0.25">
      <c r="A173" s="875" t="s">
        <v>668</v>
      </c>
      <c r="B173" s="875" t="s">
        <v>323</v>
      </c>
      <c r="C173" s="875" t="s">
        <v>308</v>
      </c>
      <c r="D173" s="875" t="s">
        <v>324</v>
      </c>
      <c r="E173" s="406" t="s">
        <v>738</v>
      </c>
      <c r="F173" s="406" t="s">
        <v>739</v>
      </c>
      <c r="G173" s="866">
        <f t="shared" si="22"/>
        <v>3430000</v>
      </c>
      <c r="H173" s="866">
        <f>'d3'!E204</f>
        <v>3430000</v>
      </c>
      <c r="I173" s="866">
        <f>'d3'!J204</f>
        <v>0</v>
      </c>
      <c r="J173" s="866">
        <f>'d3'!K204</f>
        <v>0</v>
      </c>
      <c r="K173" s="266"/>
      <c r="L173" s="266"/>
      <c r="M173" s="266"/>
      <c r="N173" s="266"/>
      <c r="O173" s="266"/>
      <c r="P173" s="266"/>
      <c r="Q173" s="266"/>
    </row>
    <row r="174" spans="1:17" s="235" customFormat="1" ht="184.5" thickTop="1" thickBot="1" x14ac:dyDescent="0.25">
      <c r="A174" s="875"/>
      <c r="B174" s="875"/>
      <c r="C174" s="875"/>
      <c r="D174" s="875"/>
      <c r="E174" s="598" t="s">
        <v>1093</v>
      </c>
      <c r="F174" s="596" t="s">
        <v>1090</v>
      </c>
      <c r="G174" s="928"/>
      <c r="H174" s="928"/>
      <c r="I174" s="928"/>
      <c r="J174" s="928"/>
      <c r="K174" s="266"/>
      <c r="L174" s="266"/>
      <c r="M174" s="266"/>
      <c r="N174" s="266"/>
      <c r="O174" s="266"/>
      <c r="P174" s="266"/>
      <c r="Q174" s="266"/>
    </row>
    <row r="175" spans="1:17" s="235" customFormat="1" ht="230.25" thickTop="1" thickBot="1" x14ac:dyDescent="0.25">
      <c r="A175" s="919" t="s">
        <v>669</v>
      </c>
      <c r="B175" s="919">
        <v>6030</v>
      </c>
      <c r="C175" s="919" t="s">
        <v>308</v>
      </c>
      <c r="D175" s="919" t="s">
        <v>315</v>
      </c>
      <c r="E175" s="406" t="s">
        <v>743</v>
      </c>
      <c r="F175" s="361" t="s">
        <v>1089</v>
      </c>
      <c r="G175" s="866">
        <f t="shared" si="22"/>
        <v>159788516</v>
      </c>
      <c r="H175" s="866">
        <f>'d3'!E205-H177</f>
        <v>145078368</v>
      </c>
      <c r="I175" s="866">
        <f>'d3'!J205-I177</f>
        <v>14710148</v>
      </c>
      <c r="J175" s="866">
        <f>'d3'!K205-J177</f>
        <v>14710148</v>
      </c>
      <c r="K175" s="266"/>
      <c r="L175" s="266"/>
      <c r="M175" s="266"/>
      <c r="N175" s="266"/>
      <c r="O175" s="266"/>
      <c r="P175" s="266"/>
      <c r="Q175" s="266"/>
    </row>
    <row r="176" spans="1:17" s="235" customFormat="1" ht="276" thickTop="1" thickBot="1" x14ac:dyDescent="0.25">
      <c r="A176" s="927"/>
      <c r="B176" s="927"/>
      <c r="C176" s="927"/>
      <c r="D176" s="927"/>
      <c r="E176" s="406" t="s">
        <v>738</v>
      </c>
      <c r="F176" s="361" t="s">
        <v>739</v>
      </c>
      <c r="G176" s="928">
        <f t="shared" si="22"/>
        <v>0</v>
      </c>
      <c r="H176" s="928"/>
      <c r="I176" s="928"/>
      <c r="J176" s="928"/>
      <c r="K176" s="266"/>
      <c r="L176" s="266"/>
      <c r="M176" s="266"/>
      <c r="N176" s="266"/>
      <c r="O176" s="266"/>
      <c r="P176" s="266"/>
      <c r="Q176" s="266"/>
    </row>
    <row r="177" spans="1:17" s="595" customFormat="1" ht="230.25" thickTop="1" thickBot="1" x14ac:dyDescent="0.25">
      <c r="A177" s="929"/>
      <c r="B177" s="929"/>
      <c r="C177" s="929"/>
      <c r="D177" s="929"/>
      <c r="E177" s="598" t="s">
        <v>1084</v>
      </c>
      <c r="F177" s="596" t="s">
        <v>1083</v>
      </c>
      <c r="G177" s="596">
        <f>H177+I177</f>
        <v>5973255</v>
      </c>
      <c r="H177" s="599">
        <v>5973255</v>
      </c>
      <c r="I177" s="599"/>
      <c r="J177" s="599"/>
      <c r="K177" s="600"/>
      <c r="L177" s="600"/>
      <c r="M177" s="600"/>
      <c r="N177" s="600"/>
      <c r="O177" s="600"/>
      <c r="P177" s="600"/>
      <c r="Q177" s="600"/>
    </row>
    <row r="178" spans="1:17" s="235" customFormat="1" ht="276" thickTop="1" thickBot="1" x14ac:dyDescent="0.25">
      <c r="A178" s="486" t="s">
        <v>670</v>
      </c>
      <c r="B178" s="486" t="s">
        <v>331</v>
      </c>
      <c r="C178" s="486" t="s">
        <v>330</v>
      </c>
      <c r="D178" s="486" t="s">
        <v>517</v>
      </c>
      <c r="E178" s="406" t="s">
        <v>738</v>
      </c>
      <c r="F178" s="406" t="s">
        <v>739</v>
      </c>
      <c r="G178" s="485">
        <f t="shared" si="22"/>
        <v>6280522</v>
      </c>
      <c r="H178" s="406">
        <f>'d3'!E208</f>
        <v>0</v>
      </c>
      <c r="I178" s="425">
        <f>'d3'!J208</f>
        <v>6280522</v>
      </c>
      <c r="J178" s="425">
        <f>'d3'!K208</f>
        <v>6280522</v>
      </c>
      <c r="K178" s="266"/>
      <c r="L178" s="266"/>
      <c r="M178" s="266"/>
      <c r="N178" s="266"/>
      <c r="O178" s="266"/>
      <c r="P178" s="266"/>
      <c r="Q178" s="266"/>
    </row>
    <row r="179" spans="1:17" s="235" customFormat="1" ht="184.5" thickTop="1" thickBot="1" x14ac:dyDescent="0.25">
      <c r="A179" s="875" t="s">
        <v>671</v>
      </c>
      <c r="B179" s="875" t="s">
        <v>319</v>
      </c>
      <c r="C179" s="875" t="s">
        <v>321</v>
      </c>
      <c r="D179" s="875" t="s">
        <v>320</v>
      </c>
      <c r="E179" s="406" t="s">
        <v>1091</v>
      </c>
      <c r="F179" s="406" t="s">
        <v>1109</v>
      </c>
      <c r="G179" s="930">
        <f>H179+I179</f>
        <v>117532594.03</v>
      </c>
      <c r="H179" s="930">
        <f>'d3'!E210</f>
        <v>52868366</v>
      </c>
      <c r="I179" s="931">
        <f>'d3'!J210</f>
        <v>64664228.030000001</v>
      </c>
      <c r="J179" s="931">
        <f>'d3'!K210</f>
        <v>64537213</v>
      </c>
      <c r="K179" s="266"/>
      <c r="L179" s="266"/>
      <c r="M179" s="266"/>
      <c r="N179" s="266"/>
      <c r="O179" s="266"/>
      <c r="P179" s="266"/>
      <c r="Q179" s="266"/>
    </row>
    <row r="180" spans="1:17" s="235" customFormat="1" ht="276" thickTop="1" thickBot="1" x14ac:dyDescent="0.25">
      <c r="A180" s="875"/>
      <c r="B180" s="875"/>
      <c r="C180" s="875"/>
      <c r="D180" s="875"/>
      <c r="E180" s="406" t="s">
        <v>738</v>
      </c>
      <c r="F180" s="406" t="s">
        <v>739</v>
      </c>
      <c r="G180" s="930">
        <f t="shared" si="22"/>
        <v>0</v>
      </c>
      <c r="H180" s="930"/>
      <c r="I180" s="931"/>
      <c r="J180" s="931"/>
      <c r="K180" s="266"/>
      <c r="L180" s="266"/>
      <c r="M180" s="266"/>
      <c r="N180" s="266"/>
      <c r="O180" s="266"/>
      <c r="P180" s="266"/>
      <c r="Q180" s="266"/>
    </row>
    <row r="181" spans="1:17" s="235" customFormat="1" ht="230.25" thickTop="1" thickBot="1" x14ac:dyDescent="0.25">
      <c r="A181" s="875" t="s">
        <v>672</v>
      </c>
      <c r="B181" s="875" t="s">
        <v>237</v>
      </c>
      <c r="C181" s="875" t="s">
        <v>238</v>
      </c>
      <c r="D181" s="875" t="s">
        <v>43</v>
      </c>
      <c r="E181" s="394" t="s">
        <v>1071</v>
      </c>
      <c r="F181" s="593" t="s">
        <v>1072</v>
      </c>
      <c r="G181" s="930">
        <f t="shared" si="22"/>
        <v>18508795.579999998</v>
      </c>
      <c r="H181" s="930">
        <f>'d3'!E212</f>
        <v>0</v>
      </c>
      <c r="I181" s="930">
        <f>'d3'!J212</f>
        <v>18508795.579999998</v>
      </c>
      <c r="J181" s="930">
        <f>'d3'!K212</f>
        <v>18508795.579999998</v>
      </c>
      <c r="K181" s="266"/>
      <c r="L181" s="266"/>
      <c r="M181" s="266"/>
      <c r="N181" s="266"/>
      <c r="O181" s="266"/>
      <c r="P181" s="266"/>
      <c r="Q181" s="266"/>
    </row>
    <row r="182" spans="1:17" s="235" customFormat="1" ht="276" thickTop="1" thickBot="1" x14ac:dyDescent="0.25">
      <c r="A182" s="875"/>
      <c r="B182" s="875"/>
      <c r="C182" s="875"/>
      <c r="D182" s="875"/>
      <c r="E182" s="406" t="s">
        <v>738</v>
      </c>
      <c r="F182" s="406" t="s">
        <v>739</v>
      </c>
      <c r="G182" s="930">
        <f t="shared" si="22"/>
        <v>0</v>
      </c>
      <c r="H182" s="930"/>
      <c r="I182" s="930"/>
      <c r="J182" s="930"/>
      <c r="K182" s="266"/>
      <c r="L182" s="266"/>
      <c r="M182" s="266"/>
      <c r="N182" s="266"/>
      <c r="O182" s="266"/>
      <c r="P182" s="266"/>
      <c r="Q182" s="266"/>
    </row>
    <row r="183" spans="1:17" s="235" customFormat="1" ht="276" customHeight="1" thickTop="1" thickBot="1" x14ac:dyDescent="0.25">
      <c r="A183" s="875" t="s">
        <v>673</v>
      </c>
      <c r="B183" s="875" t="s">
        <v>222</v>
      </c>
      <c r="C183" s="875" t="s">
        <v>191</v>
      </c>
      <c r="D183" s="875" t="s">
        <v>36</v>
      </c>
      <c r="E183" s="406" t="s">
        <v>738</v>
      </c>
      <c r="F183" s="406" t="s">
        <v>739</v>
      </c>
      <c r="G183" s="931">
        <f t="shared" si="22"/>
        <v>40788724</v>
      </c>
      <c r="H183" s="930">
        <f>'d3'!E213</f>
        <v>0</v>
      </c>
      <c r="I183" s="931">
        <f>'d3'!J213</f>
        <v>40788724</v>
      </c>
      <c r="J183" s="931">
        <f>'d3'!K213</f>
        <v>40788724</v>
      </c>
      <c r="K183" s="266"/>
      <c r="L183" s="266"/>
      <c r="M183" s="266"/>
      <c r="N183" s="266"/>
      <c r="O183" s="266"/>
      <c r="P183" s="266"/>
      <c r="Q183" s="266"/>
    </row>
    <row r="184" spans="1:17" s="235" customFormat="1" ht="184.5" thickTop="1" thickBot="1" x14ac:dyDescent="0.25">
      <c r="A184" s="875"/>
      <c r="B184" s="875"/>
      <c r="C184" s="875"/>
      <c r="D184" s="875"/>
      <c r="E184" s="603" t="s">
        <v>1093</v>
      </c>
      <c r="F184" s="602" t="s">
        <v>1090</v>
      </c>
      <c r="G184" s="931">
        <f t="shared" si="22"/>
        <v>0</v>
      </c>
      <c r="H184" s="930"/>
      <c r="I184" s="931"/>
      <c r="J184" s="931"/>
      <c r="K184" s="266"/>
      <c r="L184" s="266"/>
      <c r="M184" s="266"/>
      <c r="N184" s="266"/>
      <c r="O184" s="266"/>
      <c r="P184" s="266"/>
      <c r="Q184" s="266"/>
    </row>
    <row r="185" spans="1:17" s="235" customFormat="1" ht="409.6" customHeight="1" thickTop="1" thickBot="1" x14ac:dyDescent="0.7">
      <c r="A185" s="875" t="s">
        <v>674</v>
      </c>
      <c r="B185" s="875" t="s">
        <v>371</v>
      </c>
      <c r="C185" s="875" t="s">
        <v>191</v>
      </c>
      <c r="D185" s="502" t="s">
        <v>483</v>
      </c>
      <c r="E185" s="875" t="s">
        <v>1071</v>
      </c>
      <c r="F185" s="875" t="s">
        <v>1072</v>
      </c>
      <c r="G185" s="866">
        <f t="shared" si="22"/>
        <v>190000</v>
      </c>
      <c r="H185" s="866">
        <f>'d3'!E215</f>
        <v>0</v>
      </c>
      <c r="I185" s="866">
        <f>'d3'!J215</f>
        <v>190000</v>
      </c>
      <c r="J185" s="866">
        <f>'d3'!K215</f>
        <v>0</v>
      </c>
      <c r="K185" s="266"/>
      <c r="L185" s="266"/>
      <c r="M185" s="266"/>
      <c r="N185" s="266"/>
      <c r="O185" s="266"/>
      <c r="P185" s="266"/>
      <c r="Q185" s="266"/>
    </row>
    <row r="186" spans="1:17" s="235" customFormat="1" ht="184.5" thickTop="1" thickBot="1" x14ac:dyDescent="0.25">
      <c r="A186" s="876"/>
      <c r="B186" s="876"/>
      <c r="C186" s="876"/>
      <c r="D186" s="503" t="s">
        <v>484</v>
      </c>
      <c r="E186" s="876"/>
      <c r="F186" s="876"/>
      <c r="G186" s="876">
        <f t="shared" si="22"/>
        <v>0</v>
      </c>
      <c r="H186" s="876"/>
      <c r="I186" s="876"/>
      <c r="J186" s="876"/>
      <c r="K186" s="266"/>
      <c r="L186" s="266"/>
      <c r="M186" s="266"/>
      <c r="N186" s="266"/>
      <c r="O186" s="266"/>
      <c r="P186" s="266"/>
      <c r="Q186" s="266"/>
    </row>
    <row r="187" spans="1:17" s="235" customFormat="1" ht="409.6" thickTop="1" thickBot="1" x14ac:dyDescent="0.25">
      <c r="A187" s="486" t="s">
        <v>675</v>
      </c>
      <c r="B187" s="486" t="s">
        <v>577</v>
      </c>
      <c r="C187" s="486" t="s">
        <v>276</v>
      </c>
      <c r="D187" s="434" t="s">
        <v>578</v>
      </c>
      <c r="E187" s="594" t="s">
        <v>1069</v>
      </c>
      <c r="F187" s="593" t="s">
        <v>1070</v>
      </c>
      <c r="G187" s="485">
        <f t="shared" si="22"/>
        <v>108400</v>
      </c>
      <c r="H187" s="406">
        <f>'d3'!E219</f>
        <v>108400</v>
      </c>
      <c r="I187" s="425">
        <f>'d3'!J219</f>
        <v>0</v>
      </c>
      <c r="J187" s="425">
        <f>'d3'!K219</f>
        <v>0</v>
      </c>
      <c r="K187" s="266"/>
      <c r="L187" s="266"/>
      <c r="M187" s="266"/>
      <c r="N187" s="266"/>
      <c r="O187" s="266"/>
      <c r="P187" s="266"/>
      <c r="Q187" s="266"/>
    </row>
    <row r="188" spans="1:17" s="235" customFormat="1" ht="409.6" thickTop="1" thickBot="1" x14ac:dyDescent="0.25">
      <c r="A188" s="486" t="s">
        <v>676</v>
      </c>
      <c r="B188" s="486" t="s">
        <v>275</v>
      </c>
      <c r="C188" s="486" t="s">
        <v>276</v>
      </c>
      <c r="D188" s="486" t="s">
        <v>274</v>
      </c>
      <c r="E188" s="598" t="s">
        <v>1069</v>
      </c>
      <c r="F188" s="596" t="s">
        <v>1070</v>
      </c>
      <c r="G188" s="485">
        <f t="shared" si="22"/>
        <v>3052178</v>
      </c>
      <c r="H188" s="406">
        <f>'d3'!E220</f>
        <v>3052178</v>
      </c>
      <c r="I188" s="425">
        <f>'d3'!J220</f>
        <v>0</v>
      </c>
      <c r="J188" s="425">
        <f>'d3'!K220</f>
        <v>0</v>
      </c>
      <c r="K188" s="266"/>
      <c r="L188" s="266"/>
      <c r="M188" s="266"/>
      <c r="N188" s="266"/>
      <c r="O188" s="266"/>
      <c r="P188" s="266"/>
      <c r="Q188" s="266"/>
    </row>
    <row r="189" spans="1:17" s="235" customFormat="1" ht="409.6" hidden="1" thickTop="1" thickBot="1" x14ac:dyDescent="0.25">
      <c r="A189" s="486" t="s">
        <v>677</v>
      </c>
      <c r="B189" s="486" t="s">
        <v>678</v>
      </c>
      <c r="C189" s="486" t="s">
        <v>276</v>
      </c>
      <c r="D189" s="486" t="s">
        <v>679</v>
      </c>
      <c r="E189" s="598" t="s">
        <v>1069</v>
      </c>
      <c r="F189" s="596" t="s">
        <v>1070</v>
      </c>
      <c r="G189" s="485">
        <f t="shared" si="22"/>
        <v>0</v>
      </c>
      <c r="H189" s="406">
        <f>'d3'!E221</f>
        <v>0</v>
      </c>
      <c r="I189" s="425">
        <f>'d3'!J221</f>
        <v>0</v>
      </c>
      <c r="J189" s="425">
        <f>'d3'!K221</f>
        <v>0</v>
      </c>
      <c r="K189" s="266"/>
      <c r="L189" s="266"/>
      <c r="M189" s="266"/>
      <c r="N189" s="266"/>
      <c r="O189" s="266"/>
      <c r="P189" s="266"/>
      <c r="Q189" s="266"/>
    </row>
    <row r="190" spans="1:17" ht="181.5" thickTop="1" thickBot="1" x14ac:dyDescent="0.25">
      <c r="A190" s="680" t="s">
        <v>25</v>
      </c>
      <c r="B190" s="680"/>
      <c r="C190" s="680"/>
      <c r="D190" s="681" t="s">
        <v>1110</v>
      </c>
      <c r="E190" s="682"/>
      <c r="F190" s="683"/>
      <c r="G190" s="683">
        <f>G191</f>
        <v>86605566.510000005</v>
      </c>
      <c r="H190" s="683">
        <f>H191</f>
        <v>155000</v>
      </c>
      <c r="I190" s="682">
        <f>I191</f>
        <v>86450566.510000005</v>
      </c>
      <c r="J190" s="682">
        <f>J191</f>
        <v>86450566.510000005</v>
      </c>
    </row>
    <row r="191" spans="1:17" ht="316.5" customHeight="1" thickTop="1" thickBot="1" x14ac:dyDescent="0.25">
      <c r="A191" s="684" t="s">
        <v>26</v>
      </c>
      <c r="B191" s="684"/>
      <c r="C191" s="684"/>
      <c r="D191" s="685" t="s">
        <v>1111</v>
      </c>
      <c r="E191" s="686"/>
      <c r="F191" s="686"/>
      <c r="G191" s="686">
        <f>SUM(G192:G201)</f>
        <v>86605566.510000005</v>
      </c>
      <c r="H191" s="686">
        <f>SUM(H192:H201)</f>
        <v>155000</v>
      </c>
      <c r="I191" s="686">
        <f>SUM(I192:I201)</f>
        <v>86450566.510000005</v>
      </c>
      <c r="J191" s="686">
        <f>SUM(J192:J201)</f>
        <v>86450566.510000005</v>
      </c>
      <c r="K191" s="311" t="b">
        <f>H191='d3'!E223-'d3'!E225</f>
        <v>1</v>
      </c>
      <c r="L191" s="312" t="b">
        <f>I191='d3'!J223</f>
        <v>1</v>
      </c>
      <c r="M191" s="312" t="b">
        <f>J191='d3'!K223</f>
        <v>1</v>
      </c>
    </row>
    <row r="192" spans="1:17" s="412" customFormat="1" ht="409.5" customHeight="1" thickTop="1" thickBot="1" x14ac:dyDescent="0.25">
      <c r="A192" s="413" t="s">
        <v>825</v>
      </c>
      <c r="B192" s="413" t="s">
        <v>398</v>
      </c>
      <c r="C192" s="413" t="s">
        <v>815</v>
      </c>
      <c r="D192" s="413" t="s">
        <v>816</v>
      </c>
      <c r="E192" s="394" t="s">
        <v>1101</v>
      </c>
      <c r="F192" s="619" t="s">
        <v>1102</v>
      </c>
      <c r="G192" s="370">
        <f t="shared" ref="G192:G193" si="25">H192+I192</f>
        <v>5000</v>
      </c>
      <c r="H192" s="406">
        <f>'d3'!E226</f>
        <v>5000</v>
      </c>
      <c r="I192" s="425"/>
      <c r="J192" s="425"/>
      <c r="K192" s="430"/>
      <c r="L192" s="430"/>
      <c r="M192" s="430"/>
      <c r="N192" s="414"/>
      <c r="O192" s="414"/>
      <c r="P192" s="414"/>
      <c r="Q192" s="414"/>
    </row>
    <row r="193" spans="1:17" s="725" customFormat="1" ht="230.25" thickTop="1" thickBot="1" x14ac:dyDescent="0.25">
      <c r="A193" s="733" t="s">
        <v>1206</v>
      </c>
      <c r="B193" s="733" t="s">
        <v>45</v>
      </c>
      <c r="C193" s="733" t="s">
        <v>44</v>
      </c>
      <c r="D193" s="733" t="s">
        <v>273</v>
      </c>
      <c r="E193" s="394" t="s">
        <v>1071</v>
      </c>
      <c r="F193" s="726" t="s">
        <v>1072</v>
      </c>
      <c r="G193" s="726">
        <f t="shared" si="25"/>
        <v>150000</v>
      </c>
      <c r="H193" s="734">
        <f>'d3'!E227</f>
        <v>150000</v>
      </c>
      <c r="I193" s="735">
        <f>'d3'!J227</f>
        <v>0</v>
      </c>
      <c r="J193" s="735">
        <f>'d3'!K227</f>
        <v>0</v>
      </c>
      <c r="K193" s="430"/>
      <c r="L193" s="430"/>
      <c r="M193" s="430"/>
      <c r="N193" s="737"/>
      <c r="O193" s="737"/>
      <c r="P193" s="737"/>
      <c r="Q193" s="737"/>
    </row>
    <row r="194" spans="1:17" s="132" customFormat="1" ht="321.75" thickTop="1" thickBot="1" x14ac:dyDescent="0.25">
      <c r="A194" s="486" t="s">
        <v>473</v>
      </c>
      <c r="B194" s="486" t="s">
        <v>475</v>
      </c>
      <c r="C194" s="486" t="s">
        <v>220</v>
      </c>
      <c r="D194" s="486" t="s">
        <v>474</v>
      </c>
      <c r="E194" s="394" t="s">
        <v>1071</v>
      </c>
      <c r="F194" s="593" t="s">
        <v>1072</v>
      </c>
      <c r="G194" s="485">
        <f>H194+I194</f>
        <v>17000000</v>
      </c>
      <c r="H194" s="485">
        <f>'d3'!E230</f>
        <v>0</v>
      </c>
      <c r="I194" s="485">
        <f>'d3'!J230</f>
        <v>17000000</v>
      </c>
      <c r="J194" s="485">
        <f>'d3'!K230</f>
        <v>17000000</v>
      </c>
      <c r="K194" s="266"/>
      <c r="L194" s="266"/>
      <c r="M194" s="266"/>
      <c r="N194" s="266"/>
      <c r="O194" s="266"/>
      <c r="P194" s="266"/>
      <c r="Q194" s="266"/>
    </row>
    <row r="195" spans="1:17" s="132" customFormat="1" ht="230.25" thickTop="1" thickBot="1" x14ac:dyDescent="0.25">
      <c r="A195" s="731" t="s">
        <v>1205</v>
      </c>
      <c r="B195" s="731" t="s">
        <v>331</v>
      </c>
      <c r="C195" s="731" t="s">
        <v>330</v>
      </c>
      <c r="D195" s="731" t="s">
        <v>817</v>
      </c>
      <c r="E195" s="601" t="s">
        <v>1071</v>
      </c>
      <c r="F195" s="747" t="s">
        <v>1072</v>
      </c>
      <c r="G195" s="726">
        <f>H195+I195</f>
        <v>36872.51</v>
      </c>
      <c r="H195" s="726">
        <f>'d3'!E233</f>
        <v>0</v>
      </c>
      <c r="I195" s="726">
        <f>'d3'!J233</f>
        <v>36872.51</v>
      </c>
      <c r="J195" s="726">
        <f>'d3'!K233</f>
        <v>36872.51</v>
      </c>
      <c r="K195" s="737"/>
      <c r="L195" s="737"/>
      <c r="M195" s="737"/>
      <c r="N195" s="737"/>
      <c r="O195" s="737"/>
      <c r="P195" s="737"/>
      <c r="Q195" s="737"/>
    </row>
    <row r="196" spans="1:17" s="132" customFormat="1" ht="230.25" thickTop="1" thickBot="1" x14ac:dyDescent="0.25">
      <c r="A196" s="486" t="s">
        <v>340</v>
      </c>
      <c r="B196" s="486" t="s">
        <v>341</v>
      </c>
      <c r="C196" s="486" t="s">
        <v>330</v>
      </c>
      <c r="D196" s="486" t="s">
        <v>818</v>
      </c>
      <c r="E196" s="394" t="s">
        <v>1071</v>
      </c>
      <c r="F196" s="593" t="s">
        <v>1072</v>
      </c>
      <c r="G196" s="485">
        <f>I196</f>
        <v>21770957</v>
      </c>
      <c r="H196" s="485">
        <f>'d3'!E235</f>
        <v>0</v>
      </c>
      <c r="I196" s="485">
        <f>'d3'!J235</f>
        <v>21770957</v>
      </c>
      <c r="J196" s="485">
        <f>I196</f>
        <v>21770957</v>
      </c>
      <c r="K196" s="266"/>
      <c r="L196" s="266"/>
      <c r="M196" s="266"/>
      <c r="N196" s="266"/>
      <c r="O196" s="266"/>
      <c r="P196" s="266"/>
      <c r="Q196" s="266"/>
    </row>
    <row r="197" spans="1:17" s="132" customFormat="1" ht="230.25" thickTop="1" thickBot="1" x14ac:dyDescent="0.25">
      <c r="A197" s="486" t="s">
        <v>575</v>
      </c>
      <c r="B197" s="486" t="s">
        <v>576</v>
      </c>
      <c r="C197" s="486" t="s">
        <v>330</v>
      </c>
      <c r="D197" s="486" t="s">
        <v>819</v>
      </c>
      <c r="E197" s="394" t="s">
        <v>1071</v>
      </c>
      <c r="F197" s="593" t="s">
        <v>1072</v>
      </c>
      <c r="G197" s="485">
        <f>I197</f>
        <v>200000</v>
      </c>
      <c r="H197" s="485">
        <f>'d3'!E236</f>
        <v>0</v>
      </c>
      <c r="I197" s="485">
        <f>'d3'!J236</f>
        <v>200000</v>
      </c>
      <c r="J197" s="485">
        <f>I197</f>
        <v>200000</v>
      </c>
      <c r="K197" s="266"/>
      <c r="L197" s="266"/>
      <c r="M197" s="266"/>
      <c r="N197" s="266"/>
      <c r="O197" s="266"/>
      <c r="P197" s="266"/>
      <c r="Q197" s="266"/>
    </row>
    <row r="198" spans="1:17" s="132" customFormat="1" ht="230.25" thickTop="1" thickBot="1" x14ac:dyDescent="0.25">
      <c r="A198" s="486" t="s">
        <v>342</v>
      </c>
      <c r="B198" s="486" t="s">
        <v>343</v>
      </c>
      <c r="C198" s="486" t="s">
        <v>330</v>
      </c>
      <c r="D198" s="486" t="s">
        <v>820</v>
      </c>
      <c r="E198" s="394" t="s">
        <v>1071</v>
      </c>
      <c r="F198" s="593" t="s">
        <v>1072</v>
      </c>
      <c r="G198" s="485">
        <f t="shared" ref="G198:G200" si="26">I198</f>
        <v>0</v>
      </c>
      <c r="H198" s="485">
        <f>'d3'!E237</f>
        <v>0</v>
      </c>
      <c r="I198" s="485">
        <f>'d3'!J237</f>
        <v>0</v>
      </c>
      <c r="J198" s="485">
        <f>I198</f>
        <v>0</v>
      </c>
      <c r="K198" s="266"/>
      <c r="L198" s="266"/>
      <c r="M198" s="266"/>
      <c r="N198" s="266"/>
      <c r="O198" s="266"/>
      <c r="P198" s="266"/>
      <c r="Q198" s="266"/>
    </row>
    <row r="199" spans="1:17" s="132" customFormat="1" ht="230.25" thickTop="1" thickBot="1" x14ac:dyDescent="0.25">
      <c r="A199" s="486" t="s">
        <v>344</v>
      </c>
      <c r="B199" s="486" t="s">
        <v>345</v>
      </c>
      <c r="C199" s="486" t="s">
        <v>330</v>
      </c>
      <c r="D199" s="486" t="s">
        <v>821</v>
      </c>
      <c r="E199" s="394" t="s">
        <v>1071</v>
      </c>
      <c r="F199" s="593" t="s">
        <v>1072</v>
      </c>
      <c r="G199" s="485">
        <f t="shared" si="26"/>
        <v>16165465</v>
      </c>
      <c r="H199" s="485">
        <f>'d3'!E238-H200</f>
        <v>0</v>
      </c>
      <c r="I199" s="485">
        <f>'d3'!J238-I200</f>
        <v>16165465</v>
      </c>
      <c r="J199" s="794">
        <f>'d3'!K238-J200</f>
        <v>16165465</v>
      </c>
      <c r="K199" s="266"/>
      <c r="L199" s="266"/>
      <c r="M199" s="266"/>
      <c r="N199" s="266"/>
      <c r="O199" s="266"/>
      <c r="P199" s="266"/>
      <c r="Q199" s="266"/>
    </row>
    <row r="200" spans="1:17" s="132" customFormat="1" ht="184.5" thickTop="1" thickBot="1" x14ac:dyDescent="0.25">
      <c r="A200" s="795" t="s">
        <v>344</v>
      </c>
      <c r="B200" s="795" t="s">
        <v>345</v>
      </c>
      <c r="C200" s="795" t="s">
        <v>330</v>
      </c>
      <c r="D200" s="795" t="s">
        <v>821</v>
      </c>
      <c r="E200" s="249" t="s">
        <v>494</v>
      </c>
      <c r="F200" s="361" t="s">
        <v>463</v>
      </c>
      <c r="G200" s="794">
        <f t="shared" si="26"/>
        <v>1195970</v>
      </c>
      <c r="H200" s="794">
        <v>0</v>
      </c>
      <c r="I200" s="794">
        <v>1195970</v>
      </c>
      <c r="J200" s="794">
        <v>1195970</v>
      </c>
      <c r="K200" s="805"/>
      <c r="L200" s="805"/>
      <c r="M200" s="805"/>
      <c r="N200" s="805"/>
      <c r="O200" s="805"/>
      <c r="P200" s="805"/>
      <c r="Q200" s="805"/>
    </row>
    <row r="201" spans="1:17" s="132" customFormat="1" ht="230.25" thickTop="1" thickBot="1" x14ac:dyDescent="0.25">
      <c r="A201" s="486" t="s">
        <v>479</v>
      </c>
      <c r="B201" s="486" t="s">
        <v>384</v>
      </c>
      <c r="C201" s="486" t="s">
        <v>191</v>
      </c>
      <c r="D201" s="486" t="s">
        <v>287</v>
      </c>
      <c r="E201" s="394" t="s">
        <v>1071</v>
      </c>
      <c r="F201" s="593" t="s">
        <v>1072</v>
      </c>
      <c r="G201" s="485">
        <f>H201+I201</f>
        <v>30081302</v>
      </c>
      <c r="H201" s="485">
        <f>'d3'!E239</f>
        <v>0</v>
      </c>
      <c r="I201" s="485">
        <f>'d3'!J239</f>
        <v>30081302</v>
      </c>
      <c r="J201" s="485">
        <f>'d3'!K239</f>
        <v>30081302</v>
      </c>
      <c r="K201" s="266"/>
      <c r="L201" s="266"/>
      <c r="M201" s="266"/>
      <c r="N201" s="266"/>
      <c r="O201" s="266"/>
      <c r="P201" s="266"/>
      <c r="Q201" s="266"/>
    </row>
    <row r="202" spans="1:17" ht="292.7" customHeight="1" thickTop="1" thickBot="1" x14ac:dyDescent="0.25">
      <c r="A202" s="680" t="s">
        <v>181</v>
      </c>
      <c r="B202" s="680"/>
      <c r="C202" s="680"/>
      <c r="D202" s="681" t="s">
        <v>1112</v>
      </c>
      <c r="E202" s="682"/>
      <c r="F202" s="683"/>
      <c r="G202" s="683">
        <f>G203</f>
        <v>744000</v>
      </c>
      <c r="H202" s="683">
        <f t="shared" ref="H202:J202" si="27">H203</f>
        <v>7000</v>
      </c>
      <c r="I202" s="682">
        <f t="shared" si="27"/>
        <v>737000</v>
      </c>
      <c r="J202" s="682">
        <f t="shared" si="27"/>
        <v>737000</v>
      </c>
      <c r="K202" s="311" t="b">
        <f>H202='d3'!E241-'d3'!E243+H204+H206</f>
        <v>1</v>
      </c>
      <c r="L202" s="312" t="b">
        <f>I202='d3'!J241-'d3'!J243+'d7'!I204</f>
        <v>1</v>
      </c>
      <c r="M202" s="312" t="b">
        <f>J202='d3'!K241-'d3'!K243+'d7'!J204</f>
        <v>1</v>
      </c>
    </row>
    <row r="203" spans="1:17" ht="181.5" thickTop="1" thickBot="1" x14ac:dyDescent="0.25">
      <c r="A203" s="684" t="s">
        <v>182</v>
      </c>
      <c r="B203" s="684"/>
      <c r="C203" s="684"/>
      <c r="D203" s="685" t="s">
        <v>1134</v>
      </c>
      <c r="E203" s="686"/>
      <c r="F203" s="686"/>
      <c r="G203" s="686">
        <f>SUM(G204:G206)</f>
        <v>744000</v>
      </c>
      <c r="H203" s="686">
        <f>SUM(H204:H206)</f>
        <v>7000</v>
      </c>
      <c r="I203" s="686">
        <f>SUM(I204:I206)</f>
        <v>737000</v>
      </c>
      <c r="J203" s="686">
        <f>SUM(J204:J206)</f>
        <v>737000</v>
      </c>
    </row>
    <row r="204" spans="1:17" ht="230.25" thickTop="1" thickBot="1" x14ac:dyDescent="0.25">
      <c r="A204" s="360" t="s">
        <v>457</v>
      </c>
      <c r="B204" s="360" t="s">
        <v>261</v>
      </c>
      <c r="C204" s="360" t="s">
        <v>259</v>
      </c>
      <c r="D204" s="360" t="s">
        <v>260</v>
      </c>
      <c r="E204" s="394" t="s">
        <v>1065</v>
      </c>
      <c r="F204" s="593" t="s">
        <v>1066</v>
      </c>
      <c r="G204" s="370">
        <f>H204+I204</f>
        <v>126000</v>
      </c>
      <c r="H204" s="370">
        <v>0</v>
      </c>
      <c r="I204" s="370">
        <f>(100000+26000)</f>
        <v>126000</v>
      </c>
      <c r="J204" s="370">
        <f>(100000+26000)</f>
        <v>126000</v>
      </c>
    </row>
    <row r="205" spans="1:17" s="412" customFormat="1" ht="409.6" thickTop="1" thickBot="1" x14ac:dyDescent="0.25">
      <c r="A205" s="419" t="s">
        <v>826</v>
      </c>
      <c r="B205" s="419" t="s">
        <v>398</v>
      </c>
      <c r="C205" s="419" t="s">
        <v>815</v>
      </c>
      <c r="D205" s="419" t="s">
        <v>816</v>
      </c>
      <c r="E205" s="394" t="s">
        <v>1101</v>
      </c>
      <c r="F205" s="619" t="s">
        <v>1102</v>
      </c>
      <c r="G205" s="370">
        <f t="shared" ref="G205:G206" si="28">H205+I205</f>
        <v>7000</v>
      </c>
      <c r="H205" s="406">
        <f>'d3'!E244</f>
        <v>7000</v>
      </c>
      <c r="I205" s="425"/>
      <c r="J205" s="425"/>
      <c r="K205" s="414"/>
      <c r="L205" s="414"/>
      <c r="M205" s="414"/>
      <c r="N205" s="414"/>
      <c r="O205" s="414"/>
      <c r="P205" s="414"/>
      <c r="Q205" s="414"/>
    </row>
    <row r="206" spans="1:17" s="653" customFormat="1" ht="230.25" thickTop="1" thickBot="1" x14ac:dyDescent="0.25">
      <c r="A206" s="656" t="s">
        <v>1164</v>
      </c>
      <c r="B206" s="656" t="s">
        <v>1165</v>
      </c>
      <c r="C206" s="656" t="s">
        <v>330</v>
      </c>
      <c r="D206" s="656" t="s">
        <v>1166</v>
      </c>
      <c r="E206" s="394" t="s">
        <v>1071</v>
      </c>
      <c r="F206" s="654" t="s">
        <v>1072</v>
      </c>
      <c r="G206" s="654">
        <f t="shared" si="28"/>
        <v>611000</v>
      </c>
      <c r="H206" s="658">
        <f>'d3'!E247</f>
        <v>0</v>
      </c>
      <c r="I206" s="659">
        <f>'d3'!J247</f>
        <v>611000</v>
      </c>
      <c r="J206" s="661">
        <f>'d3'!K247</f>
        <v>611000</v>
      </c>
      <c r="K206" s="660"/>
      <c r="L206" s="660"/>
      <c r="M206" s="660"/>
      <c r="N206" s="660"/>
      <c r="O206" s="660"/>
      <c r="P206" s="660"/>
      <c r="Q206" s="660"/>
    </row>
    <row r="207" spans="1:17" ht="201.75" customHeight="1" thickTop="1" thickBot="1" x14ac:dyDescent="0.25">
      <c r="A207" s="680" t="s">
        <v>487</v>
      </c>
      <c r="B207" s="680"/>
      <c r="C207" s="680"/>
      <c r="D207" s="681" t="s">
        <v>489</v>
      </c>
      <c r="E207" s="682"/>
      <c r="F207" s="683"/>
      <c r="G207" s="683">
        <f>G208</f>
        <v>54546153</v>
      </c>
      <c r="H207" s="683">
        <f t="shared" ref="H207:J207" si="29">H208</f>
        <v>54510153</v>
      </c>
      <c r="I207" s="682">
        <f t="shared" si="29"/>
        <v>36000</v>
      </c>
      <c r="J207" s="682">
        <f t="shared" si="29"/>
        <v>36000</v>
      </c>
    </row>
    <row r="208" spans="1:17" ht="181.5" thickTop="1" thickBot="1" x14ac:dyDescent="0.25">
      <c r="A208" s="684" t="s">
        <v>488</v>
      </c>
      <c r="B208" s="684"/>
      <c r="C208" s="684"/>
      <c r="D208" s="685" t="s">
        <v>490</v>
      </c>
      <c r="E208" s="686"/>
      <c r="F208" s="686"/>
      <c r="G208" s="686">
        <f>SUM(G209:G212)</f>
        <v>54546153</v>
      </c>
      <c r="H208" s="686">
        <f>SUM(H209:H212)</f>
        <v>54510153</v>
      </c>
      <c r="I208" s="686">
        <f>SUM(I209:I212)</f>
        <v>36000</v>
      </c>
      <c r="J208" s="686">
        <f>SUM(J209:J212)</f>
        <v>36000</v>
      </c>
      <c r="K208" s="311" t="b">
        <f>H208='d3'!E249-'d3'!E251+'d7'!H209</f>
        <v>1</v>
      </c>
      <c r="L208" s="312" t="b">
        <f>I208='d3'!J249-'d3'!J251+'d7'!I209</f>
        <v>1</v>
      </c>
      <c r="M208" s="312" t="b">
        <f>J208='d3'!K249-'d3'!K251+'d7'!J209</f>
        <v>1</v>
      </c>
    </row>
    <row r="209" spans="1:17" ht="230.25" thickTop="1" thickBot="1" x14ac:dyDescent="0.25">
      <c r="A209" s="360" t="s">
        <v>491</v>
      </c>
      <c r="B209" s="360" t="s">
        <v>261</v>
      </c>
      <c r="C209" s="360" t="s">
        <v>259</v>
      </c>
      <c r="D209" s="360" t="s">
        <v>260</v>
      </c>
      <c r="E209" s="394" t="s">
        <v>1065</v>
      </c>
      <c r="F209" s="593" t="s">
        <v>1066</v>
      </c>
      <c r="G209" s="370">
        <f>H209+I209</f>
        <v>36000</v>
      </c>
      <c r="H209" s="406"/>
      <c r="I209" s="370">
        <f>(18000)+18000</f>
        <v>36000</v>
      </c>
      <c r="J209" s="674">
        <f>(18000)+18000</f>
        <v>36000</v>
      </c>
    </row>
    <row r="210" spans="1:17" s="412" customFormat="1" ht="409.6" thickTop="1" thickBot="1" x14ac:dyDescent="0.25">
      <c r="A210" s="419" t="s">
        <v>827</v>
      </c>
      <c r="B210" s="419" t="s">
        <v>398</v>
      </c>
      <c r="C210" s="419" t="s">
        <v>815</v>
      </c>
      <c r="D210" s="419" t="s">
        <v>816</v>
      </c>
      <c r="E210" s="394" t="s">
        <v>1101</v>
      </c>
      <c r="F210" s="619" t="s">
        <v>1102</v>
      </c>
      <c r="G210" s="370">
        <f t="shared" ref="G210" si="30">H210+I210</f>
        <v>5080</v>
      </c>
      <c r="H210" s="406">
        <f>'d3'!E252</f>
        <v>5080</v>
      </c>
      <c r="I210" s="425"/>
      <c r="J210" s="425"/>
      <c r="K210" s="414"/>
      <c r="L210" s="414"/>
      <c r="M210" s="414"/>
      <c r="N210" s="414"/>
      <c r="O210" s="414"/>
      <c r="P210" s="414"/>
      <c r="Q210" s="414"/>
    </row>
    <row r="211" spans="1:17" ht="276" hidden="1" thickTop="1" thickBot="1" x14ac:dyDescent="0.25">
      <c r="A211" s="486" t="s">
        <v>516</v>
      </c>
      <c r="B211" s="486" t="s">
        <v>316</v>
      </c>
      <c r="C211" s="486" t="s">
        <v>318</v>
      </c>
      <c r="D211" s="486" t="s">
        <v>317</v>
      </c>
      <c r="E211" s="249" t="s">
        <v>775</v>
      </c>
      <c r="F211" s="485" t="s">
        <v>545</v>
      </c>
      <c r="G211" s="915">
        <f>H211+I211</f>
        <v>54505073</v>
      </c>
      <c r="H211" s="915">
        <f>'d3'!E257</f>
        <v>54505073</v>
      </c>
      <c r="I211" s="915">
        <f>'d3'!J257</f>
        <v>0</v>
      </c>
      <c r="J211" s="915">
        <f>'d3'!K257</f>
        <v>0</v>
      </c>
    </row>
    <row r="212" spans="1:17" ht="184.5" thickTop="1" thickBot="1" x14ac:dyDescent="0.25">
      <c r="A212" s="486" t="s">
        <v>516</v>
      </c>
      <c r="B212" s="486" t="s">
        <v>316</v>
      </c>
      <c r="C212" s="486" t="s">
        <v>318</v>
      </c>
      <c r="D212" s="486" t="s">
        <v>317</v>
      </c>
      <c r="E212" s="429" t="s">
        <v>1262</v>
      </c>
      <c r="F212" s="742" t="s">
        <v>1263</v>
      </c>
      <c r="G212" s="917"/>
      <c r="H212" s="917"/>
      <c r="I212" s="917"/>
      <c r="J212" s="917"/>
    </row>
    <row r="213" spans="1:17" ht="160.5" customHeight="1" thickTop="1" thickBot="1" x14ac:dyDescent="0.25">
      <c r="A213" s="680" t="s">
        <v>187</v>
      </c>
      <c r="B213" s="680"/>
      <c r="C213" s="680"/>
      <c r="D213" s="681" t="s">
        <v>388</v>
      </c>
      <c r="E213" s="682"/>
      <c r="F213" s="683"/>
      <c r="G213" s="683">
        <f>G214</f>
        <v>9886267.4100000001</v>
      </c>
      <c r="H213" s="683">
        <f t="shared" ref="H213:J213" si="31">H214</f>
        <v>8486267.4100000001</v>
      </c>
      <c r="I213" s="682">
        <f t="shared" si="31"/>
        <v>1400000</v>
      </c>
      <c r="J213" s="682">
        <f t="shared" si="31"/>
        <v>1400000</v>
      </c>
      <c r="K213" s="311" t="b">
        <f>H213='d3'!E258</f>
        <v>1</v>
      </c>
      <c r="L213" s="312" t="b">
        <f>I213='d3'!J258</f>
        <v>1</v>
      </c>
      <c r="M213" s="312" t="b">
        <f>J213='d3'!K258</f>
        <v>1</v>
      </c>
    </row>
    <row r="214" spans="1:17" ht="136.5" thickTop="1" thickBot="1" x14ac:dyDescent="0.25">
      <c r="A214" s="684" t="s">
        <v>188</v>
      </c>
      <c r="B214" s="684"/>
      <c r="C214" s="684"/>
      <c r="D214" s="685" t="s">
        <v>389</v>
      </c>
      <c r="E214" s="686"/>
      <c r="F214" s="686"/>
      <c r="G214" s="686">
        <f>SUM(G215:G222)</f>
        <v>9886267.4100000001</v>
      </c>
      <c r="H214" s="686">
        <f t="shared" ref="H214:J214" si="32">SUM(H215:H222)</f>
        <v>8486267.4100000001</v>
      </c>
      <c r="I214" s="686">
        <f t="shared" si="32"/>
        <v>1400000</v>
      </c>
      <c r="J214" s="686">
        <f t="shared" si="32"/>
        <v>1400000</v>
      </c>
    </row>
    <row r="215" spans="1:17" ht="184.5" thickTop="1" thickBot="1" x14ac:dyDescent="0.25">
      <c r="A215" s="486" t="s">
        <v>285</v>
      </c>
      <c r="B215" s="486" t="s">
        <v>286</v>
      </c>
      <c r="C215" s="486" t="s">
        <v>284</v>
      </c>
      <c r="D215" s="486" t="s">
        <v>283</v>
      </c>
      <c r="E215" s="249" t="s">
        <v>493</v>
      </c>
      <c r="F215" s="361" t="s">
        <v>467</v>
      </c>
      <c r="G215" s="406">
        <f>H215+I215</f>
        <v>4672230</v>
      </c>
      <c r="H215" s="485">
        <f>(5468200)-795970</f>
        <v>4672230</v>
      </c>
      <c r="I215" s="485"/>
      <c r="J215" s="485"/>
      <c r="K215" s="311" t="b">
        <f>H215+H216='d3'!E262</f>
        <v>1</v>
      </c>
      <c r="L215" s="312" t="b">
        <f>I215+I216='d3'!J262</f>
        <v>1</v>
      </c>
      <c r="M215" s="312" t="b">
        <f>J215+J216='d3'!K262</f>
        <v>1</v>
      </c>
    </row>
    <row r="216" spans="1:17" ht="184.5" thickTop="1" thickBot="1" x14ac:dyDescent="0.25">
      <c r="A216" s="486" t="s">
        <v>285</v>
      </c>
      <c r="B216" s="486" t="s">
        <v>286</v>
      </c>
      <c r="C216" s="486" t="s">
        <v>284</v>
      </c>
      <c r="D216" s="486" t="s">
        <v>283</v>
      </c>
      <c r="E216" s="249" t="s">
        <v>494</v>
      </c>
      <c r="F216" s="361" t="s">
        <v>463</v>
      </c>
      <c r="G216" s="406">
        <f t="shared" ref="G216:G222" si="33">H216+I216</f>
        <v>120000</v>
      </c>
      <c r="H216" s="485">
        <v>120000</v>
      </c>
      <c r="I216" s="485"/>
      <c r="J216" s="485"/>
      <c r="M216" s="312"/>
    </row>
    <row r="217" spans="1:17" ht="230.25" thickTop="1" thickBot="1" x14ac:dyDescent="0.25">
      <c r="A217" s="486" t="s">
        <v>277</v>
      </c>
      <c r="B217" s="486" t="s">
        <v>279</v>
      </c>
      <c r="C217" s="486" t="s">
        <v>238</v>
      </c>
      <c r="D217" s="486" t="s">
        <v>278</v>
      </c>
      <c r="E217" s="592" t="s">
        <v>1073</v>
      </c>
      <c r="F217" s="593" t="s">
        <v>1074</v>
      </c>
      <c r="G217" s="406">
        <f t="shared" si="33"/>
        <v>745000</v>
      </c>
      <c r="H217" s="485">
        <v>745000</v>
      </c>
      <c r="I217" s="485">
        <v>0</v>
      </c>
      <c r="J217" s="485">
        <v>0</v>
      </c>
      <c r="K217" s="311" t="b">
        <f>H217='d3'!E263</f>
        <v>1</v>
      </c>
      <c r="L217" s="312" t="b">
        <f>I217='d3'!J263</f>
        <v>1</v>
      </c>
      <c r="M217" s="312" t="b">
        <f>J217='d3'!K263</f>
        <v>1</v>
      </c>
    </row>
    <row r="218" spans="1:17" ht="276" thickTop="1" thickBot="1" x14ac:dyDescent="0.25">
      <c r="A218" s="486" t="s">
        <v>281</v>
      </c>
      <c r="B218" s="486" t="s">
        <v>282</v>
      </c>
      <c r="C218" s="486" t="s">
        <v>191</v>
      </c>
      <c r="D218" s="486" t="s">
        <v>280</v>
      </c>
      <c r="E218" s="485" t="s">
        <v>492</v>
      </c>
      <c r="F218" s="361" t="s">
        <v>468</v>
      </c>
      <c r="G218" s="406">
        <f t="shared" si="33"/>
        <v>449037.40999999992</v>
      </c>
      <c r="H218" s="485">
        <f>2049580-1600542.59</f>
        <v>449037.40999999992</v>
      </c>
      <c r="I218" s="485">
        <v>0</v>
      </c>
      <c r="J218" s="485">
        <v>0</v>
      </c>
      <c r="K218" s="311" t="b">
        <f>'d3'!E265=H218+H219+H220+H221</f>
        <v>1</v>
      </c>
      <c r="L218" s="312" t="b">
        <f>'d3'!J265=I218+I219+I220+I221</f>
        <v>1</v>
      </c>
      <c r="M218" s="312" t="b">
        <f>'d3'!K265=J218+J219+J220+J221</f>
        <v>1</v>
      </c>
    </row>
    <row r="219" spans="1:17" ht="184.5" thickTop="1" thickBot="1" x14ac:dyDescent="0.25">
      <c r="A219" s="486" t="s">
        <v>281</v>
      </c>
      <c r="B219" s="486" t="s">
        <v>282</v>
      </c>
      <c r="C219" s="486" t="s">
        <v>191</v>
      </c>
      <c r="D219" s="486" t="s">
        <v>280</v>
      </c>
      <c r="E219" s="485" t="s">
        <v>752</v>
      </c>
      <c r="F219" s="485" t="s">
        <v>753</v>
      </c>
      <c r="G219" s="406">
        <f t="shared" si="33"/>
        <v>1200000</v>
      </c>
      <c r="H219" s="485">
        <v>800000</v>
      </c>
      <c r="I219" s="485">
        <v>400000</v>
      </c>
      <c r="J219" s="485">
        <v>400000</v>
      </c>
      <c r="K219" s="300"/>
      <c r="L219" s="303"/>
      <c r="M219" s="304"/>
    </row>
    <row r="220" spans="1:17" s="741" customFormat="1" ht="230.25" thickTop="1" thickBot="1" x14ac:dyDescent="0.25">
      <c r="A220" s="743" t="s">
        <v>281</v>
      </c>
      <c r="B220" s="743" t="s">
        <v>282</v>
      </c>
      <c r="C220" s="743" t="s">
        <v>191</v>
      </c>
      <c r="D220" s="743" t="s">
        <v>280</v>
      </c>
      <c r="E220" s="394" t="s">
        <v>1261</v>
      </c>
      <c r="F220" s="742"/>
      <c r="G220" s="748">
        <f t="shared" si="33"/>
        <v>300000</v>
      </c>
      <c r="H220" s="742">
        <v>300000</v>
      </c>
      <c r="I220" s="742">
        <v>0</v>
      </c>
      <c r="J220" s="742">
        <v>0</v>
      </c>
      <c r="K220" s="300"/>
      <c r="L220" s="303"/>
      <c r="M220" s="304"/>
      <c r="N220" s="750"/>
      <c r="O220" s="750"/>
      <c r="P220" s="750"/>
      <c r="Q220" s="750"/>
    </row>
    <row r="221" spans="1:17" s="766" customFormat="1" ht="230.25" thickTop="1" thickBot="1" x14ac:dyDescent="0.25">
      <c r="A221" s="768" t="s">
        <v>281</v>
      </c>
      <c r="B221" s="768" t="s">
        <v>282</v>
      </c>
      <c r="C221" s="768" t="s">
        <v>191</v>
      </c>
      <c r="D221" s="768" t="s">
        <v>280</v>
      </c>
      <c r="E221" s="394" t="s">
        <v>1071</v>
      </c>
      <c r="F221" s="767" t="s">
        <v>1072</v>
      </c>
      <c r="G221" s="773">
        <f t="shared" si="33"/>
        <v>700000</v>
      </c>
      <c r="H221" s="767">
        <v>700000</v>
      </c>
      <c r="I221" s="767">
        <v>0</v>
      </c>
      <c r="J221" s="767">
        <v>0</v>
      </c>
      <c r="K221" s="300"/>
      <c r="L221" s="303"/>
      <c r="M221" s="304"/>
      <c r="N221" s="774"/>
      <c r="O221" s="774"/>
      <c r="P221" s="774"/>
      <c r="Q221" s="774"/>
    </row>
    <row r="222" spans="1:17" s="635" customFormat="1" ht="230.25" thickTop="1" thickBot="1" x14ac:dyDescent="0.25">
      <c r="A222" s="638" t="s">
        <v>1151</v>
      </c>
      <c r="B222" s="638" t="s">
        <v>399</v>
      </c>
      <c r="C222" s="638" t="s">
        <v>45</v>
      </c>
      <c r="D222" s="638" t="s">
        <v>400</v>
      </c>
      <c r="E222" s="394" t="s">
        <v>1071</v>
      </c>
      <c r="F222" s="639" t="s">
        <v>1072</v>
      </c>
      <c r="G222" s="640">
        <f t="shared" si="33"/>
        <v>1700000</v>
      </c>
      <c r="H222" s="639">
        <f>'d3'!E268</f>
        <v>700000</v>
      </c>
      <c r="I222" s="639">
        <f>'d3'!J268</f>
        <v>1000000</v>
      </c>
      <c r="J222" s="643">
        <f>'d3'!K268</f>
        <v>1000000</v>
      </c>
      <c r="K222" s="300"/>
      <c r="L222" s="303"/>
      <c r="M222" s="304"/>
      <c r="N222" s="641"/>
      <c r="O222" s="641"/>
      <c r="P222" s="641"/>
      <c r="Q222" s="641"/>
    </row>
    <row r="223" spans="1:17" ht="226.5" thickTop="1" thickBot="1" x14ac:dyDescent="0.25">
      <c r="A223" s="680" t="s">
        <v>185</v>
      </c>
      <c r="B223" s="680"/>
      <c r="C223" s="680"/>
      <c r="D223" s="681" t="s">
        <v>1105</v>
      </c>
      <c r="E223" s="682"/>
      <c r="F223" s="683"/>
      <c r="G223" s="683">
        <f>G224</f>
        <v>1554138.96</v>
      </c>
      <c r="H223" s="683">
        <f t="shared" ref="H223:J223" si="34">H224</f>
        <v>5000</v>
      </c>
      <c r="I223" s="682">
        <f t="shared" si="34"/>
        <v>1549138.96</v>
      </c>
      <c r="J223" s="682">
        <f t="shared" si="34"/>
        <v>64000</v>
      </c>
      <c r="K223" s="311" t="b">
        <f>H223='d3'!E270-'d3'!E272+H225</f>
        <v>1</v>
      </c>
      <c r="L223" s="312" t="b">
        <f>I223='d3'!J270-'d3'!J272+'d7'!I225</f>
        <v>1</v>
      </c>
      <c r="M223" s="312" t="b">
        <f>J223='d3'!K270-'d3'!K272+'d7'!J225</f>
        <v>1</v>
      </c>
    </row>
    <row r="224" spans="1:17" ht="181.5" thickTop="1" thickBot="1" x14ac:dyDescent="0.25">
      <c r="A224" s="684" t="s">
        <v>186</v>
      </c>
      <c r="B224" s="684"/>
      <c r="C224" s="684"/>
      <c r="D224" s="685" t="s">
        <v>1106</v>
      </c>
      <c r="E224" s="686"/>
      <c r="F224" s="686"/>
      <c r="G224" s="686">
        <f>SUM(G225:G230)</f>
        <v>1554138.96</v>
      </c>
      <c r="H224" s="686">
        <f>SUM(H225:H230)</f>
        <v>5000</v>
      </c>
      <c r="I224" s="686">
        <f>SUM(I225:I230)</f>
        <v>1549138.96</v>
      </c>
      <c r="J224" s="686">
        <f>SUM(J225:J230)</f>
        <v>64000</v>
      </c>
    </row>
    <row r="225" spans="1:17" s="334" customFormat="1" ht="230.25" thickTop="1" thickBot="1" x14ac:dyDescent="0.25">
      <c r="A225" s="360" t="s">
        <v>460</v>
      </c>
      <c r="B225" s="360" t="s">
        <v>261</v>
      </c>
      <c r="C225" s="360" t="s">
        <v>259</v>
      </c>
      <c r="D225" s="360" t="s">
        <v>260</v>
      </c>
      <c r="E225" s="394" t="s">
        <v>1065</v>
      </c>
      <c r="F225" s="593" t="s">
        <v>1066</v>
      </c>
      <c r="G225" s="370">
        <f>H225+I225</f>
        <v>64000</v>
      </c>
      <c r="H225" s="406"/>
      <c r="I225" s="370">
        <f>(18000)+46000</f>
        <v>64000</v>
      </c>
      <c r="J225" s="674">
        <f>(18000)+46000</f>
        <v>64000</v>
      </c>
      <c r="K225" s="335"/>
      <c r="L225" s="335"/>
      <c r="M225" s="335"/>
      <c r="N225" s="335"/>
      <c r="O225" s="335"/>
      <c r="P225" s="335"/>
      <c r="Q225" s="335"/>
    </row>
    <row r="226" spans="1:17" s="412" customFormat="1" ht="409.6" thickTop="1" thickBot="1" x14ac:dyDescent="0.25">
      <c r="A226" s="419" t="s">
        <v>828</v>
      </c>
      <c r="B226" s="419" t="s">
        <v>398</v>
      </c>
      <c r="C226" s="419" t="s">
        <v>815</v>
      </c>
      <c r="D226" s="419" t="s">
        <v>816</v>
      </c>
      <c r="E226" s="394" t="s">
        <v>1101</v>
      </c>
      <c r="F226" s="619" t="s">
        <v>1102</v>
      </c>
      <c r="G226" s="370">
        <f t="shared" ref="G226" si="35">H226+I226</f>
        <v>5000</v>
      </c>
      <c r="H226" s="406">
        <f>'d3'!E273</f>
        <v>5000</v>
      </c>
      <c r="I226" s="425"/>
      <c r="J226" s="425"/>
      <c r="K226" s="414"/>
      <c r="L226" s="414"/>
      <c r="M226" s="414"/>
      <c r="N226" s="414"/>
      <c r="O226" s="414"/>
      <c r="P226" s="414"/>
      <c r="Q226" s="414"/>
    </row>
    <row r="227" spans="1:17" ht="184.5" thickTop="1" thickBot="1" x14ac:dyDescent="0.25">
      <c r="A227" s="486" t="s">
        <v>335</v>
      </c>
      <c r="B227" s="486" t="s">
        <v>336</v>
      </c>
      <c r="C227" s="486" t="s">
        <v>54</v>
      </c>
      <c r="D227" s="486" t="s">
        <v>55</v>
      </c>
      <c r="E227" s="429" t="s">
        <v>695</v>
      </c>
      <c r="F227" s="436"/>
      <c r="G227" s="406">
        <f t="shared" ref="G227:G230" si="36">H227+I227</f>
        <v>403900</v>
      </c>
      <c r="H227" s="485">
        <f>'d3'!E277</f>
        <v>0</v>
      </c>
      <c r="I227" s="485">
        <f>'d3'!J277</f>
        <v>403900</v>
      </c>
      <c r="J227" s="485">
        <f>'d3'!K277</f>
        <v>0</v>
      </c>
    </row>
    <row r="228" spans="1:17" ht="184.5" thickTop="1" thickBot="1" x14ac:dyDescent="0.25">
      <c r="A228" s="486" t="s">
        <v>519</v>
      </c>
      <c r="B228" s="486" t="s">
        <v>520</v>
      </c>
      <c r="C228" s="486" t="s">
        <v>518</v>
      </c>
      <c r="D228" s="486" t="s">
        <v>521</v>
      </c>
      <c r="E228" s="429" t="s">
        <v>695</v>
      </c>
      <c r="F228" s="436"/>
      <c r="G228" s="406">
        <f t="shared" si="36"/>
        <v>361238.96</v>
      </c>
      <c r="H228" s="485">
        <f>'d3'!E278</f>
        <v>0</v>
      </c>
      <c r="I228" s="485">
        <f>'d3'!J278</f>
        <v>361238.96</v>
      </c>
      <c r="J228" s="485">
        <f>'d3'!K278</f>
        <v>0</v>
      </c>
    </row>
    <row r="229" spans="1:17" ht="184.5" thickTop="1" thickBot="1" x14ac:dyDescent="0.25">
      <c r="A229" s="486" t="s">
        <v>581</v>
      </c>
      <c r="B229" s="486" t="s">
        <v>579</v>
      </c>
      <c r="C229" s="486" t="s">
        <v>582</v>
      </c>
      <c r="D229" s="486" t="s">
        <v>580</v>
      </c>
      <c r="E229" s="429" t="s">
        <v>695</v>
      </c>
      <c r="F229" s="436"/>
      <c r="G229" s="406">
        <f t="shared" si="36"/>
        <v>175000</v>
      </c>
      <c r="H229" s="485">
        <f>'d3'!E279</f>
        <v>0</v>
      </c>
      <c r="I229" s="485">
        <f>'d3'!J279</f>
        <v>175000</v>
      </c>
      <c r="J229" s="485">
        <f>'d3'!K279</f>
        <v>0</v>
      </c>
    </row>
    <row r="230" spans="1:17" ht="184.5" thickTop="1" thickBot="1" x14ac:dyDescent="0.25">
      <c r="A230" s="486" t="s">
        <v>337</v>
      </c>
      <c r="B230" s="486" t="s">
        <v>338</v>
      </c>
      <c r="C230" s="486" t="s">
        <v>56</v>
      </c>
      <c r="D230" s="486" t="s">
        <v>522</v>
      </c>
      <c r="E230" s="429" t="s">
        <v>695</v>
      </c>
      <c r="F230" s="436"/>
      <c r="G230" s="406">
        <f t="shared" si="36"/>
        <v>545000</v>
      </c>
      <c r="H230" s="485">
        <f>'d3'!E280</f>
        <v>0</v>
      </c>
      <c r="I230" s="485">
        <f>'d3'!J280</f>
        <v>545000</v>
      </c>
      <c r="J230" s="485">
        <f>'d3'!K280</f>
        <v>0</v>
      </c>
    </row>
    <row r="231" spans="1:17" ht="226.5" thickTop="1" thickBot="1" x14ac:dyDescent="0.25">
      <c r="A231" s="680" t="s">
        <v>183</v>
      </c>
      <c r="B231" s="680"/>
      <c r="C231" s="680"/>
      <c r="D231" s="681" t="s">
        <v>1135</v>
      </c>
      <c r="E231" s="682"/>
      <c r="F231" s="683"/>
      <c r="G231" s="683">
        <f>G232</f>
        <v>350000</v>
      </c>
      <c r="H231" s="683">
        <f t="shared" ref="H231:J231" si="37">H232</f>
        <v>0</v>
      </c>
      <c r="I231" s="682">
        <f t="shared" si="37"/>
        <v>350000</v>
      </c>
      <c r="J231" s="682">
        <f t="shared" si="37"/>
        <v>350000</v>
      </c>
      <c r="K231" s="311" t="b">
        <f>H231='d3'!E282-'d3'!E284+H233</f>
        <v>1</v>
      </c>
      <c r="L231" s="312" t="b">
        <f>I231='d3'!J282-'d3'!J284+I233</f>
        <v>1</v>
      </c>
      <c r="M231" s="312" t="b">
        <f>J231='d3'!K282-'d3'!K284+J233</f>
        <v>1</v>
      </c>
    </row>
    <row r="232" spans="1:17" ht="226.5" thickTop="1" thickBot="1" x14ac:dyDescent="0.25">
      <c r="A232" s="684" t="s">
        <v>184</v>
      </c>
      <c r="B232" s="684"/>
      <c r="C232" s="684"/>
      <c r="D232" s="685" t="s">
        <v>1136</v>
      </c>
      <c r="E232" s="686"/>
      <c r="F232" s="686"/>
      <c r="G232" s="686">
        <f>SUM(G233:G235)</f>
        <v>350000</v>
      </c>
      <c r="H232" s="686">
        <f>SUM(H233:H235)</f>
        <v>0</v>
      </c>
      <c r="I232" s="686">
        <f>SUM(I233:I235)</f>
        <v>350000</v>
      </c>
      <c r="J232" s="686">
        <f>SUM(J233:J235)</f>
        <v>350000</v>
      </c>
    </row>
    <row r="233" spans="1:17" s="669" customFormat="1" ht="230.25" thickTop="1" thickBot="1" x14ac:dyDescent="0.25">
      <c r="A233" s="675" t="s">
        <v>456</v>
      </c>
      <c r="B233" s="675" t="s">
        <v>261</v>
      </c>
      <c r="C233" s="675" t="s">
        <v>259</v>
      </c>
      <c r="D233" s="675" t="s">
        <v>260</v>
      </c>
      <c r="E233" s="394" t="s">
        <v>1065</v>
      </c>
      <c r="F233" s="674" t="s">
        <v>1066</v>
      </c>
      <c r="G233" s="674">
        <f>H233+I233</f>
        <v>100000</v>
      </c>
      <c r="H233" s="676"/>
      <c r="I233" s="674">
        <v>100000</v>
      </c>
      <c r="J233" s="674">
        <v>100000</v>
      </c>
      <c r="K233" s="678"/>
      <c r="L233" s="678"/>
      <c r="M233" s="678"/>
      <c r="N233" s="678"/>
      <c r="O233" s="678"/>
      <c r="P233" s="678"/>
      <c r="Q233" s="678"/>
    </row>
    <row r="234" spans="1:17" ht="230.25" thickTop="1" thickBot="1" x14ac:dyDescent="0.25">
      <c r="A234" s="486" t="s">
        <v>332</v>
      </c>
      <c r="B234" s="486" t="s">
        <v>333</v>
      </c>
      <c r="C234" s="486" t="s">
        <v>334</v>
      </c>
      <c r="D234" s="486" t="s">
        <v>507</v>
      </c>
      <c r="E234" s="394" t="s">
        <v>1071</v>
      </c>
      <c r="F234" s="593" t="s">
        <v>1072</v>
      </c>
      <c r="G234" s="406">
        <f t="shared" ref="G234:G235" si="38">H234+I234</f>
        <v>200000</v>
      </c>
      <c r="H234" s="485">
        <f>'d3'!E287</f>
        <v>0</v>
      </c>
      <c r="I234" s="485">
        <f>'d3'!J287</f>
        <v>200000</v>
      </c>
      <c r="J234" s="485">
        <f>'d3'!K287</f>
        <v>200000</v>
      </c>
    </row>
    <row r="235" spans="1:17" ht="230.25" thickTop="1" thickBot="1" x14ac:dyDescent="0.25">
      <c r="A235" s="486" t="s">
        <v>404</v>
      </c>
      <c r="B235" s="486" t="s">
        <v>405</v>
      </c>
      <c r="C235" s="486" t="s">
        <v>191</v>
      </c>
      <c r="D235" s="486" t="s">
        <v>406</v>
      </c>
      <c r="E235" s="394" t="s">
        <v>1071</v>
      </c>
      <c r="F235" s="593" t="s">
        <v>1072</v>
      </c>
      <c r="G235" s="406">
        <f t="shared" si="38"/>
        <v>50000</v>
      </c>
      <c r="H235" s="485">
        <f>'d3'!E289</f>
        <v>0</v>
      </c>
      <c r="I235" s="485">
        <f>'d3'!J289</f>
        <v>50000</v>
      </c>
      <c r="J235" s="485">
        <f>'d3'!K289</f>
        <v>50000</v>
      </c>
    </row>
    <row r="236" spans="1:17" s="412" customFormat="1" ht="136.5" thickTop="1" thickBot="1" x14ac:dyDescent="0.25">
      <c r="A236" s="680" t="s">
        <v>189</v>
      </c>
      <c r="B236" s="680"/>
      <c r="C236" s="680"/>
      <c r="D236" s="681" t="s">
        <v>27</v>
      </c>
      <c r="E236" s="682"/>
      <c r="F236" s="683"/>
      <c r="G236" s="683">
        <f>G237</f>
        <v>3000</v>
      </c>
      <c r="H236" s="683">
        <f t="shared" ref="H236:J236" si="39">H237</f>
        <v>3000</v>
      </c>
      <c r="I236" s="682">
        <f t="shared" si="39"/>
        <v>0</v>
      </c>
      <c r="J236" s="682">
        <f t="shared" si="39"/>
        <v>0</v>
      </c>
      <c r="K236" s="414"/>
      <c r="L236" s="414"/>
      <c r="M236" s="414"/>
      <c r="N236" s="414"/>
      <c r="O236" s="414"/>
      <c r="P236" s="414"/>
      <c r="Q236" s="414"/>
    </row>
    <row r="237" spans="1:17" s="412" customFormat="1" ht="136.5" thickTop="1" thickBot="1" x14ac:dyDescent="0.25">
      <c r="A237" s="684" t="s">
        <v>190</v>
      </c>
      <c r="B237" s="684"/>
      <c r="C237" s="684"/>
      <c r="D237" s="685" t="s">
        <v>42</v>
      </c>
      <c r="E237" s="686"/>
      <c r="F237" s="686"/>
      <c r="G237" s="686">
        <f>SUM(G238)</f>
        <v>3000</v>
      </c>
      <c r="H237" s="686">
        <f>SUM(H238)</f>
        <v>3000</v>
      </c>
      <c r="I237" s="686">
        <f>SUM(I238)</f>
        <v>0</v>
      </c>
      <c r="J237" s="686">
        <f>SUM(J238)</f>
        <v>0</v>
      </c>
      <c r="K237" s="414"/>
      <c r="L237" s="414"/>
      <c r="M237" s="414"/>
      <c r="N237" s="414"/>
      <c r="O237" s="414"/>
      <c r="P237" s="414"/>
      <c r="Q237" s="414"/>
    </row>
    <row r="238" spans="1:17" s="412" customFormat="1" ht="409.6" thickTop="1" thickBot="1" x14ac:dyDescent="0.25">
      <c r="A238" s="487" t="s">
        <v>829</v>
      </c>
      <c r="B238" s="487" t="s">
        <v>398</v>
      </c>
      <c r="C238" s="487" t="s">
        <v>815</v>
      </c>
      <c r="D238" s="487" t="s">
        <v>816</v>
      </c>
      <c r="E238" s="394" t="s">
        <v>1101</v>
      </c>
      <c r="F238" s="619" t="s">
        <v>1102</v>
      </c>
      <c r="G238" s="485">
        <f t="shared" ref="G238" si="40">H238+I238</f>
        <v>3000</v>
      </c>
      <c r="H238" s="406">
        <f>'d3'!E294</f>
        <v>3000</v>
      </c>
      <c r="I238" s="425"/>
      <c r="J238" s="425"/>
      <c r="K238" s="414"/>
      <c r="L238" s="414"/>
      <c r="M238" s="414"/>
      <c r="N238" s="414"/>
      <c r="O238" s="414"/>
      <c r="P238" s="414"/>
      <c r="Q238" s="414"/>
    </row>
    <row r="239" spans="1:17" ht="81.75" customHeight="1" thickTop="1" thickBot="1" x14ac:dyDescent="1.2">
      <c r="A239" s="325" t="s">
        <v>418</v>
      </c>
      <c r="B239" s="325" t="s">
        <v>418</v>
      </c>
      <c r="C239" s="325" t="s">
        <v>418</v>
      </c>
      <c r="D239" s="326" t="s">
        <v>428</v>
      </c>
      <c r="E239" s="325" t="s">
        <v>418</v>
      </c>
      <c r="F239" s="325" t="s">
        <v>418</v>
      </c>
      <c r="G239" s="327">
        <f>G16+G38+G134+G61+G86+G117+G191+G214+G224+G232+G208+G203+G167+G151+G237</f>
        <v>2875498552.7700005</v>
      </c>
      <c r="H239" s="327">
        <f>H16+H38+H134+H61+H86+H117+H191+H214+H224+H232+H208+H203+H167+H151+H237</f>
        <v>2366904945.6599998</v>
      </c>
      <c r="I239" s="327">
        <f>I16+I38+I134+I61+I86+I117+I191+I214+I224+I232+I208+I203+I167+I151+I237</f>
        <v>508593607.11000001</v>
      </c>
      <c r="J239" s="327">
        <f>J16+J38+J134+J61+J86+J117+J191+J214+J224+J232+J208+J203+J167+J151+J237</f>
        <v>345451659.33999997</v>
      </c>
      <c r="K239" s="340" t="b">
        <f>G239=H239+I239</f>
        <v>1</v>
      </c>
    </row>
    <row r="240" spans="1:17" ht="31.7" customHeight="1" thickTop="1" x14ac:dyDescent="0.2">
      <c r="A240" s="833" t="s">
        <v>554</v>
      </c>
      <c r="B240" s="834"/>
      <c r="C240" s="834"/>
      <c r="D240" s="834"/>
      <c r="E240" s="834"/>
      <c r="F240" s="834"/>
      <c r="G240" s="834"/>
      <c r="H240" s="834"/>
      <c r="I240" s="834"/>
      <c r="J240" s="834"/>
    </row>
    <row r="241" spans="1:17" ht="31.7" customHeight="1" x14ac:dyDescent="0.2">
      <c r="A241" s="193"/>
      <c r="B241" s="194"/>
      <c r="C241" s="194"/>
      <c r="D241" s="194"/>
      <c r="E241" s="194"/>
      <c r="F241" s="194"/>
      <c r="G241" s="194"/>
      <c r="H241" s="194"/>
      <c r="I241" s="194"/>
      <c r="J241" s="194"/>
    </row>
    <row r="242" spans="1:17" ht="31.7" customHeight="1" x14ac:dyDescent="0.65">
      <c r="A242" s="193"/>
      <c r="B242" s="202"/>
      <c r="C242" s="194"/>
      <c r="D242" s="194"/>
      <c r="E242" s="194"/>
      <c r="F242" s="194"/>
      <c r="G242" s="194"/>
      <c r="H242" s="194"/>
      <c r="I242" s="194"/>
      <c r="J242" s="194"/>
    </row>
    <row r="243" spans="1:17" ht="45" customHeight="1" x14ac:dyDescent="0.65">
      <c r="A243" s="193"/>
      <c r="B243" s="194"/>
      <c r="C243" s="194"/>
      <c r="D243" s="202" t="s">
        <v>1272</v>
      </c>
      <c r="E243" s="9"/>
      <c r="F243" s="91"/>
      <c r="G243" s="202" t="s">
        <v>1273</v>
      </c>
      <c r="H243" s="202"/>
      <c r="I243" s="9"/>
      <c r="J243" s="91"/>
      <c r="K243" s="202"/>
      <c r="L243" s="202"/>
      <c r="M243" s="9"/>
      <c r="N243" s="91"/>
      <c r="O243" s="202"/>
      <c r="P243" s="202"/>
      <c r="Q243" s="9"/>
    </row>
    <row r="244" spans="1:17" ht="61.5" customHeight="1" x14ac:dyDescent="0.65">
      <c r="A244" s="191"/>
      <c r="B244" s="191"/>
      <c r="C244" s="191"/>
      <c r="D244" s="202"/>
      <c r="E244" s="9"/>
      <c r="F244" s="91"/>
      <c r="G244" s="202"/>
      <c r="H244" s="202"/>
      <c r="I244" s="9"/>
      <c r="J244" s="91"/>
      <c r="K244" s="202"/>
      <c r="L244" s="202"/>
      <c r="M244" s="9"/>
      <c r="N244" s="91"/>
      <c r="O244" s="202"/>
      <c r="P244" s="202"/>
      <c r="Q244" s="9"/>
    </row>
    <row r="245" spans="1:17" ht="45.75" x14ac:dyDescent="0.65">
      <c r="D245" s="202" t="s">
        <v>621</v>
      </c>
      <c r="E245" s="9"/>
      <c r="F245" s="91"/>
      <c r="G245" s="202" t="s">
        <v>622</v>
      </c>
      <c r="H245" s="118"/>
      <c r="I245" s="91"/>
      <c r="J245" s="9"/>
      <c r="K245" s="283"/>
      <c r="L245" s="283"/>
      <c r="M245" s="283"/>
      <c r="N245" s="283"/>
      <c r="O245" s="283"/>
      <c r="P245" s="283"/>
      <c r="Q245" s="283"/>
    </row>
    <row r="246" spans="1:17" ht="45.75" x14ac:dyDescent="0.65">
      <c r="D246" s="814"/>
      <c r="E246" s="814"/>
      <c r="F246" s="814"/>
      <c r="G246" s="814"/>
      <c r="H246" s="814"/>
      <c r="I246" s="814"/>
      <c r="J246" s="814"/>
      <c r="K246" s="283"/>
      <c r="L246" s="283"/>
      <c r="M246" s="283"/>
      <c r="N246" s="283"/>
      <c r="O246" s="283"/>
      <c r="P246" s="283"/>
      <c r="Q246" s="283"/>
    </row>
    <row r="247" spans="1:17" x14ac:dyDescent="0.2">
      <c r="E247" s="4"/>
      <c r="F247" s="3"/>
    </row>
    <row r="248" spans="1:17" x14ac:dyDescent="0.2">
      <c r="E248" s="4"/>
      <c r="F248" s="3"/>
    </row>
    <row r="249" spans="1:17" ht="62.25" x14ac:dyDescent="0.8">
      <c r="A249" s="189"/>
      <c r="B249" s="189"/>
      <c r="C249" s="189"/>
      <c r="D249" s="189"/>
      <c r="E249" s="9"/>
      <c r="F249" s="91"/>
      <c r="I249" s="189"/>
      <c r="J249" s="99"/>
    </row>
    <row r="250" spans="1:17" ht="45.75" x14ac:dyDescent="0.2">
      <c r="E250" s="10"/>
      <c r="F250" s="118"/>
    </row>
    <row r="251" spans="1:17" ht="45.75" x14ac:dyDescent="0.2">
      <c r="A251" s="189"/>
      <c r="B251" s="189"/>
      <c r="C251" s="189"/>
      <c r="D251" s="189"/>
      <c r="E251" s="9" t="s">
        <v>629</v>
      </c>
      <c r="F251" s="91"/>
      <c r="I251" s="189"/>
      <c r="J251" s="189"/>
    </row>
    <row r="252" spans="1:17" ht="45.75" x14ac:dyDescent="0.2">
      <c r="E252" s="10"/>
      <c r="F252" s="118"/>
    </row>
    <row r="253" spans="1:17" ht="45.75" x14ac:dyDescent="0.2">
      <c r="E253" s="10" t="s">
        <v>630</v>
      </c>
      <c r="F253" s="118"/>
    </row>
    <row r="254" spans="1:17" ht="45.75" x14ac:dyDescent="0.2">
      <c r="E254" s="10"/>
      <c r="F254" s="118"/>
    </row>
    <row r="255" spans="1:17" ht="45.75" x14ac:dyDescent="0.2">
      <c r="A255" s="189"/>
      <c r="B255" s="189"/>
      <c r="C255" s="189"/>
      <c r="D255" s="189"/>
      <c r="E255" s="10"/>
      <c r="F255" s="118"/>
      <c r="G255" s="189"/>
      <c r="H255" s="189"/>
      <c r="I255" s="189"/>
      <c r="J255" s="189"/>
    </row>
    <row r="256" spans="1:17" ht="45.75" x14ac:dyDescent="0.2">
      <c r="A256" s="189"/>
      <c r="B256" s="189"/>
      <c r="C256" s="189"/>
      <c r="D256" s="189"/>
      <c r="E256" s="10"/>
      <c r="F256" s="118"/>
      <c r="G256" s="189"/>
      <c r="H256" s="189"/>
      <c r="I256" s="189"/>
      <c r="J256" s="189"/>
    </row>
    <row r="257" spans="1:10" ht="45.75" x14ac:dyDescent="0.2">
      <c r="A257" s="189"/>
      <c r="B257" s="189"/>
      <c r="C257" s="189"/>
      <c r="D257" s="189"/>
      <c r="E257" s="10"/>
      <c r="F257" s="118"/>
      <c r="G257" s="189"/>
      <c r="H257" s="189"/>
      <c r="I257" s="189"/>
      <c r="J257" s="189"/>
    </row>
    <row r="258" spans="1:10" ht="45.75" x14ac:dyDescent="0.2">
      <c r="A258" s="189"/>
      <c r="B258" s="189"/>
      <c r="C258" s="189"/>
      <c r="D258" s="189"/>
      <c r="E258" s="10"/>
      <c r="F258" s="118"/>
      <c r="G258" s="189"/>
      <c r="H258" s="189"/>
      <c r="I258" s="189"/>
      <c r="J258" s="189"/>
    </row>
  </sheetData>
  <mergeCells count="158">
    <mergeCell ref="H183:H184"/>
    <mergeCell ref="I183:I184"/>
    <mergeCell ref="J183:J184"/>
    <mergeCell ref="A185:A186"/>
    <mergeCell ref="B185:B186"/>
    <mergeCell ref="C185:C186"/>
    <mergeCell ref="E185:E186"/>
    <mergeCell ref="F185:F186"/>
    <mergeCell ref="H185:H186"/>
    <mergeCell ref="I185:I186"/>
    <mergeCell ref="J185:J186"/>
    <mergeCell ref="A183:A184"/>
    <mergeCell ref="B183:B184"/>
    <mergeCell ref="C183:C184"/>
    <mergeCell ref="D183:D184"/>
    <mergeCell ref="G183:G184"/>
    <mergeCell ref="G185:G186"/>
    <mergeCell ref="A181:A182"/>
    <mergeCell ref="B181:B182"/>
    <mergeCell ref="C181:C182"/>
    <mergeCell ref="D181:D182"/>
    <mergeCell ref="H181:H182"/>
    <mergeCell ref="I181:I182"/>
    <mergeCell ref="J181:J182"/>
    <mergeCell ref="A179:A180"/>
    <mergeCell ref="B179:B180"/>
    <mergeCell ref="C179:C180"/>
    <mergeCell ref="D179:D180"/>
    <mergeCell ref="G179:G180"/>
    <mergeCell ref="G181:G182"/>
    <mergeCell ref="H179:H180"/>
    <mergeCell ref="I179:I180"/>
    <mergeCell ref="J179:J180"/>
    <mergeCell ref="H173:H174"/>
    <mergeCell ref="I173:I174"/>
    <mergeCell ref="J173:J174"/>
    <mergeCell ref="H175:H176"/>
    <mergeCell ref="I175:I176"/>
    <mergeCell ref="J175:J176"/>
    <mergeCell ref="A173:A174"/>
    <mergeCell ref="B173:B174"/>
    <mergeCell ref="C173:C174"/>
    <mergeCell ref="D173:D174"/>
    <mergeCell ref="G173:G174"/>
    <mergeCell ref="G175:G176"/>
    <mergeCell ref="A175:A177"/>
    <mergeCell ref="B175:B177"/>
    <mergeCell ref="C175:C177"/>
    <mergeCell ref="D175:D177"/>
    <mergeCell ref="A154:A155"/>
    <mergeCell ref="B154:B155"/>
    <mergeCell ref="C154:C155"/>
    <mergeCell ref="D154:D155"/>
    <mergeCell ref="A157:A158"/>
    <mergeCell ref="B157:B158"/>
    <mergeCell ref="C157:C158"/>
    <mergeCell ref="D157:D158"/>
    <mergeCell ref="K20:K21"/>
    <mergeCell ref="G62:G63"/>
    <mergeCell ref="H62:H63"/>
    <mergeCell ref="I62:I63"/>
    <mergeCell ref="J62:J63"/>
    <mergeCell ref="G70:G71"/>
    <mergeCell ref="H70:H71"/>
    <mergeCell ref="I70:I71"/>
    <mergeCell ref="J70:J71"/>
    <mergeCell ref="G64:G65"/>
    <mergeCell ref="H64:H65"/>
    <mergeCell ref="I64:I65"/>
    <mergeCell ref="J64:J65"/>
    <mergeCell ref="G66:G67"/>
    <mergeCell ref="H66:H67"/>
    <mergeCell ref="I66:I67"/>
    <mergeCell ref="L20:L21"/>
    <mergeCell ref="M20:M21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I1:J1"/>
    <mergeCell ref="I2:J2"/>
    <mergeCell ref="I3:J3"/>
    <mergeCell ref="A5:J5"/>
    <mergeCell ref="A8:J8"/>
    <mergeCell ref="A24:A25"/>
    <mergeCell ref="B24:B25"/>
    <mergeCell ref="C24:C25"/>
    <mergeCell ref="E24:E25"/>
    <mergeCell ref="F24:F25"/>
    <mergeCell ref="H24:H25"/>
    <mergeCell ref="I24:I25"/>
    <mergeCell ref="J24:J25"/>
    <mergeCell ref="G24:G25"/>
    <mergeCell ref="J66:J67"/>
    <mergeCell ref="G68:G69"/>
    <mergeCell ref="H68:H69"/>
    <mergeCell ref="I68:I69"/>
    <mergeCell ref="J68:J69"/>
    <mergeCell ref="G77:G78"/>
    <mergeCell ref="H77:H78"/>
    <mergeCell ref="I77:I78"/>
    <mergeCell ref="J77:J78"/>
    <mergeCell ref="G79:G80"/>
    <mergeCell ref="H79:H80"/>
    <mergeCell ref="I79:I80"/>
    <mergeCell ref="J79:J80"/>
    <mergeCell ref="G73:G74"/>
    <mergeCell ref="H73:H74"/>
    <mergeCell ref="I73:I74"/>
    <mergeCell ref="J73:J74"/>
    <mergeCell ref="G75:G76"/>
    <mergeCell ref="H75:H76"/>
    <mergeCell ref="I75:I76"/>
    <mergeCell ref="J75:J76"/>
    <mergeCell ref="D246:J246"/>
    <mergeCell ref="A240:J240"/>
    <mergeCell ref="G211:G212"/>
    <mergeCell ref="H211:H212"/>
    <mergeCell ref="I211:I212"/>
    <mergeCell ref="J211:J212"/>
    <mergeCell ref="G81:G82"/>
    <mergeCell ref="H81:H82"/>
    <mergeCell ref="I81:I82"/>
    <mergeCell ref="J81:J82"/>
    <mergeCell ref="A114:A115"/>
    <mergeCell ref="B114:B115"/>
    <mergeCell ref="C114:C115"/>
    <mergeCell ref="E114:E115"/>
    <mergeCell ref="F114:F115"/>
    <mergeCell ref="G114:G115"/>
    <mergeCell ref="H114:H115"/>
    <mergeCell ref="I114:I115"/>
    <mergeCell ref="J114:J115"/>
    <mergeCell ref="A161:A162"/>
    <mergeCell ref="B161:B162"/>
    <mergeCell ref="C161:C162"/>
    <mergeCell ref="D161:D162"/>
    <mergeCell ref="G161:G162"/>
    <mergeCell ref="H161:H162"/>
    <mergeCell ref="I161:I162"/>
    <mergeCell ref="J161:J162"/>
    <mergeCell ref="A164:A165"/>
    <mergeCell ref="B164:B165"/>
    <mergeCell ref="C164:C165"/>
    <mergeCell ref="E164:E165"/>
    <mergeCell ref="F164:F165"/>
    <mergeCell ref="G164:G165"/>
    <mergeCell ref="H164:H165"/>
    <mergeCell ref="I164:I165"/>
    <mergeCell ref="J164:J165"/>
  </mergeCells>
  <pageMargins left="0.23622047244094491" right="0.27559055118110237" top="0.27559055118110237" bottom="0.15748031496062992" header="0.23622047244094491" footer="0.27559055118110237"/>
  <pageSetup paperSize="9" scale="19" fitToHeight="0" orientation="landscape" r:id="rId1"/>
  <headerFooter alignWithMargins="0">
    <oddFooter>&amp;C&amp;"Times New Roman Cyr,курсив"Сторінка &amp;P з &amp;N</oddFooter>
  </headerFooter>
  <rowBreaks count="6" manualBreakCount="6">
    <brk id="22" min="4" max="9" man="1"/>
    <brk id="38" max="9" man="1"/>
    <brk id="105" max="9" man="1"/>
    <brk id="135" max="9" man="1"/>
    <brk id="186" max="9" man="1"/>
    <brk id="24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Аркуш6"/>
  <dimension ref="A1:J162"/>
  <sheetViews>
    <sheetView view="pageBreakPreview" zoomScale="85" zoomScaleNormal="85" zoomScaleSheetLayoutView="85" workbookViewId="0">
      <selection activeCell="B34" sqref="B34:D34"/>
    </sheetView>
  </sheetViews>
  <sheetFormatPr defaultColWidth="9.140625" defaultRowHeight="12.75" x14ac:dyDescent="0.2"/>
  <cols>
    <col min="1" max="1" width="18.140625" style="75" customWidth="1"/>
    <col min="2" max="2" width="108" style="75" customWidth="1"/>
    <col min="3" max="3" width="4" style="75" hidden="1" customWidth="1"/>
    <col min="4" max="4" width="17" style="75" customWidth="1"/>
    <col min="5" max="5" width="14.7109375" style="291" customWidth="1"/>
    <col min="6" max="6" width="21.85546875" style="291" bestFit="1" customWidth="1"/>
    <col min="7" max="7" width="18.85546875" style="75" bestFit="1" customWidth="1"/>
    <col min="8" max="9" width="9.140625" style="75"/>
    <col min="10" max="10" width="52.5703125" style="75" customWidth="1"/>
    <col min="11" max="16384" width="9.140625" style="75"/>
  </cols>
  <sheetData>
    <row r="1" spans="1:9" ht="16.5" customHeight="1" x14ac:dyDescent="0.2">
      <c r="C1" s="809" t="s">
        <v>758</v>
      </c>
      <c r="D1" s="809"/>
      <c r="E1" s="290"/>
      <c r="F1" s="290"/>
    </row>
    <row r="2" spans="1:9" ht="16.5" customHeight="1" x14ac:dyDescent="0.2">
      <c r="C2" s="957" t="s">
        <v>550</v>
      </c>
      <c r="D2" s="958"/>
      <c r="E2" s="958"/>
      <c r="F2" s="958"/>
    </row>
    <row r="3" spans="1:9" ht="12.75" customHeight="1" x14ac:dyDescent="0.2">
      <c r="C3" s="809"/>
      <c r="D3" s="952"/>
    </row>
    <row r="4" spans="1:9" ht="12.75" customHeight="1" x14ac:dyDescent="0.2">
      <c r="C4" s="809"/>
      <c r="D4" s="811"/>
    </row>
    <row r="5" spans="1:9" ht="16.5" x14ac:dyDescent="0.25">
      <c r="A5" s="934" t="s">
        <v>709</v>
      </c>
      <c r="B5" s="934"/>
      <c r="C5" s="934"/>
      <c r="D5" s="811"/>
      <c r="E5" s="959"/>
      <c r="F5" s="960"/>
      <c r="G5" s="960"/>
      <c r="H5" s="960"/>
      <c r="I5" s="820"/>
    </row>
    <row r="6" spans="1:9" s="243" customFormat="1" ht="16.5" x14ac:dyDescent="0.25">
      <c r="A6" s="934" t="s">
        <v>708</v>
      </c>
      <c r="B6" s="934"/>
      <c r="C6" s="934"/>
      <c r="D6" s="811"/>
      <c r="E6" s="292"/>
      <c r="F6" s="293"/>
      <c r="G6" s="241"/>
      <c r="H6" s="241"/>
      <c r="I6" s="242"/>
    </row>
    <row r="7" spans="1:9" ht="16.5" x14ac:dyDescent="0.25">
      <c r="A7" s="935" t="s">
        <v>145</v>
      </c>
      <c r="B7" s="935"/>
      <c r="C7" s="935"/>
      <c r="D7" s="850"/>
      <c r="E7" s="959"/>
      <c r="F7" s="959"/>
      <c r="G7" s="959"/>
      <c r="H7" s="959"/>
      <c r="I7" s="810"/>
    </row>
    <row r="8" spans="1:9" ht="16.5" x14ac:dyDescent="0.2">
      <c r="A8" s="935" t="s">
        <v>638</v>
      </c>
      <c r="B8" s="935"/>
      <c r="C8" s="935"/>
      <c r="D8" s="850"/>
      <c r="E8" s="961"/>
      <c r="F8" s="961"/>
      <c r="G8" s="961"/>
      <c r="H8" s="961"/>
      <c r="I8" s="962"/>
    </row>
    <row r="9" spans="1:9" s="139" customFormat="1" ht="16.5" x14ac:dyDescent="0.2">
      <c r="A9" s="140"/>
      <c r="B9" s="140"/>
      <c r="C9" s="140"/>
      <c r="D9" s="134"/>
      <c r="E9" s="294"/>
      <c r="F9" s="294"/>
      <c r="G9" s="137"/>
      <c r="H9" s="137"/>
      <c r="I9" s="138"/>
    </row>
    <row r="10" spans="1:9" s="139" customFormat="1" ht="16.5" x14ac:dyDescent="0.2">
      <c r="A10" s="145">
        <v>22564000000</v>
      </c>
      <c r="B10" s="144"/>
      <c r="C10" s="140"/>
      <c r="D10" s="134"/>
      <c r="E10" s="294"/>
      <c r="F10" s="294"/>
      <c r="G10" s="137"/>
      <c r="H10" s="137"/>
      <c r="I10" s="138"/>
    </row>
    <row r="11" spans="1:9" s="139" customFormat="1" ht="16.5" x14ac:dyDescent="0.2">
      <c r="A11" s="146" t="s">
        <v>546</v>
      </c>
      <c r="B11" s="143"/>
      <c r="C11" s="140"/>
      <c r="D11" s="134"/>
      <c r="E11" s="294"/>
      <c r="F11" s="294"/>
      <c r="G11" s="137"/>
      <c r="H11" s="137"/>
      <c r="I11" s="138"/>
    </row>
    <row r="12" spans="1:9" ht="17.25" thickBot="1" x14ac:dyDescent="0.25">
      <c r="A12" s="128"/>
      <c r="B12" s="128"/>
      <c r="C12" s="129"/>
      <c r="D12" s="129" t="s">
        <v>441</v>
      </c>
      <c r="E12" s="294"/>
      <c r="F12" s="294"/>
      <c r="G12" s="76"/>
    </row>
    <row r="13" spans="1:9" s="77" customFormat="1" ht="50.25" customHeight="1" thickTop="1" thickBot="1" x14ac:dyDescent="0.25">
      <c r="A13" s="255" t="s">
        <v>146</v>
      </c>
      <c r="B13" s="955" t="s">
        <v>147</v>
      </c>
      <c r="C13" s="954"/>
      <c r="D13" s="954"/>
      <c r="E13" s="295"/>
      <c r="F13" s="295"/>
    </row>
    <row r="14" spans="1:9" s="77" customFormat="1" ht="39.75" customHeight="1" thickTop="1" thickBot="1" x14ac:dyDescent="0.25">
      <c r="A14" s="147" t="s">
        <v>148</v>
      </c>
      <c r="B14" s="932" t="s">
        <v>149</v>
      </c>
      <c r="C14" s="933"/>
      <c r="D14" s="148">
        <v>100</v>
      </c>
      <c r="E14" s="295"/>
      <c r="F14" s="295"/>
    </row>
    <row r="15" spans="1:9" s="77" customFormat="1" ht="40.700000000000003" customHeight="1" thickTop="1" thickBot="1" x14ac:dyDescent="0.25">
      <c r="A15" s="147" t="s">
        <v>150</v>
      </c>
      <c r="B15" s="932" t="s">
        <v>151</v>
      </c>
      <c r="C15" s="933"/>
      <c r="D15" s="148">
        <v>4200000</v>
      </c>
      <c r="E15" s="295"/>
      <c r="F15" s="295"/>
    </row>
    <row r="16" spans="1:9" s="77" customFormat="1" ht="61.5" hidden="1" customHeight="1" thickTop="1" thickBot="1" x14ac:dyDescent="0.25">
      <c r="A16" s="147" t="s">
        <v>152</v>
      </c>
      <c r="B16" s="932" t="s">
        <v>153</v>
      </c>
      <c r="C16" s="933"/>
      <c r="D16" s="148">
        <v>0</v>
      </c>
      <c r="E16" s="295"/>
      <c r="F16" s="295"/>
    </row>
    <row r="17" spans="1:7" s="77" customFormat="1" ht="41.25" customHeight="1" thickTop="1" thickBot="1" x14ac:dyDescent="0.25">
      <c r="A17" s="147" t="s">
        <v>154</v>
      </c>
      <c r="B17" s="932" t="s">
        <v>155</v>
      </c>
      <c r="C17" s="933"/>
      <c r="D17" s="148">
        <v>1100</v>
      </c>
      <c r="E17" s="295"/>
      <c r="F17" s="295"/>
    </row>
    <row r="18" spans="1:7" s="77" customFormat="1" ht="26.45" customHeight="1" thickTop="1" thickBot="1" x14ac:dyDescent="0.25">
      <c r="A18" s="147"/>
      <c r="B18" s="940" t="s">
        <v>156</v>
      </c>
      <c r="C18" s="933"/>
      <c r="D18" s="149">
        <f>SUM(D14:D17)</f>
        <v>4201200</v>
      </c>
      <c r="E18" s="295"/>
      <c r="F18" s="295"/>
    </row>
    <row r="19" spans="1:7" s="77" customFormat="1" ht="26.45" hidden="1" customHeight="1" thickTop="1" thickBot="1" x14ac:dyDescent="0.25">
      <c r="A19" s="147"/>
      <c r="B19" s="940" t="s">
        <v>481</v>
      </c>
      <c r="C19" s="933"/>
      <c r="D19" s="149"/>
      <c r="E19" s="295"/>
      <c r="F19" s="295"/>
    </row>
    <row r="20" spans="1:7" s="77" customFormat="1" ht="26.45" customHeight="1" thickTop="1" thickBot="1" x14ac:dyDescent="0.25">
      <c r="A20" s="163"/>
      <c r="B20" s="940" t="s">
        <v>639</v>
      </c>
      <c r="C20" s="933"/>
      <c r="D20" s="149">
        <v>1155966.58</v>
      </c>
      <c r="E20" s="295"/>
      <c r="F20" s="295"/>
    </row>
    <row r="21" spans="1:7" s="77" customFormat="1" ht="26.45" customHeight="1" thickTop="1" thickBot="1" x14ac:dyDescent="0.25">
      <c r="A21" s="151" t="s">
        <v>418</v>
      </c>
      <c r="B21" s="943" t="s">
        <v>551</v>
      </c>
      <c r="C21" s="956"/>
      <c r="D21" s="150">
        <f>D18+D20</f>
        <v>5357166.58</v>
      </c>
      <c r="E21" s="295"/>
      <c r="F21" s="295"/>
    </row>
    <row r="22" spans="1:7" s="77" customFormat="1" ht="47.25" customHeight="1" thickTop="1" thickBot="1" x14ac:dyDescent="0.25">
      <c r="A22" s="255" t="s">
        <v>146</v>
      </c>
      <c r="B22" s="953" t="s">
        <v>157</v>
      </c>
      <c r="C22" s="954"/>
      <c r="D22" s="954"/>
      <c r="E22" s="295"/>
      <c r="F22" s="295"/>
    </row>
    <row r="23" spans="1:7" s="77" customFormat="1" ht="43.5" customHeight="1" thickTop="1" thickBot="1" x14ac:dyDescent="0.25">
      <c r="A23" s="229" t="s">
        <v>158</v>
      </c>
      <c r="B23" s="932" t="s">
        <v>159</v>
      </c>
      <c r="C23" s="947"/>
      <c r="D23" s="148">
        <v>114000</v>
      </c>
      <c r="E23" s="295"/>
      <c r="F23" s="295"/>
    </row>
    <row r="24" spans="1:7" s="77" customFormat="1" ht="44.45" customHeight="1" thickTop="1" thickBot="1" x14ac:dyDescent="0.25">
      <c r="A24" s="229" t="s">
        <v>160</v>
      </c>
      <c r="B24" s="932" t="s">
        <v>161</v>
      </c>
      <c r="C24" s="947"/>
      <c r="D24" s="148">
        <f>(126000)+18000</f>
        <v>144000</v>
      </c>
      <c r="E24" s="295"/>
      <c r="F24" s="295"/>
    </row>
    <row r="25" spans="1:7" s="77" customFormat="1" ht="44.45" customHeight="1" thickTop="1" thickBot="1" x14ac:dyDescent="0.25">
      <c r="A25" s="229" t="s">
        <v>525</v>
      </c>
      <c r="B25" s="932" t="s">
        <v>447</v>
      </c>
      <c r="C25" s="947"/>
      <c r="D25" s="148">
        <v>322000</v>
      </c>
      <c r="E25" s="295"/>
      <c r="F25" s="295"/>
    </row>
    <row r="26" spans="1:7" s="77" customFormat="1" ht="32.25" customHeight="1" thickTop="1" thickBot="1" x14ac:dyDescent="0.25">
      <c r="A26" s="229" t="s">
        <v>162</v>
      </c>
      <c r="B26" s="932" t="s">
        <v>164</v>
      </c>
      <c r="C26" s="947"/>
      <c r="D26" s="148">
        <v>268330</v>
      </c>
      <c r="E26" s="295"/>
      <c r="F26" s="295"/>
    </row>
    <row r="27" spans="1:7" s="77" customFormat="1" ht="55.5" customHeight="1" thickTop="1" thickBot="1" x14ac:dyDescent="0.25">
      <c r="A27" s="229" t="s">
        <v>163</v>
      </c>
      <c r="B27" s="932" t="s">
        <v>482</v>
      </c>
      <c r="C27" s="947"/>
      <c r="D27" s="148">
        <f>(190000+1753600)+1137966.58</f>
        <v>3081566.58</v>
      </c>
      <c r="E27" s="295"/>
      <c r="F27" s="295"/>
    </row>
    <row r="28" spans="1:7" s="77" customFormat="1" ht="76.5" customHeight="1" thickTop="1" thickBot="1" x14ac:dyDescent="0.25">
      <c r="A28" s="229" t="s">
        <v>165</v>
      </c>
      <c r="B28" s="932" t="s">
        <v>166</v>
      </c>
      <c r="C28" s="947"/>
      <c r="D28" s="148">
        <f>190000</f>
        <v>190000</v>
      </c>
      <c r="E28" s="295"/>
      <c r="F28" s="295"/>
    </row>
    <row r="29" spans="1:7" s="77" customFormat="1" ht="48" customHeight="1" thickTop="1" thickBot="1" x14ac:dyDescent="0.25">
      <c r="A29" s="229" t="s">
        <v>526</v>
      </c>
      <c r="B29" s="932" t="s">
        <v>167</v>
      </c>
      <c r="C29" s="947"/>
      <c r="D29" s="148">
        <v>49000</v>
      </c>
      <c r="E29" s="295"/>
      <c r="F29" s="295"/>
    </row>
    <row r="30" spans="1:7" s="77" customFormat="1" ht="54" customHeight="1" thickTop="1" thickBot="1" x14ac:dyDescent="0.3">
      <c r="A30" s="948" t="s">
        <v>527</v>
      </c>
      <c r="B30" s="945" t="s">
        <v>524</v>
      </c>
      <c r="C30" s="946"/>
      <c r="D30" s="950">
        <v>1188270</v>
      </c>
      <c r="E30" s="295"/>
      <c r="F30" s="295"/>
    </row>
    <row r="31" spans="1:7" s="77" customFormat="1" ht="54" customHeight="1" thickTop="1" thickBot="1" x14ac:dyDescent="0.25">
      <c r="A31" s="949"/>
      <c r="B31" s="941" t="s">
        <v>523</v>
      </c>
      <c r="C31" s="942"/>
      <c r="D31" s="951"/>
      <c r="E31" s="295"/>
      <c r="F31" s="295"/>
    </row>
    <row r="32" spans="1:7" s="77" customFormat="1" ht="27.75" customHeight="1" thickTop="1" thickBot="1" x14ac:dyDescent="0.25">
      <c r="A32" s="151" t="s">
        <v>418</v>
      </c>
      <c r="B32" s="943" t="s">
        <v>551</v>
      </c>
      <c r="C32" s="944"/>
      <c r="D32" s="150">
        <f>SUM(D23:D31)</f>
        <v>5357166.58</v>
      </c>
      <c r="E32" s="342" t="b">
        <f>D21=D32</f>
        <v>1</v>
      </c>
      <c r="F32" s="342" t="b">
        <f>D32='d3'!P215+'d3'!P192+'d3'!P128+'d3'!P29</f>
        <v>1</v>
      </c>
      <c r="G32" s="342" t="b">
        <f>D32='d7'!G185+'d7'!G164+'d7'!G114+'d7'!G24</f>
        <v>1</v>
      </c>
    </row>
    <row r="33" spans="1:6" s="175" customFormat="1" ht="27.75" customHeight="1" thickTop="1" x14ac:dyDescent="0.2">
      <c r="A33" s="171"/>
      <c r="B33" s="172"/>
      <c r="C33" s="173"/>
      <c r="D33" s="174"/>
      <c r="E33" s="296"/>
      <c r="F33" s="296"/>
    </row>
    <row r="34" spans="1:6" ht="19.5" customHeight="1" x14ac:dyDescent="0.65">
      <c r="B34" s="790" t="s">
        <v>1272</v>
      </c>
      <c r="C34" s="791"/>
      <c r="D34" s="792" t="s">
        <v>1273</v>
      </c>
      <c r="E34" s="202"/>
    </row>
    <row r="35" spans="1:6" ht="16.5" x14ac:dyDescent="0.2">
      <c r="B35" s="209"/>
      <c r="C35" s="210"/>
      <c r="D35" s="207"/>
      <c r="E35" s="298"/>
    </row>
    <row r="36" spans="1:6" ht="18.75" x14ac:dyDescent="0.25">
      <c r="A36" s="114" t="s">
        <v>626</v>
      </c>
      <c r="B36" s="790" t="s">
        <v>621</v>
      </c>
      <c r="C36" s="791" t="s">
        <v>622</v>
      </c>
      <c r="D36" s="792" t="s">
        <v>622</v>
      </c>
      <c r="E36" s="297"/>
    </row>
    <row r="37" spans="1:6" ht="18.75" x14ac:dyDescent="0.2">
      <c r="A37" s="114"/>
      <c r="B37" s="114"/>
      <c r="C37" s="114"/>
    </row>
    <row r="38" spans="1:6" ht="18.75" x14ac:dyDescent="0.2">
      <c r="A38" s="939"/>
      <c r="B38" s="939"/>
      <c r="C38" s="113"/>
    </row>
    <row r="44" spans="1:6" ht="16.5" x14ac:dyDescent="0.2">
      <c r="A44" s="938"/>
      <c r="B44" s="78"/>
      <c r="C44" s="79"/>
      <c r="D44" s="80"/>
    </row>
    <row r="45" spans="1:6" ht="16.5" x14ac:dyDescent="0.2">
      <c r="A45" s="938"/>
      <c r="B45" s="81"/>
      <c r="C45" s="79"/>
      <c r="D45" s="80"/>
    </row>
    <row r="46" spans="1:6" ht="16.5" x14ac:dyDescent="0.2">
      <c r="A46" s="938"/>
      <c r="B46" s="82"/>
      <c r="C46" s="79"/>
      <c r="D46" s="80"/>
    </row>
    <row r="47" spans="1:6" ht="16.5" x14ac:dyDescent="0.2">
      <c r="A47" s="938"/>
      <c r="B47" s="78"/>
      <c r="C47" s="79"/>
      <c r="D47" s="80"/>
    </row>
    <row r="48" spans="1:6" ht="16.5" x14ac:dyDescent="0.2">
      <c r="A48" s="938"/>
      <c r="B48" s="78"/>
      <c r="C48" s="79"/>
      <c r="D48" s="80"/>
    </row>
    <row r="79" spans="6:6" x14ac:dyDescent="0.2">
      <c r="F79" s="936"/>
    </row>
    <row r="80" spans="6:6" x14ac:dyDescent="0.2">
      <c r="F80" s="937"/>
    </row>
    <row r="116" spans="6:6" x14ac:dyDescent="0.2">
      <c r="F116" s="291">
        <f>G116+H116</f>
        <v>0</v>
      </c>
    </row>
    <row r="118" spans="6:6" x14ac:dyDescent="0.2">
      <c r="F118" s="291">
        <f t="shared" ref="F118:F128" si="0">G118+H118</f>
        <v>0</v>
      </c>
    </row>
    <row r="119" spans="6:6" x14ac:dyDescent="0.2">
      <c r="F119" s="291">
        <f t="shared" si="0"/>
        <v>0</v>
      </c>
    </row>
    <row r="120" spans="6:6" x14ac:dyDescent="0.2">
      <c r="F120" s="291">
        <f t="shared" si="0"/>
        <v>0</v>
      </c>
    </row>
    <row r="121" spans="6:6" x14ac:dyDescent="0.2">
      <c r="F121" s="291">
        <f t="shared" si="0"/>
        <v>0</v>
      </c>
    </row>
    <row r="122" spans="6:6" x14ac:dyDescent="0.2">
      <c r="F122" s="291">
        <f t="shared" si="0"/>
        <v>0</v>
      </c>
    </row>
    <row r="123" spans="6:6" x14ac:dyDescent="0.2">
      <c r="F123" s="291">
        <f t="shared" si="0"/>
        <v>0</v>
      </c>
    </row>
    <row r="124" spans="6:6" x14ac:dyDescent="0.2">
      <c r="F124" s="291">
        <f t="shared" si="0"/>
        <v>0</v>
      </c>
    </row>
    <row r="125" spans="6:6" x14ac:dyDescent="0.2">
      <c r="F125" s="291">
        <f t="shared" si="0"/>
        <v>0</v>
      </c>
    </row>
    <row r="126" spans="6:6" x14ac:dyDescent="0.2">
      <c r="F126" s="291">
        <f t="shared" si="0"/>
        <v>0</v>
      </c>
    </row>
    <row r="127" spans="6:6" x14ac:dyDescent="0.2">
      <c r="F127" s="291">
        <f t="shared" si="0"/>
        <v>0</v>
      </c>
    </row>
    <row r="128" spans="6:6" x14ac:dyDescent="0.2">
      <c r="F128" s="291">
        <f t="shared" si="0"/>
        <v>0</v>
      </c>
    </row>
    <row r="130" spans="6:9" x14ac:dyDescent="0.2">
      <c r="F130" s="291">
        <f>G131+H131</f>
        <v>0</v>
      </c>
    </row>
    <row r="131" spans="6:9" x14ac:dyDescent="0.2">
      <c r="F131" s="291">
        <f t="shared" ref="F131" si="1">G131+H131</f>
        <v>0</v>
      </c>
    </row>
    <row r="132" spans="6:9" x14ac:dyDescent="0.2">
      <c r="F132" s="291">
        <f>G132+H132</f>
        <v>0</v>
      </c>
    </row>
    <row r="133" spans="6:9" x14ac:dyDescent="0.2">
      <c r="F133" s="291">
        <f>G133+H133</f>
        <v>0</v>
      </c>
    </row>
    <row r="134" spans="6:9" x14ac:dyDescent="0.2">
      <c r="F134" s="291">
        <f>G134+H134</f>
        <v>0</v>
      </c>
    </row>
    <row r="135" spans="6:9" x14ac:dyDescent="0.2">
      <c r="F135" s="291">
        <f>G135+H135</f>
        <v>0</v>
      </c>
    </row>
    <row r="140" spans="6:9" ht="46.5" x14ac:dyDescent="0.2">
      <c r="I140" s="126"/>
    </row>
    <row r="143" spans="6:9" ht="46.5" x14ac:dyDescent="0.2">
      <c r="F143" s="299">
        <f>G143+H143</f>
        <v>0</v>
      </c>
      <c r="I143" s="126"/>
    </row>
    <row r="162" spans="10:10" ht="90" x14ac:dyDescent="0.2">
      <c r="J162" s="124" t="b">
        <f>F162=G162+H162</f>
        <v>1</v>
      </c>
    </row>
  </sheetData>
  <mergeCells count="36">
    <mergeCell ref="C1:D1"/>
    <mergeCell ref="C3:D3"/>
    <mergeCell ref="C4:D4"/>
    <mergeCell ref="B26:C26"/>
    <mergeCell ref="B25:C25"/>
    <mergeCell ref="B24:C24"/>
    <mergeCell ref="B23:C23"/>
    <mergeCell ref="B22:D22"/>
    <mergeCell ref="B13:D13"/>
    <mergeCell ref="B21:C21"/>
    <mergeCell ref="C2:F2"/>
    <mergeCell ref="E5:I5"/>
    <mergeCell ref="E7:I7"/>
    <mergeCell ref="E8:I8"/>
    <mergeCell ref="B17:C17"/>
    <mergeCell ref="A8:D8"/>
    <mergeCell ref="F79:F80"/>
    <mergeCell ref="A44:A48"/>
    <mergeCell ref="A38:B38"/>
    <mergeCell ref="B19:C19"/>
    <mergeCell ref="B18:C18"/>
    <mergeCell ref="B31:C31"/>
    <mergeCell ref="B32:C32"/>
    <mergeCell ref="B30:C30"/>
    <mergeCell ref="B29:C29"/>
    <mergeCell ref="B28:C28"/>
    <mergeCell ref="B27:C27"/>
    <mergeCell ref="A30:A31"/>
    <mergeCell ref="D30:D31"/>
    <mergeCell ref="B20:C20"/>
    <mergeCell ref="B16:C16"/>
    <mergeCell ref="B15:C15"/>
    <mergeCell ref="B14:C14"/>
    <mergeCell ref="A5:D5"/>
    <mergeCell ref="A7:D7"/>
    <mergeCell ref="A6:D6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77"/>
  <sheetViews>
    <sheetView view="pageBreakPreview" topLeftCell="A22" zoomScale="85" zoomScaleNormal="85" zoomScaleSheetLayoutView="85" workbookViewId="0">
      <selection activeCell="D47" sqref="D47"/>
    </sheetView>
  </sheetViews>
  <sheetFormatPr defaultColWidth="9.140625" defaultRowHeight="12.75" x14ac:dyDescent="0.2"/>
  <cols>
    <col min="1" max="1" width="6.85546875" style="164" customWidth="1"/>
    <col min="2" max="2" width="15.140625" style="164" customWidth="1"/>
    <col min="3" max="3" width="15.28515625" style="164" customWidth="1"/>
    <col min="4" max="4" width="10.85546875" style="164" customWidth="1"/>
    <col min="5" max="5" width="58.140625" style="164" customWidth="1"/>
    <col min="6" max="6" width="15.85546875" style="164" customWidth="1"/>
    <col min="7" max="7" width="9.140625" style="266"/>
    <col min="8" max="10" width="9.140625" style="164"/>
    <col min="11" max="11" width="52.5703125" style="164" customWidth="1"/>
    <col min="12" max="16384" width="9.140625" style="164"/>
  </cols>
  <sheetData>
    <row r="1" spans="1:10" x14ac:dyDescent="0.2">
      <c r="A1" s="86"/>
      <c r="B1" s="86"/>
      <c r="C1" s="86"/>
      <c r="D1" s="86"/>
      <c r="E1" s="86"/>
      <c r="F1" s="86" t="s">
        <v>759</v>
      </c>
    </row>
    <row r="2" spans="1:10" x14ac:dyDescent="0.2">
      <c r="A2" s="86"/>
      <c r="B2" s="86"/>
      <c r="C2" s="86"/>
      <c r="D2" s="86"/>
      <c r="E2" s="86"/>
      <c r="F2" s="86" t="s">
        <v>346</v>
      </c>
    </row>
    <row r="3" spans="1:10" x14ac:dyDescent="0.2">
      <c r="A3" s="86"/>
      <c r="B3" s="86"/>
      <c r="C3" s="86"/>
      <c r="D3" s="86"/>
      <c r="E3" s="86"/>
      <c r="F3" s="967" t="s">
        <v>1119</v>
      </c>
      <c r="G3" s="968"/>
      <c r="H3" s="968"/>
      <c r="I3" s="968"/>
    </row>
    <row r="4" spans="1:10" ht="15.75" x14ac:dyDescent="0.25">
      <c r="A4" s="969" t="s">
        <v>711</v>
      </c>
      <c r="B4" s="970"/>
      <c r="C4" s="970"/>
      <c r="D4" s="970"/>
      <c r="E4" s="970"/>
      <c r="F4" s="970"/>
    </row>
    <row r="5" spans="1:10" s="235" customFormat="1" ht="15.75" x14ac:dyDescent="0.25">
      <c r="A5" s="969" t="s">
        <v>710</v>
      </c>
      <c r="B5" s="970"/>
      <c r="C5" s="970"/>
      <c r="D5" s="970"/>
      <c r="E5" s="970"/>
      <c r="F5" s="970"/>
      <c r="G5" s="266"/>
    </row>
    <row r="6" spans="1:10" ht="15.75" x14ac:dyDescent="0.25">
      <c r="A6" s="969" t="s">
        <v>1118</v>
      </c>
      <c r="B6" s="970"/>
      <c r="C6" s="970"/>
      <c r="D6" s="970"/>
      <c r="E6" s="970"/>
      <c r="F6" s="970"/>
    </row>
    <row r="7" spans="1:10" ht="15.75" x14ac:dyDescent="0.25">
      <c r="B7" s="624"/>
      <c r="C7" s="969" t="s">
        <v>1117</v>
      </c>
      <c r="D7" s="970"/>
      <c r="E7" s="970"/>
      <c r="F7" s="624"/>
    </row>
    <row r="8" spans="1:10" ht="12.75" customHeight="1" x14ac:dyDescent="0.25">
      <c r="A8" s="625"/>
      <c r="B8" s="625"/>
      <c r="C8" s="625"/>
      <c r="D8" s="625"/>
      <c r="E8" s="625"/>
      <c r="F8" s="625"/>
      <c r="G8" s="625"/>
      <c r="H8" s="625"/>
      <c r="I8" s="625"/>
      <c r="J8" s="625"/>
    </row>
    <row r="9" spans="1:10" x14ac:dyDescent="0.2">
      <c r="A9" s="971">
        <v>22564000000</v>
      </c>
      <c r="B9" s="820"/>
      <c r="C9" s="166"/>
      <c r="D9" s="166"/>
      <c r="E9" s="166"/>
      <c r="F9" s="166"/>
    </row>
    <row r="10" spans="1:10" x14ac:dyDescent="0.2">
      <c r="A10" s="972" t="s">
        <v>546</v>
      </c>
      <c r="B10" s="973"/>
      <c r="C10" s="166"/>
      <c r="D10" s="166"/>
      <c r="E10" s="166"/>
      <c r="F10" s="166"/>
    </row>
    <row r="11" spans="1:10" ht="13.5" thickBot="1" x14ac:dyDescent="0.25">
      <c r="A11" s="165"/>
      <c r="B11" s="165"/>
      <c r="C11" s="166"/>
      <c r="D11" s="166"/>
      <c r="E11" s="166"/>
      <c r="F11" s="166"/>
    </row>
    <row r="12" spans="1:10" ht="48" customHeight="1" thickTop="1" thickBot="1" x14ac:dyDescent="0.25">
      <c r="A12" s="252" t="s">
        <v>347</v>
      </c>
      <c r="B12" s="253" t="s">
        <v>348</v>
      </c>
      <c r="C12" s="253" t="s">
        <v>20</v>
      </c>
      <c r="D12" s="253" t="s">
        <v>16</v>
      </c>
      <c r="E12" s="252" t="s">
        <v>349</v>
      </c>
      <c r="F12" s="254" t="s">
        <v>442</v>
      </c>
    </row>
    <row r="13" spans="1:10" ht="17.25" thickTop="1" thickBot="1" x14ac:dyDescent="0.25">
      <c r="A13" s="259">
        <v>1</v>
      </c>
      <c r="B13" s="590" t="s">
        <v>335</v>
      </c>
      <c r="C13" s="590" t="s">
        <v>336</v>
      </c>
      <c r="D13" s="590" t="s">
        <v>54</v>
      </c>
      <c r="E13" s="590" t="s">
        <v>1154</v>
      </c>
      <c r="F13" s="591">
        <f>100900+50000</f>
        <v>150900</v>
      </c>
    </row>
    <row r="14" spans="1:10" ht="17.25" thickTop="1" thickBot="1" x14ac:dyDescent="0.25">
      <c r="A14" s="259">
        <v>2</v>
      </c>
      <c r="B14" s="590" t="s">
        <v>335</v>
      </c>
      <c r="C14" s="590" t="s">
        <v>336</v>
      </c>
      <c r="D14" s="590" t="s">
        <v>54</v>
      </c>
      <c r="E14" s="590" t="s">
        <v>583</v>
      </c>
      <c r="F14" s="591">
        <f>100000+60000</f>
        <v>160000</v>
      </c>
    </row>
    <row r="15" spans="1:10" ht="64.5" thickTop="1" thickBot="1" x14ac:dyDescent="0.25">
      <c r="A15" s="259">
        <v>3</v>
      </c>
      <c r="B15" s="590" t="s">
        <v>335</v>
      </c>
      <c r="C15" s="590" t="s">
        <v>336</v>
      </c>
      <c r="D15" s="590" t="s">
        <v>54</v>
      </c>
      <c r="E15" s="590" t="s">
        <v>1155</v>
      </c>
      <c r="F15" s="591">
        <v>48000</v>
      </c>
    </row>
    <row r="16" spans="1:10" s="653" customFormat="1" ht="17.25" thickTop="1" thickBot="1" x14ac:dyDescent="0.25">
      <c r="A16" s="259">
        <v>4</v>
      </c>
      <c r="B16" s="590" t="s">
        <v>335</v>
      </c>
      <c r="C16" s="590" t="s">
        <v>336</v>
      </c>
      <c r="D16" s="590" t="s">
        <v>54</v>
      </c>
      <c r="E16" s="590" t="s">
        <v>1156</v>
      </c>
      <c r="F16" s="591">
        <v>45000</v>
      </c>
      <c r="G16" s="660"/>
    </row>
    <row r="17" spans="1:7" s="653" customFormat="1" ht="80.25" thickTop="1" thickBot="1" x14ac:dyDescent="0.25">
      <c r="A17" s="259">
        <v>5</v>
      </c>
      <c r="B17" s="590" t="s">
        <v>519</v>
      </c>
      <c r="C17" s="590" t="s">
        <v>520</v>
      </c>
      <c r="D17" s="590" t="s">
        <v>518</v>
      </c>
      <c r="E17" s="590" t="s">
        <v>650</v>
      </c>
      <c r="F17" s="591">
        <f>70000+45000+196238.96</f>
        <v>311238.95999999996</v>
      </c>
      <c r="G17" s="660"/>
    </row>
    <row r="18" spans="1:7" s="653" customFormat="1" ht="64.5" thickTop="1" thickBot="1" x14ac:dyDescent="0.25">
      <c r="A18" s="259">
        <v>6</v>
      </c>
      <c r="B18" s="590" t="s">
        <v>519</v>
      </c>
      <c r="C18" s="590" t="s">
        <v>520</v>
      </c>
      <c r="D18" s="590" t="s">
        <v>518</v>
      </c>
      <c r="E18" s="590" t="s">
        <v>1157</v>
      </c>
      <c r="F18" s="591">
        <v>50000</v>
      </c>
      <c r="G18" s="660"/>
    </row>
    <row r="19" spans="1:7" s="653" customFormat="1" ht="33" thickTop="1" thickBot="1" x14ac:dyDescent="0.25">
      <c r="A19" s="259">
        <v>7</v>
      </c>
      <c r="B19" s="590" t="s">
        <v>581</v>
      </c>
      <c r="C19" s="590" t="s">
        <v>579</v>
      </c>
      <c r="D19" s="590" t="s">
        <v>582</v>
      </c>
      <c r="E19" s="590" t="s">
        <v>651</v>
      </c>
      <c r="F19" s="591">
        <v>5000</v>
      </c>
      <c r="G19" s="660"/>
    </row>
    <row r="20" spans="1:7" s="653" customFormat="1" ht="33" thickTop="1" thickBot="1" x14ac:dyDescent="0.25">
      <c r="A20" s="259">
        <v>8</v>
      </c>
      <c r="B20" s="590" t="s">
        <v>581</v>
      </c>
      <c r="C20" s="590" t="s">
        <v>579</v>
      </c>
      <c r="D20" s="590" t="s">
        <v>582</v>
      </c>
      <c r="E20" s="590" t="s">
        <v>652</v>
      </c>
      <c r="F20" s="591">
        <v>120000</v>
      </c>
      <c r="G20" s="660"/>
    </row>
    <row r="21" spans="1:7" s="653" customFormat="1" ht="64.5" thickTop="1" thickBot="1" x14ac:dyDescent="0.25">
      <c r="A21" s="259">
        <v>9</v>
      </c>
      <c r="B21" s="590" t="s">
        <v>581</v>
      </c>
      <c r="C21" s="590" t="s">
        <v>579</v>
      </c>
      <c r="D21" s="590" t="s">
        <v>582</v>
      </c>
      <c r="E21" s="590" t="s">
        <v>1158</v>
      </c>
      <c r="F21" s="591">
        <v>50000</v>
      </c>
      <c r="G21" s="660"/>
    </row>
    <row r="22" spans="1:7" s="653" customFormat="1" ht="80.25" thickTop="1" thickBot="1" x14ac:dyDescent="0.25">
      <c r="A22" s="259">
        <v>10</v>
      </c>
      <c r="B22" s="590" t="s">
        <v>337</v>
      </c>
      <c r="C22" s="590" t="s">
        <v>338</v>
      </c>
      <c r="D22" s="590" t="s">
        <v>56</v>
      </c>
      <c r="E22" s="590" t="s">
        <v>443</v>
      </c>
      <c r="F22" s="591">
        <v>92500</v>
      </c>
      <c r="G22" s="660"/>
    </row>
    <row r="23" spans="1:7" s="653" customFormat="1" ht="33" thickTop="1" thickBot="1" x14ac:dyDescent="0.25">
      <c r="A23" s="259">
        <v>11</v>
      </c>
      <c r="B23" s="590" t="s">
        <v>337</v>
      </c>
      <c r="C23" s="590" t="s">
        <v>338</v>
      </c>
      <c r="D23" s="590" t="s">
        <v>56</v>
      </c>
      <c r="E23" s="590" t="s">
        <v>653</v>
      </c>
      <c r="F23" s="591">
        <v>35000</v>
      </c>
      <c r="G23" s="660"/>
    </row>
    <row r="24" spans="1:7" s="653" customFormat="1" ht="48.75" thickTop="1" thickBot="1" x14ac:dyDescent="0.25">
      <c r="A24" s="259">
        <v>12</v>
      </c>
      <c r="B24" s="590" t="s">
        <v>337</v>
      </c>
      <c r="C24" s="590" t="s">
        <v>338</v>
      </c>
      <c r="D24" s="590" t="s">
        <v>56</v>
      </c>
      <c r="E24" s="590" t="s">
        <v>655</v>
      </c>
      <c r="F24" s="591">
        <v>19500</v>
      </c>
      <c r="G24" s="660"/>
    </row>
    <row r="25" spans="1:7" s="653" customFormat="1" ht="33" thickTop="1" thickBot="1" x14ac:dyDescent="0.25">
      <c r="A25" s="259">
        <v>13</v>
      </c>
      <c r="B25" s="590" t="s">
        <v>337</v>
      </c>
      <c r="C25" s="590" t="s">
        <v>338</v>
      </c>
      <c r="D25" s="590" t="s">
        <v>56</v>
      </c>
      <c r="E25" s="590" t="s">
        <v>654</v>
      </c>
      <c r="F25" s="591">
        <f>40000+60000</f>
        <v>100000</v>
      </c>
      <c r="G25" s="660"/>
    </row>
    <row r="26" spans="1:7" s="653" customFormat="1" ht="48.75" thickTop="1" thickBot="1" x14ac:dyDescent="0.25">
      <c r="A26" s="259">
        <v>14</v>
      </c>
      <c r="B26" s="590" t="s">
        <v>337</v>
      </c>
      <c r="C26" s="590" t="s">
        <v>338</v>
      </c>
      <c r="D26" s="590" t="s">
        <v>56</v>
      </c>
      <c r="E26" s="590" t="s">
        <v>1159</v>
      </c>
      <c r="F26" s="591">
        <v>48000</v>
      </c>
      <c r="G26" s="660"/>
    </row>
    <row r="27" spans="1:7" s="653" customFormat="1" ht="33" thickTop="1" thickBot="1" x14ac:dyDescent="0.25">
      <c r="A27" s="259">
        <v>15</v>
      </c>
      <c r="B27" s="590" t="s">
        <v>337</v>
      </c>
      <c r="C27" s="590" t="s">
        <v>338</v>
      </c>
      <c r="D27" s="590" t="s">
        <v>56</v>
      </c>
      <c r="E27" s="590" t="s">
        <v>1160</v>
      </c>
      <c r="F27" s="591">
        <v>50000</v>
      </c>
      <c r="G27" s="660"/>
    </row>
    <row r="28" spans="1:7" s="653" customFormat="1" ht="33" thickTop="1" thickBot="1" x14ac:dyDescent="0.25">
      <c r="A28" s="259">
        <v>16</v>
      </c>
      <c r="B28" s="590" t="s">
        <v>337</v>
      </c>
      <c r="C28" s="590" t="s">
        <v>338</v>
      </c>
      <c r="D28" s="590" t="s">
        <v>56</v>
      </c>
      <c r="E28" s="590" t="s">
        <v>1161</v>
      </c>
      <c r="F28" s="591">
        <v>200000</v>
      </c>
      <c r="G28" s="660"/>
    </row>
    <row r="29" spans="1:7" ht="17.25" thickTop="1" thickBot="1" x14ac:dyDescent="0.25">
      <c r="A29" s="260" t="s">
        <v>418</v>
      </c>
      <c r="B29" s="260" t="s">
        <v>418</v>
      </c>
      <c r="C29" s="260" t="s">
        <v>418</v>
      </c>
      <c r="D29" s="260" t="s">
        <v>418</v>
      </c>
      <c r="E29" s="261" t="s">
        <v>428</v>
      </c>
      <c r="F29" s="262">
        <f>SUM(F13:F28)</f>
        <v>1485138.96</v>
      </c>
      <c r="G29" s="341" t="b">
        <f>F29='d3'!J277+'d3'!J278+'d3'!J279+'d3'!J280</f>
        <v>1</v>
      </c>
    </row>
    <row r="30" spans="1:7" ht="16.5" thickTop="1" x14ac:dyDescent="0.2">
      <c r="A30" s="89"/>
      <c r="B30" s="89"/>
      <c r="C30" s="89"/>
      <c r="D30" s="89"/>
      <c r="E30" s="89"/>
      <c r="F30" s="90"/>
    </row>
    <row r="31" spans="1:7" s="132" customFormat="1" ht="15.75" x14ac:dyDescent="0.25">
      <c r="A31" s="110"/>
      <c r="B31" s="211" t="s">
        <v>1272</v>
      </c>
      <c r="C31" s="775"/>
      <c r="D31" s="110"/>
      <c r="E31" s="211"/>
      <c r="F31" s="211" t="s">
        <v>1273</v>
      </c>
      <c r="G31" s="266"/>
    </row>
    <row r="32" spans="1:7" ht="27" hidden="1" customHeight="1" x14ac:dyDescent="0.2">
      <c r="A32" s="963" t="s">
        <v>621</v>
      </c>
      <c r="B32" s="964"/>
      <c r="C32" s="964"/>
      <c r="D32" s="964"/>
      <c r="E32" s="110"/>
      <c r="F32" s="112" t="s">
        <v>622</v>
      </c>
    </row>
    <row r="33" spans="1:7" ht="15.75" x14ac:dyDescent="0.2">
      <c r="A33" s="201"/>
      <c r="B33" s="201"/>
      <c r="C33" s="201"/>
      <c r="D33" s="201"/>
      <c r="E33" s="110"/>
      <c r="F33" s="111"/>
    </row>
    <row r="34" spans="1:7" s="198" customFormat="1" ht="15.75" x14ac:dyDescent="0.2">
      <c r="A34" s="201"/>
      <c r="B34" s="201"/>
      <c r="C34" s="201"/>
      <c r="D34" s="201"/>
      <c r="E34" s="110"/>
      <c r="F34" s="111"/>
      <c r="G34" s="266"/>
    </row>
    <row r="35" spans="1:7" s="198" customFormat="1" ht="15.75" x14ac:dyDescent="0.25">
      <c r="A35" s="201"/>
      <c r="B35" s="115" t="s">
        <v>621</v>
      </c>
      <c r="C35" s="211"/>
      <c r="D35" s="201"/>
      <c r="E35" s="110"/>
      <c r="F35" s="211" t="s">
        <v>622</v>
      </c>
      <c r="G35" s="266"/>
    </row>
    <row r="36" spans="1:7" ht="15.75" x14ac:dyDescent="0.25">
      <c r="A36" s="966"/>
      <c r="B36" s="966"/>
      <c r="C36" s="966"/>
      <c r="D36" s="966"/>
      <c r="E36" s="87"/>
      <c r="F36" s="87"/>
    </row>
    <row r="37" spans="1:7" ht="15.75" x14ac:dyDescent="0.2">
      <c r="A37" s="965"/>
      <c r="B37" s="965"/>
      <c r="C37" s="965"/>
      <c r="D37" s="965"/>
      <c r="E37" s="965"/>
      <c r="F37" s="88"/>
    </row>
    <row r="94" spans="7:7" x14ac:dyDescent="0.2">
      <c r="G94" s="937"/>
    </row>
    <row r="95" spans="7:7" x14ac:dyDescent="0.2">
      <c r="G95" s="937"/>
    </row>
    <row r="155" spans="7:10" ht="46.5" x14ac:dyDescent="0.65">
      <c r="J155" s="100"/>
    </row>
    <row r="158" spans="7:10" ht="46.5" x14ac:dyDescent="0.65">
      <c r="G158" s="289"/>
      <c r="J158" s="100"/>
    </row>
    <row r="177" spans="11:11" ht="90" x14ac:dyDescent="1.1499999999999999">
      <c r="K177" s="123" t="b">
        <f>G177=H177+I177</f>
        <v>1</v>
      </c>
    </row>
  </sheetData>
  <mergeCells count="11">
    <mergeCell ref="A32:D32"/>
    <mergeCell ref="A37:E37"/>
    <mergeCell ref="G94:G95"/>
    <mergeCell ref="A36:D36"/>
    <mergeCell ref="F3:I3"/>
    <mergeCell ref="A4:F4"/>
    <mergeCell ref="A6:F6"/>
    <mergeCell ref="A9:B9"/>
    <mergeCell ref="A10:B10"/>
    <mergeCell ref="A5:F5"/>
    <mergeCell ref="C7:E7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16</vt:i4>
      </vt:variant>
    </vt:vector>
  </HeadingPairs>
  <TitlesOfParts>
    <vt:vector size="27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d3-п</vt:lpstr>
      <vt:lpstr>Р-п</vt:lpstr>
      <vt:lpstr>'d3'!Заголовки_для_друку</vt:lpstr>
      <vt:lpstr>'d3-п'!Заголовки_для_друку</vt:lpstr>
      <vt:lpstr>'d6'!Заголовки_для_друку</vt:lpstr>
      <vt:lpstr>'d7'!Заголовки_для_друку</vt:lpstr>
      <vt:lpstr>'Р-п'!Заголовки_для_друку</vt:lpstr>
      <vt:lpstr>'d1'!Область_друку</vt:lpstr>
      <vt:lpstr>'d2'!Область_друку</vt:lpstr>
      <vt:lpstr>'d3'!Область_друку</vt:lpstr>
      <vt:lpstr>'d3-п'!Область_друку</vt:lpstr>
      <vt:lpstr>'d4'!Область_друку</vt:lpstr>
      <vt:lpstr>'d5'!Область_друку</vt:lpstr>
      <vt:lpstr>'d6'!Область_друку</vt:lpstr>
      <vt:lpstr>'d7'!Область_друку</vt:lpstr>
      <vt:lpstr>'d8'!Область_друку</vt:lpstr>
      <vt:lpstr>'d9'!Область_друку</vt:lpstr>
      <vt:lpstr>'Р-п'!Область_друку</vt:lpstr>
    </vt:vector>
  </TitlesOfParts>
  <Company>Міське фінуправління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2021-04-02T06:24:48Z</cp:lastPrinted>
  <dcterms:created xsi:type="dcterms:W3CDTF">2001-12-03T09:30:42Z</dcterms:created>
  <dcterms:modified xsi:type="dcterms:W3CDTF">2021-04-08T14:06:27Z</dcterms:modified>
</cp:coreProperties>
</file>