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1\05.07.2021\"/>
    </mc:Choice>
  </mc:AlternateContent>
  <bookViews>
    <workbookView xWindow="0" yWindow="0" windowWidth="28800" windowHeight="12435" tabRatio="585" activeTab="8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'd3'!$12:$15</definedName>
    <definedName name="_xlnm.Print_Titles" localSheetId="5">'d6'!$10:$11</definedName>
    <definedName name="_xlnm.Print_Titles" localSheetId="6">'d7'!$12:$14</definedName>
    <definedName name="_xlnm.Print_Area" localSheetId="0">'d1'!$A$1:$F$125</definedName>
    <definedName name="_xlnm.Print_Area" localSheetId="1">'d2'!$A$1:$F$55</definedName>
    <definedName name="_xlnm.Print_Area" localSheetId="2">'d3'!$A$1:$P$328</definedName>
    <definedName name="_xlnm.Print_Area" localSheetId="3">'d4'!$B$1:$Q$25</definedName>
    <definedName name="_xlnm.Print_Area" localSheetId="4">'d5'!$A$1:$D$77</definedName>
    <definedName name="_xlnm.Print_Area" localSheetId="5">'d6'!$A$1:$K$289</definedName>
    <definedName name="_xlnm.Print_Area" localSheetId="6">'d7'!$A$1:$J$259</definedName>
    <definedName name="_xlnm.Print_Area" localSheetId="7">'d8'!$A$1:$D$38</definedName>
    <definedName name="_xlnm.Print_Area" localSheetId="8">'d9'!$A$1:$F$34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K289" i="165" l="1"/>
  <c r="F289" i="165"/>
  <c r="D61" i="170"/>
  <c r="D68" i="170"/>
  <c r="J270" i="184"/>
  <c r="H230" i="167" l="1"/>
  <c r="H228" i="167"/>
  <c r="F284" i="165"/>
  <c r="F283" i="165"/>
  <c r="F319" i="165" l="1"/>
  <c r="K227" i="184" l="1"/>
  <c r="J135" i="184" l="1"/>
  <c r="K175" i="165"/>
  <c r="F66" i="165"/>
  <c r="F46" i="165"/>
  <c r="F44" i="165"/>
  <c r="K145" i="165"/>
  <c r="K86" i="184" l="1"/>
  <c r="I86" i="184"/>
  <c r="F48" i="165"/>
  <c r="C119" i="188" l="1"/>
  <c r="C118" i="188"/>
  <c r="C117" i="188"/>
  <c r="C116" i="188"/>
  <c r="F115" i="188"/>
  <c r="F107" i="188" s="1"/>
  <c r="F100" i="188" s="1"/>
  <c r="F97" i="188" s="1"/>
  <c r="E115" i="188"/>
  <c r="D115" i="188"/>
  <c r="D107" i="188" s="1"/>
  <c r="C115" i="188"/>
  <c r="C114" i="188"/>
  <c r="C113" i="188"/>
  <c r="C112" i="188"/>
  <c r="C111" i="188"/>
  <c r="C109" i="188"/>
  <c r="C108" i="188"/>
  <c r="E107" i="188"/>
  <c r="E100" i="188" s="1"/>
  <c r="E97" i="188" s="1"/>
  <c r="C106" i="188"/>
  <c r="C103" i="188"/>
  <c r="E101" i="188"/>
  <c r="D101" i="188"/>
  <c r="C101" i="188"/>
  <c r="C99" i="188"/>
  <c r="D98" i="188"/>
  <c r="C98" i="188"/>
  <c r="C95" i="188"/>
  <c r="E94" i="188"/>
  <c r="C94" i="188" s="1"/>
  <c r="C93" i="188"/>
  <c r="C92" i="188"/>
  <c r="F91" i="188"/>
  <c r="F90" i="188" s="1"/>
  <c r="F85" i="188" s="1"/>
  <c r="E91" i="188"/>
  <c r="C91" i="188" s="1"/>
  <c r="E90" i="188"/>
  <c r="C90" i="188" s="1"/>
  <c r="C89" i="188"/>
  <c r="C88" i="188"/>
  <c r="C87" i="188"/>
  <c r="E86" i="188"/>
  <c r="D86" i="188"/>
  <c r="D85" i="188" s="1"/>
  <c r="C84" i="188"/>
  <c r="C83" i="188"/>
  <c r="C82" i="188"/>
  <c r="C81" i="188"/>
  <c r="E80" i="188"/>
  <c r="C80" i="188" s="1"/>
  <c r="D79" i="188"/>
  <c r="C78" i="188"/>
  <c r="C76" i="188"/>
  <c r="C75" i="188"/>
  <c r="F74" i="188"/>
  <c r="F55" i="188" s="1"/>
  <c r="E74" i="188"/>
  <c r="D74" i="188"/>
  <c r="C74" i="188" s="1"/>
  <c r="C73" i="188"/>
  <c r="C72" i="188"/>
  <c r="D71" i="188"/>
  <c r="C71" i="188" s="1"/>
  <c r="C70" i="188"/>
  <c r="C69" i="188"/>
  <c r="C68" i="188"/>
  <c r="C67" i="188"/>
  <c r="C66" i="188"/>
  <c r="D65" i="188"/>
  <c r="C65" i="188" s="1"/>
  <c r="C63" i="188"/>
  <c r="C62" i="188"/>
  <c r="C61" i="188"/>
  <c r="D60" i="188"/>
  <c r="C60" i="188" s="1"/>
  <c r="C59" i="188"/>
  <c r="C58" i="188"/>
  <c r="C57" i="188"/>
  <c r="C54" i="188"/>
  <c r="C53" i="188"/>
  <c r="C52" i="188"/>
  <c r="E51" i="188"/>
  <c r="D51" i="188"/>
  <c r="C51" i="188" s="1"/>
  <c r="E50" i="188"/>
  <c r="C50" i="188"/>
  <c r="C49" i="188"/>
  <c r="C48" i="188"/>
  <c r="C47" i="188"/>
  <c r="D46" i="188"/>
  <c r="C46" i="188" s="1"/>
  <c r="C45" i="188"/>
  <c r="C44" i="188"/>
  <c r="D43" i="188"/>
  <c r="C43" i="188" s="1"/>
  <c r="C42" i="188"/>
  <c r="C41" i="188"/>
  <c r="C40" i="188"/>
  <c r="C39" i="188"/>
  <c r="C38" i="188"/>
  <c r="C37" i="188"/>
  <c r="C36" i="188"/>
  <c r="C35" i="188"/>
  <c r="C34" i="188"/>
  <c r="C33" i="188"/>
  <c r="D32" i="188"/>
  <c r="C32" i="188" s="1"/>
  <c r="C30" i="188"/>
  <c r="C29" i="188"/>
  <c r="D28" i="188"/>
  <c r="C28" i="188" s="1"/>
  <c r="C27" i="188"/>
  <c r="D26" i="188"/>
  <c r="D25" i="188" s="1"/>
  <c r="C25" i="188" s="1"/>
  <c r="C26" i="188"/>
  <c r="C24" i="188"/>
  <c r="D23" i="188"/>
  <c r="C23" i="188" s="1"/>
  <c r="C22" i="188"/>
  <c r="D21" i="188"/>
  <c r="D20" i="188" s="1"/>
  <c r="C20" i="188" s="1"/>
  <c r="C19" i="188"/>
  <c r="C18" i="188"/>
  <c r="C17" i="188"/>
  <c r="C16" i="188"/>
  <c r="C15" i="188"/>
  <c r="C14" i="188"/>
  <c r="D13" i="188"/>
  <c r="C13" i="188" s="1"/>
  <c r="E11" i="188"/>
  <c r="F96" i="188" l="1"/>
  <c r="C86" i="188"/>
  <c r="D64" i="188"/>
  <c r="C64" i="188" s="1"/>
  <c r="D12" i="188"/>
  <c r="C12" i="188" s="1"/>
  <c r="D31" i="188"/>
  <c r="C31" i="188" s="1"/>
  <c r="C21" i="188"/>
  <c r="F120" i="188"/>
  <c r="C107" i="188"/>
  <c r="D100" i="188"/>
  <c r="E79" i="188"/>
  <c r="D56" i="188"/>
  <c r="E85" i="188"/>
  <c r="C85" i="188" s="1"/>
  <c r="D11" i="188" l="1"/>
  <c r="C11" i="188"/>
  <c r="C79" i="188"/>
  <c r="E55" i="188"/>
  <c r="E96" i="188" s="1"/>
  <c r="E120" i="188" s="1"/>
  <c r="D97" i="188"/>
  <c r="C97" i="188" s="1"/>
  <c r="C100" i="188"/>
  <c r="D55" i="188"/>
  <c r="C56" i="188"/>
  <c r="C55" i="188" l="1"/>
  <c r="D96" i="188"/>
  <c r="C96" i="188" l="1"/>
  <c r="D120" i="188"/>
  <c r="C120" i="188" s="1"/>
  <c r="D66" i="170" l="1"/>
  <c r="D57" i="170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F317" i="165"/>
  <c r="J35" i="167"/>
  <c r="I35" i="167"/>
  <c r="G37" i="167"/>
  <c r="H33" i="167"/>
  <c r="H32" i="167"/>
  <c r="J16" i="184"/>
  <c r="K40" i="165"/>
  <c r="F40" i="165"/>
  <c r="H19" i="165"/>
  <c r="F19" i="165"/>
  <c r="J112" i="184"/>
  <c r="N118" i="165"/>
  <c r="M118" i="165"/>
  <c r="L118" i="165"/>
  <c r="I118" i="165"/>
  <c r="H118" i="165"/>
  <c r="G118" i="165"/>
  <c r="F118" i="165"/>
  <c r="K119" i="165"/>
  <c r="K118" i="165" s="1"/>
  <c r="F120" i="165"/>
  <c r="F111" i="165"/>
  <c r="F109" i="165"/>
  <c r="F130" i="165"/>
  <c r="K129" i="165"/>
  <c r="F129" i="165"/>
  <c r="F117" i="165"/>
  <c r="F116" i="165"/>
  <c r="J107" i="184"/>
  <c r="K102" i="165"/>
  <c r="F102" i="165"/>
  <c r="J64" i="167"/>
  <c r="I64" i="167"/>
  <c r="J63" i="167"/>
  <c r="N68" i="165"/>
  <c r="M68" i="165"/>
  <c r="L68" i="165"/>
  <c r="K68" i="165"/>
  <c r="I68" i="165"/>
  <c r="H68" i="165"/>
  <c r="G68" i="165"/>
  <c r="F68" i="165"/>
  <c r="O70" i="165"/>
  <c r="E70" i="165"/>
  <c r="H63" i="167" l="1"/>
  <c r="O119" i="165"/>
  <c r="J70" i="165"/>
  <c r="J110" i="167"/>
  <c r="F318" i="165"/>
  <c r="E119" i="165"/>
  <c r="J119" i="165"/>
  <c r="D17" i="170"/>
  <c r="J223" i="167"/>
  <c r="J224" i="167"/>
  <c r="N273" i="165"/>
  <c r="M273" i="165"/>
  <c r="L273" i="165"/>
  <c r="K273" i="165"/>
  <c r="I273" i="165"/>
  <c r="H273" i="165"/>
  <c r="G273" i="165"/>
  <c r="F273" i="165"/>
  <c r="O274" i="165"/>
  <c r="O273" i="165" s="1"/>
  <c r="E274" i="165"/>
  <c r="F276" i="165"/>
  <c r="H234" i="167"/>
  <c r="F286" i="165"/>
  <c r="J232" i="167"/>
  <c r="I232" i="167"/>
  <c r="H232" i="167"/>
  <c r="J269" i="184"/>
  <c r="K286" i="165"/>
  <c r="G227" i="167"/>
  <c r="H223" i="167" l="1"/>
  <c r="I110" i="167"/>
  <c r="J118" i="165"/>
  <c r="J274" i="165"/>
  <c r="E273" i="165"/>
  <c r="E118" i="165"/>
  <c r="H110" i="167"/>
  <c r="I63" i="167"/>
  <c r="G63" i="167" s="1"/>
  <c r="P70" i="165"/>
  <c r="O118" i="165"/>
  <c r="P119" i="165"/>
  <c r="P274" i="165"/>
  <c r="F280" i="165"/>
  <c r="N280" i="165"/>
  <c r="M280" i="165"/>
  <c r="L280" i="165"/>
  <c r="K280" i="165"/>
  <c r="I280" i="165"/>
  <c r="H280" i="165"/>
  <c r="G280" i="165"/>
  <c r="O281" i="165"/>
  <c r="E281" i="165"/>
  <c r="J281" i="165" l="1"/>
  <c r="P281" i="165" s="1"/>
  <c r="O280" i="165"/>
  <c r="P273" i="165"/>
  <c r="P118" i="165"/>
  <c r="E280" i="165"/>
  <c r="G110" i="167"/>
  <c r="J273" i="165"/>
  <c r="I223" i="167"/>
  <c r="G223" i="167" s="1"/>
  <c r="F153" i="165"/>
  <c r="G150" i="165"/>
  <c r="F150" i="165"/>
  <c r="H145" i="165"/>
  <c r="G145" i="165"/>
  <c r="F145" i="165"/>
  <c r="F148" i="165"/>
  <c r="F180" i="165"/>
  <c r="F167" i="165"/>
  <c r="F170" i="165"/>
  <c r="F176" i="165"/>
  <c r="F164" i="165"/>
  <c r="F175" i="165"/>
  <c r="N175" i="165"/>
  <c r="M175" i="165"/>
  <c r="J142" i="184"/>
  <c r="G175" i="165"/>
  <c r="J139" i="184"/>
  <c r="J138" i="184"/>
  <c r="J136" i="184"/>
  <c r="J140" i="184"/>
  <c r="P280" i="165" l="1"/>
  <c r="J280" i="165"/>
  <c r="D19" i="108"/>
  <c r="H175" i="165" l="1"/>
  <c r="K46" i="165" l="1"/>
  <c r="F59" i="165"/>
  <c r="J71" i="184"/>
  <c r="K54" i="165"/>
  <c r="F54" i="165"/>
  <c r="F47" i="165"/>
  <c r="J60" i="184"/>
  <c r="K47" i="165"/>
  <c r="I32" i="184" l="1"/>
  <c r="K32" i="184"/>
  <c r="J31" i="184" l="1"/>
  <c r="F45" i="165"/>
  <c r="J20" i="184"/>
  <c r="K44" i="165"/>
  <c r="J42" i="167"/>
  <c r="I42" i="167"/>
  <c r="H42" i="167"/>
  <c r="J67" i="167"/>
  <c r="K77" i="165"/>
  <c r="E77" i="165"/>
  <c r="N76" i="165"/>
  <c r="M76" i="165"/>
  <c r="L76" i="165"/>
  <c r="I76" i="165"/>
  <c r="H76" i="165"/>
  <c r="G76" i="165"/>
  <c r="F76" i="165"/>
  <c r="E76" i="165"/>
  <c r="K66" i="165"/>
  <c r="J62" i="167"/>
  <c r="O69" i="165"/>
  <c r="E69" i="165"/>
  <c r="H54" i="165"/>
  <c r="G54" i="165"/>
  <c r="J48" i="167"/>
  <c r="H48" i="165"/>
  <c r="K45" i="165"/>
  <c r="I45" i="165"/>
  <c r="O48" i="165"/>
  <c r="E48" i="165"/>
  <c r="K56" i="165"/>
  <c r="J73" i="184"/>
  <c r="J72" i="184"/>
  <c r="J52" i="184"/>
  <c r="J47" i="184"/>
  <c r="J45" i="184"/>
  <c r="J43" i="184"/>
  <c r="J46" i="184"/>
  <c r="J25" i="184"/>
  <c r="F60" i="165"/>
  <c r="H59" i="165"/>
  <c r="N56" i="165"/>
  <c r="L56" i="165"/>
  <c r="H56" i="165"/>
  <c r="F56" i="165"/>
  <c r="H47" i="165"/>
  <c r="H46" i="165"/>
  <c r="H44" i="165"/>
  <c r="M56" i="165"/>
  <c r="G56" i="165"/>
  <c r="G46" i="165"/>
  <c r="G47" i="165"/>
  <c r="G44" i="165"/>
  <c r="K251" i="165"/>
  <c r="K248" i="165"/>
  <c r="I223" i="184"/>
  <c r="K226" i="184"/>
  <c r="K225" i="184"/>
  <c r="K224" i="184"/>
  <c r="I224" i="184"/>
  <c r="J222" i="184"/>
  <c r="K222" i="184" s="1"/>
  <c r="J220" i="184"/>
  <c r="I220" i="184"/>
  <c r="J219" i="184"/>
  <c r="J218" i="184"/>
  <c r="J217" i="184"/>
  <c r="K217" i="184" s="1"/>
  <c r="K216" i="184"/>
  <c r="I216" i="184"/>
  <c r="J215" i="184"/>
  <c r="K214" i="184"/>
  <c r="I214" i="184"/>
  <c r="J213" i="184"/>
  <c r="K213" i="184" s="1"/>
  <c r="J212" i="184"/>
  <c r="K212" i="184" s="1"/>
  <c r="J203" i="184"/>
  <c r="K203" i="184" s="1"/>
  <c r="J199" i="184"/>
  <c r="J198" i="184"/>
  <c r="J197" i="184"/>
  <c r="K197" i="184" s="1"/>
  <c r="I197" i="184"/>
  <c r="J196" i="184"/>
  <c r="J192" i="184"/>
  <c r="J190" i="184"/>
  <c r="K190" i="184" s="1"/>
  <c r="J189" i="184"/>
  <c r="J188" i="184"/>
  <c r="J187" i="184"/>
  <c r="J186" i="184"/>
  <c r="J184" i="184"/>
  <c r="J183" i="184"/>
  <c r="K183" i="184" s="1"/>
  <c r="I183" i="184"/>
  <c r="K182" i="184"/>
  <c r="J176" i="184"/>
  <c r="K174" i="184"/>
  <c r="I174" i="184"/>
  <c r="J171" i="184"/>
  <c r="J170" i="184"/>
  <c r="K170" i="184" s="1"/>
  <c r="I170" i="184"/>
  <c r="J169" i="184"/>
  <c r="K169" i="184" s="1"/>
  <c r="I169" i="184"/>
  <c r="J168" i="184"/>
  <c r="K168" i="184" s="1"/>
  <c r="I168" i="184"/>
  <c r="J167" i="184"/>
  <c r="J165" i="184"/>
  <c r="K226" i="165"/>
  <c r="K225" i="165"/>
  <c r="K220" i="165"/>
  <c r="K217" i="165"/>
  <c r="F233" i="165"/>
  <c r="G233" i="165"/>
  <c r="F223" i="165"/>
  <c r="F217" i="165"/>
  <c r="F216" i="165"/>
  <c r="F215" i="165"/>
  <c r="F214" i="165"/>
  <c r="J159" i="184"/>
  <c r="J157" i="184" s="1"/>
  <c r="K158" i="184"/>
  <c r="J156" i="184"/>
  <c r="J155" i="184"/>
  <c r="K155" i="184" s="1"/>
  <c r="I155" i="184"/>
  <c r="J150" i="184"/>
  <c r="J149" i="184"/>
  <c r="G45" i="165" l="1"/>
  <c r="H48" i="167"/>
  <c r="H45" i="165"/>
  <c r="J78" i="184"/>
  <c r="O77" i="165"/>
  <c r="K76" i="165"/>
  <c r="H67" i="167"/>
  <c r="J69" i="165"/>
  <c r="P69" i="165" s="1"/>
  <c r="O68" i="165"/>
  <c r="E68" i="165"/>
  <c r="H62" i="167"/>
  <c r="K73" i="184"/>
  <c r="J48" i="165"/>
  <c r="P48" i="165" s="1"/>
  <c r="J163" i="184"/>
  <c r="J191" i="184"/>
  <c r="J181" i="184"/>
  <c r="J151" i="184"/>
  <c r="O76" i="165" l="1"/>
  <c r="J77" i="165"/>
  <c r="P77" i="165" s="1"/>
  <c r="I62" i="167"/>
  <c r="G62" i="167" s="1"/>
  <c r="J68" i="165"/>
  <c r="I48" i="167"/>
  <c r="G48" i="167" s="1"/>
  <c r="I67" i="167"/>
  <c r="G67" i="167" s="1"/>
  <c r="J76" i="165"/>
  <c r="J161" i="184"/>
  <c r="P68" i="165" l="1"/>
  <c r="P76" i="165"/>
  <c r="K202" i="165"/>
  <c r="K201" i="165"/>
  <c r="K196" i="165"/>
  <c r="K195" i="165"/>
  <c r="K194" i="165"/>
  <c r="F197" i="165"/>
  <c r="F201" i="165"/>
  <c r="F194" i="165"/>
  <c r="J246" i="184"/>
  <c r="D28" i="108"/>
  <c r="J101" i="184"/>
  <c r="J100" i="184"/>
  <c r="D30" i="108"/>
  <c r="D29" i="108"/>
  <c r="L30" i="165"/>
  <c r="J212" i="167"/>
  <c r="G213" i="167"/>
  <c r="O255" i="165"/>
  <c r="L254" i="165"/>
  <c r="E255" i="165"/>
  <c r="N254" i="165"/>
  <c r="M254" i="165"/>
  <c r="K254" i="165"/>
  <c r="I254" i="165"/>
  <c r="H254" i="165"/>
  <c r="G254" i="165"/>
  <c r="F254" i="165"/>
  <c r="O228" i="165"/>
  <c r="L228" i="165"/>
  <c r="L204" i="165"/>
  <c r="H253" i="165" l="1"/>
  <c r="N253" i="165"/>
  <c r="I253" i="165"/>
  <c r="G253" i="165"/>
  <c r="M253" i="165"/>
  <c r="L253" i="165"/>
  <c r="H212" i="167"/>
  <c r="E254" i="165"/>
  <c r="O254" i="165"/>
  <c r="F253" i="165"/>
  <c r="K253" i="165"/>
  <c r="J255" i="165"/>
  <c r="O253" i="165" l="1"/>
  <c r="E253" i="165"/>
  <c r="J254" i="165"/>
  <c r="I212" i="167"/>
  <c r="G212" i="167" s="1"/>
  <c r="P255" i="165"/>
  <c r="P254" i="165" s="1"/>
  <c r="J253" i="165" l="1"/>
  <c r="P253" i="165"/>
  <c r="O30" i="165"/>
  <c r="J95" i="184"/>
  <c r="J94" i="184"/>
  <c r="J92" i="184"/>
  <c r="J89" i="184"/>
  <c r="J91" i="184"/>
  <c r="K97" i="165"/>
  <c r="F94" i="165"/>
  <c r="F89" i="165"/>
  <c r="F84" i="165"/>
  <c r="F86" i="165"/>
  <c r="K103" i="184" l="1"/>
  <c r="K97" i="184"/>
  <c r="J262" i="184"/>
  <c r="J281" i="184"/>
  <c r="J250" i="167"/>
  <c r="I250" i="167"/>
  <c r="H251" i="167"/>
  <c r="G251" i="167" s="1"/>
  <c r="J216" i="167"/>
  <c r="I216" i="167"/>
  <c r="J260" i="184"/>
  <c r="K260" i="165"/>
  <c r="G314" i="165"/>
  <c r="F314" i="165"/>
  <c r="G305" i="165"/>
  <c r="H305" i="165"/>
  <c r="F305" i="165"/>
  <c r="D32" i="170" l="1"/>
  <c r="D26" i="170" s="1"/>
  <c r="D23" i="170"/>
  <c r="J237" i="184"/>
  <c r="K243" i="165"/>
  <c r="J61" i="167"/>
  <c r="F91" i="165"/>
  <c r="O67" i="165"/>
  <c r="E67" i="165"/>
  <c r="N65" i="165"/>
  <c r="M65" i="165"/>
  <c r="L65" i="165"/>
  <c r="K65" i="165"/>
  <c r="I65" i="165"/>
  <c r="H65" i="165"/>
  <c r="G65" i="165"/>
  <c r="J23" i="167"/>
  <c r="J26" i="165"/>
  <c r="E26" i="165"/>
  <c r="N24" i="165"/>
  <c r="M24" i="165"/>
  <c r="L24" i="165"/>
  <c r="K24" i="165"/>
  <c r="I24" i="165"/>
  <c r="H24" i="165"/>
  <c r="G24" i="165"/>
  <c r="F24" i="165"/>
  <c r="I23" i="167" l="1"/>
  <c r="H61" i="167"/>
  <c r="J67" i="165"/>
  <c r="P67" i="165" s="1"/>
  <c r="P26" i="165"/>
  <c r="H23" i="167"/>
  <c r="I61" i="167" l="1"/>
  <c r="G61" i="167" s="1"/>
  <c r="G23" i="167"/>
  <c r="J254" i="184" l="1"/>
  <c r="J240" i="184"/>
  <c r="K240" i="184" l="1"/>
  <c r="D46" i="172" l="1"/>
  <c r="E47" i="172"/>
  <c r="E46" i="172" s="1"/>
  <c r="F46" i="172" s="1"/>
  <c r="E23" i="172"/>
  <c r="E22" i="172" s="1"/>
  <c r="D22" i="172"/>
  <c r="C42" i="172"/>
  <c r="F45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F36" i="172"/>
  <c r="E36" i="172"/>
  <c r="C36" i="172" s="1"/>
  <c r="F27" i="172"/>
  <c r="F26" i="172" s="1"/>
  <c r="F25" i="172" s="1"/>
  <c r="E27" i="172"/>
  <c r="E26" i="172" s="1"/>
  <c r="E25" i="172" s="1"/>
  <c r="J275" i="184" l="1"/>
  <c r="J274" i="184" s="1"/>
  <c r="J273" i="184"/>
  <c r="J268" i="184"/>
  <c r="J266" i="184"/>
  <c r="J261" i="184"/>
  <c r="J257" i="184"/>
  <c r="I257" i="184"/>
  <c r="K256" i="184"/>
  <c r="I256" i="184"/>
  <c r="J249" i="184"/>
  <c r="K249" i="184" s="1"/>
  <c r="I249" i="184"/>
  <c r="K248" i="184"/>
  <c r="I248" i="184"/>
  <c r="J247" i="184"/>
  <c r="I247" i="184"/>
  <c r="K246" i="184"/>
  <c r="I246" i="184"/>
  <c r="K245" i="184"/>
  <c r="I245" i="184"/>
  <c r="K244" i="184"/>
  <c r="I244" i="184"/>
  <c r="J242" i="184"/>
  <c r="I242" i="184"/>
  <c r="H241" i="184"/>
  <c r="K241" i="184" s="1"/>
  <c r="I240" i="184"/>
  <c r="K238" i="184"/>
  <c r="I238" i="184"/>
  <c r="H237" i="184"/>
  <c r="K237" i="184" s="1"/>
  <c r="J148" i="184"/>
  <c r="J145" i="184"/>
  <c r="I145" i="184"/>
  <c r="I139" i="184"/>
  <c r="K134" i="184"/>
  <c r="I134" i="184"/>
  <c r="K130" i="184"/>
  <c r="J128" i="184"/>
  <c r="J127" i="184"/>
  <c r="K127" i="184" s="1"/>
  <c r="I127" i="184"/>
  <c r="J126" i="184"/>
  <c r="J123" i="184"/>
  <c r="K122" i="184"/>
  <c r="I122" i="184"/>
  <c r="H118" i="184"/>
  <c r="I118" i="184" s="1"/>
  <c r="J114" i="184"/>
  <c r="J110" i="184"/>
  <c r="I108" i="184"/>
  <c r="K104" i="184"/>
  <c r="J99" i="184"/>
  <c r="J98" i="184"/>
  <c r="K96" i="184"/>
  <c r="K94" i="184"/>
  <c r="I94" i="184"/>
  <c r="J93" i="184"/>
  <c r="I93" i="184"/>
  <c r="I91" i="184"/>
  <c r="K90" i="184"/>
  <c r="I90" i="184"/>
  <c r="J83" i="184"/>
  <c r="I75" i="184"/>
  <c r="K74" i="184"/>
  <c r="K72" i="184"/>
  <c r="I72" i="184"/>
  <c r="K70" i="184"/>
  <c r="I70" i="184"/>
  <c r="J61" i="184"/>
  <c r="I55" i="184"/>
  <c r="K54" i="184"/>
  <c r="I54" i="184"/>
  <c r="K50" i="184"/>
  <c r="I50" i="184"/>
  <c r="K46" i="184"/>
  <c r="I46" i="184"/>
  <c r="H42" i="184"/>
  <c r="I42" i="184" s="1"/>
  <c r="K29" i="184"/>
  <c r="K25" i="184"/>
  <c r="I25" i="184"/>
  <c r="K24" i="184"/>
  <c r="I24" i="184"/>
  <c r="J23" i="184"/>
  <c r="I23" i="184"/>
  <c r="J21" i="184"/>
  <c r="I21" i="184"/>
  <c r="J14" i="184"/>
  <c r="J13" i="184" s="1"/>
  <c r="J267" i="184" l="1"/>
  <c r="J133" i="184"/>
  <c r="J132" i="184" s="1"/>
  <c r="J120" i="184"/>
  <c r="J265" i="184"/>
  <c r="J264" i="184" s="1"/>
  <c r="I237" i="184"/>
  <c r="K242" i="184"/>
  <c r="K247" i="184"/>
  <c r="K257" i="184"/>
  <c r="J19" i="184"/>
  <c r="J272" i="184"/>
  <c r="J271" i="184" s="1"/>
  <c r="J12" i="184"/>
  <c r="J147" i="184"/>
  <c r="K93" i="184"/>
  <c r="J259" i="184"/>
  <c r="J258" i="184" s="1"/>
  <c r="J88" i="184"/>
  <c r="J87" i="184" s="1"/>
  <c r="K42" i="184"/>
  <c r="J119" i="184"/>
  <c r="J106" i="184"/>
  <c r="J105" i="184" s="1"/>
  <c r="I241" i="184"/>
  <c r="J160" i="184"/>
  <c r="J236" i="184"/>
  <c r="J235" i="184" s="1"/>
  <c r="J18" i="184" l="1"/>
  <c r="J146" i="184"/>
  <c r="J280" i="184"/>
  <c r="F35" i="172"/>
  <c r="F32" i="172" s="1"/>
  <c r="E35" i="172"/>
  <c r="E32" i="172" s="1"/>
  <c r="C40" i="172"/>
  <c r="C37" i="172" s="1"/>
  <c r="C28" i="172"/>
  <c r="C27" i="172"/>
  <c r="K252" i="165"/>
  <c r="J283" i="184" l="1"/>
  <c r="C26" i="172"/>
  <c r="C25" i="172" s="1"/>
  <c r="C35" i="172"/>
  <c r="C32" i="172" s="1"/>
  <c r="C31" i="172" s="1"/>
  <c r="N222" i="165"/>
  <c r="M222" i="165"/>
  <c r="L222" i="165"/>
  <c r="I222" i="165"/>
  <c r="H222" i="165"/>
  <c r="G222" i="165"/>
  <c r="H221" i="165" l="1"/>
  <c r="L221" i="165"/>
  <c r="I221" i="165"/>
  <c r="M221" i="165"/>
  <c r="G221" i="165"/>
  <c r="N221" i="165"/>
  <c r="D36" i="170" l="1"/>
  <c r="K156" i="165"/>
  <c r="J66" i="167"/>
  <c r="F73" i="165"/>
  <c r="O73" i="165"/>
  <c r="O301" i="165"/>
  <c r="E73" i="165" l="1"/>
  <c r="H66" i="167"/>
  <c r="J73" i="165"/>
  <c r="K223" i="165"/>
  <c r="E98" i="165"/>
  <c r="O98" i="165"/>
  <c r="J98" i="165" s="1"/>
  <c r="I66" i="167" l="1"/>
  <c r="G66" i="167" s="1"/>
  <c r="K222" i="165"/>
  <c r="P73" i="165"/>
  <c r="P98" i="165"/>
  <c r="K221" i="165" l="1"/>
  <c r="G210" i="167"/>
  <c r="J209" i="167" l="1"/>
  <c r="F268" i="165" l="1"/>
  <c r="F21" i="172"/>
  <c r="G234" i="167"/>
  <c r="G38" i="167" l="1"/>
  <c r="D65" i="170" l="1"/>
  <c r="D56" i="170"/>
  <c r="H21" i="167" l="1"/>
  <c r="J31" i="167"/>
  <c r="G36" i="167"/>
  <c r="G35" i="167"/>
  <c r="G34" i="167"/>
  <c r="G33" i="167"/>
  <c r="G32" i="167"/>
  <c r="H31" i="167"/>
  <c r="I31" i="167"/>
  <c r="J17" i="167"/>
  <c r="I17" i="167"/>
  <c r="K19" i="165"/>
  <c r="E40" i="165"/>
  <c r="G233" i="167"/>
  <c r="O40" i="165" l="1"/>
  <c r="J40" i="165" l="1"/>
  <c r="P40" i="165" s="1"/>
  <c r="F22" i="165"/>
  <c r="F64" i="165"/>
  <c r="H64" i="165"/>
  <c r="G64" i="165"/>
  <c r="F62" i="165"/>
  <c r="F75" i="165"/>
  <c r="K53" i="165" l="1"/>
  <c r="N51" i="165"/>
  <c r="M51" i="165"/>
  <c r="L51" i="165"/>
  <c r="I51" i="165"/>
  <c r="H51" i="165"/>
  <c r="G51" i="165"/>
  <c r="F51" i="165"/>
  <c r="E53" i="165"/>
  <c r="O46" i="165"/>
  <c r="L46" i="165"/>
  <c r="J169" i="167"/>
  <c r="O197" i="165"/>
  <c r="E197" i="165"/>
  <c r="K51" i="165" l="1"/>
  <c r="H169" i="167"/>
  <c r="E51" i="165"/>
  <c r="O53" i="165"/>
  <c r="H50" i="167"/>
  <c r="J197" i="165"/>
  <c r="J50" i="167"/>
  <c r="J53" i="165"/>
  <c r="O51" i="165" l="1"/>
  <c r="P197" i="165"/>
  <c r="I169" i="167"/>
  <c r="G169" i="167" s="1"/>
  <c r="J51" i="165"/>
  <c r="I50" i="167"/>
  <c r="G50" i="167" s="1"/>
  <c r="P53" i="165"/>
  <c r="P51" i="165" l="1"/>
  <c r="J205" i="167" l="1"/>
  <c r="J203" i="167"/>
  <c r="N237" i="165" l="1"/>
  <c r="M237" i="165"/>
  <c r="L237" i="165"/>
  <c r="K237" i="165"/>
  <c r="I237" i="165"/>
  <c r="G237" i="165"/>
  <c r="O240" i="165"/>
  <c r="E240" i="165"/>
  <c r="O246" i="165"/>
  <c r="E246" i="165"/>
  <c r="J246" i="165" l="1"/>
  <c r="H203" i="167"/>
  <c r="J240" i="165"/>
  <c r="H205" i="167"/>
  <c r="P246" i="165"/>
  <c r="K116" i="165"/>
  <c r="K137" i="165"/>
  <c r="N136" i="165"/>
  <c r="M136" i="165"/>
  <c r="L136" i="165"/>
  <c r="I136" i="165"/>
  <c r="H136" i="165"/>
  <c r="G136" i="165"/>
  <c r="F136" i="165"/>
  <c r="G97" i="167"/>
  <c r="K136" i="165" l="1"/>
  <c r="H135" i="165"/>
  <c r="M135" i="165"/>
  <c r="I135" i="165"/>
  <c r="N135" i="165"/>
  <c r="P240" i="165"/>
  <c r="I203" i="167"/>
  <c r="K135" i="165"/>
  <c r="F135" i="165"/>
  <c r="O137" i="165"/>
  <c r="J123" i="167"/>
  <c r="G135" i="165"/>
  <c r="L135" i="165"/>
  <c r="I205" i="167"/>
  <c r="G205" i="167" s="1"/>
  <c r="J137" i="165" l="1"/>
  <c r="G203" i="167"/>
  <c r="O136" i="165"/>
  <c r="J136" i="165"/>
  <c r="I123" i="167" l="1"/>
  <c r="J135" i="165"/>
  <c r="O135" i="165"/>
  <c r="H116" i="165"/>
  <c r="J106" i="167"/>
  <c r="O113" i="165"/>
  <c r="E113" i="165"/>
  <c r="J98" i="167"/>
  <c r="J99" i="167"/>
  <c r="N101" i="165"/>
  <c r="M101" i="165"/>
  <c r="L101" i="165"/>
  <c r="I101" i="165"/>
  <c r="G101" i="165"/>
  <c r="J104" i="165"/>
  <c r="E104" i="165"/>
  <c r="I99" i="167" l="1"/>
  <c r="H106" i="167"/>
  <c r="J113" i="165"/>
  <c r="K101" i="165"/>
  <c r="P104" i="165"/>
  <c r="H99" i="167"/>
  <c r="I106" i="167" l="1"/>
  <c r="G106" i="167" s="1"/>
  <c r="G99" i="167"/>
  <c r="P113" i="165"/>
  <c r="F234" i="165"/>
  <c r="G234" i="165"/>
  <c r="H234" i="165"/>
  <c r="H233" i="165"/>
  <c r="O223" i="165"/>
  <c r="J173" i="167"/>
  <c r="O202" i="165"/>
  <c r="E202" i="165"/>
  <c r="F222" i="165" l="1"/>
  <c r="O222" i="165"/>
  <c r="H173" i="167"/>
  <c r="J202" i="165"/>
  <c r="P202" i="165" l="1"/>
  <c r="F221" i="165"/>
  <c r="O221" i="165"/>
  <c r="I173" i="167"/>
  <c r="G173" i="167" s="1"/>
  <c r="F101" i="165" l="1"/>
  <c r="F85" i="165" l="1"/>
  <c r="F83" i="165"/>
  <c r="J141" i="167"/>
  <c r="O156" i="165" l="1"/>
  <c r="E156" i="165"/>
  <c r="N155" i="165"/>
  <c r="M155" i="165"/>
  <c r="L155" i="165"/>
  <c r="K155" i="165"/>
  <c r="I155" i="165"/>
  <c r="H155" i="165"/>
  <c r="G155" i="165"/>
  <c r="F155" i="165"/>
  <c r="L154" i="165"/>
  <c r="F147" i="165"/>
  <c r="F152" i="165"/>
  <c r="K149" i="165"/>
  <c r="K150" i="165"/>
  <c r="G132" i="167"/>
  <c r="E155" i="165" l="1"/>
  <c r="M154" i="165"/>
  <c r="K154" i="165"/>
  <c r="E154" i="165"/>
  <c r="I154" i="165"/>
  <c r="N154" i="165"/>
  <c r="F154" i="165"/>
  <c r="H141" i="167"/>
  <c r="G154" i="165"/>
  <c r="H154" i="165"/>
  <c r="O155" i="165"/>
  <c r="J156" i="165"/>
  <c r="O154" i="165" l="1"/>
  <c r="J155" i="165"/>
  <c r="I141" i="167"/>
  <c r="G141" i="167" s="1"/>
  <c r="P156" i="165"/>
  <c r="J154" i="165" l="1"/>
  <c r="P155" i="165"/>
  <c r="K148" i="165"/>
  <c r="P154" i="165" l="1"/>
  <c r="G246" i="167"/>
  <c r="J238" i="167"/>
  <c r="I238" i="167"/>
  <c r="K293" i="165"/>
  <c r="J221" i="167"/>
  <c r="I221" i="167"/>
  <c r="K268" i="165"/>
  <c r="J162" i="167"/>
  <c r="I162" i="167"/>
  <c r="K190" i="165"/>
  <c r="F260" i="165"/>
  <c r="F238" i="165"/>
  <c r="H190" i="165"/>
  <c r="F190" i="165"/>
  <c r="F209" i="165"/>
  <c r="D25" i="108"/>
  <c r="D34" i="108" s="1"/>
  <c r="H231" i="167"/>
  <c r="F237" i="165" l="1"/>
  <c r="J27" i="167"/>
  <c r="J32" i="165" l="1"/>
  <c r="J30" i="165"/>
  <c r="O29" i="165"/>
  <c r="L29" i="165"/>
  <c r="F29" i="165"/>
  <c r="N29" i="165"/>
  <c r="M29" i="165"/>
  <c r="K29" i="165"/>
  <c r="I29" i="165"/>
  <c r="H29" i="165"/>
  <c r="G29" i="165"/>
  <c r="E32" i="165"/>
  <c r="I27" i="167" l="1"/>
  <c r="H27" i="167"/>
  <c r="J29" i="165"/>
  <c r="P32" i="165"/>
  <c r="J218" i="167"/>
  <c r="G27" i="167" l="1"/>
  <c r="O264" i="165"/>
  <c r="E264" i="165"/>
  <c r="N263" i="165"/>
  <c r="M263" i="165"/>
  <c r="L263" i="165"/>
  <c r="K263" i="165"/>
  <c r="I263" i="165"/>
  <c r="H263" i="165"/>
  <c r="G263" i="165"/>
  <c r="F263" i="165"/>
  <c r="L262" i="165"/>
  <c r="L301" i="165"/>
  <c r="L300" i="165"/>
  <c r="L299" i="165"/>
  <c r="L298" i="165"/>
  <c r="F25" i="153"/>
  <c r="F17" i="153"/>
  <c r="F14" i="153"/>
  <c r="F13" i="153"/>
  <c r="N262" i="165" l="1"/>
  <c r="H262" i="165"/>
  <c r="M262" i="165"/>
  <c r="F29" i="153"/>
  <c r="F262" i="165"/>
  <c r="K262" i="165"/>
  <c r="J264" i="165"/>
  <c r="G262" i="165"/>
  <c r="I262" i="165"/>
  <c r="E263" i="165"/>
  <c r="H218" i="167"/>
  <c r="O263" i="165"/>
  <c r="J263" i="165" l="1"/>
  <c r="P264" i="165"/>
  <c r="E262" i="165"/>
  <c r="J262" i="165"/>
  <c r="O262" i="165"/>
  <c r="I218" i="167"/>
  <c r="G218" i="167" s="1"/>
  <c r="P263" i="165" l="1"/>
  <c r="P262" i="165"/>
  <c r="D67" i="170"/>
  <c r="D60" i="170" l="1"/>
  <c r="J235" i="167" l="1"/>
  <c r="J226" i="167" s="1"/>
  <c r="O289" i="165" l="1"/>
  <c r="E289" i="165"/>
  <c r="N288" i="165"/>
  <c r="M288" i="165"/>
  <c r="M287" i="165" s="1"/>
  <c r="L288" i="165"/>
  <c r="K288" i="165"/>
  <c r="I288" i="165"/>
  <c r="H288" i="165"/>
  <c r="G288" i="165"/>
  <c r="F288" i="165"/>
  <c r="N287" i="165"/>
  <c r="F179" i="165"/>
  <c r="K186" i="165"/>
  <c r="F183" i="165"/>
  <c r="G17" i="107"/>
  <c r="F178" i="165"/>
  <c r="L166" i="165"/>
  <c r="H287" i="165" l="1"/>
  <c r="I287" i="165"/>
  <c r="F287" i="165"/>
  <c r="K287" i="165"/>
  <c r="H235" i="167"/>
  <c r="H226" i="167" s="1"/>
  <c r="G287" i="165"/>
  <c r="L287" i="165"/>
  <c r="J289" i="165"/>
  <c r="O288" i="165"/>
  <c r="E288" i="165"/>
  <c r="E287" i="165" l="1"/>
  <c r="J288" i="165"/>
  <c r="I235" i="167"/>
  <c r="I226" i="167" s="1"/>
  <c r="P289" i="165"/>
  <c r="O287" i="165"/>
  <c r="G235" i="167" l="1"/>
  <c r="P288" i="165"/>
  <c r="J287" i="165"/>
  <c r="P287" i="165" l="1"/>
  <c r="J112" i="167" l="1"/>
  <c r="N121" i="165"/>
  <c r="M121" i="165"/>
  <c r="L121" i="165"/>
  <c r="K121" i="165"/>
  <c r="I121" i="165"/>
  <c r="H121" i="165"/>
  <c r="G121" i="165"/>
  <c r="F121" i="165"/>
  <c r="J107" i="167"/>
  <c r="J105" i="167"/>
  <c r="E121" i="165" l="1"/>
  <c r="O121" i="165"/>
  <c r="G20" i="165"/>
  <c r="G19" i="165"/>
  <c r="J121" i="165" l="1"/>
  <c r="F20" i="165"/>
  <c r="F18" i="165" l="1"/>
  <c r="P121" i="165"/>
  <c r="J185" i="167"/>
  <c r="G187" i="167"/>
  <c r="H293" i="165" l="1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21" i="165"/>
  <c r="M321" i="165"/>
  <c r="L321" i="165"/>
  <c r="K321" i="165"/>
  <c r="I321" i="165"/>
  <c r="H321" i="165"/>
  <c r="G321" i="165"/>
  <c r="F321" i="165"/>
  <c r="L320" i="165"/>
  <c r="G320" i="165"/>
  <c r="N318" i="165"/>
  <c r="M318" i="165"/>
  <c r="L318" i="165"/>
  <c r="K318" i="165"/>
  <c r="I318" i="165"/>
  <c r="H318" i="165"/>
  <c r="G318" i="165"/>
  <c r="E317" i="165"/>
  <c r="O317" i="165"/>
  <c r="N313" i="165"/>
  <c r="M313" i="165"/>
  <c r="L313" i="165"/>
  <c r="K313" i="165"/>
  <c r="I313" i="165"/>
  <c r="G313" i="165"/>
  <c r="O307" i="165"/>
  <c r="N307" i="165"/>
  <c r="M307" i="165"/>
  <c r="L307" i="165"/>
  <c r="K307" i="165"/>
  <c r="I307" i="165"/>
  <c r="H307" i="165"/>
  <c r="G307" i="165"/>
  <c r="F307" i="165"/>
  <c r="N309" i="165"/>
  <c r="M309" i="165"/>
  <c r="L309" i="165"/>
  <c r="K309" i="165"/>
  <c r="I309" i="165"/>
  <c r="H309" i="165"/>
  <c r="G309" i="165"/>
  <c r="F309" i="165"/>
  <c r="N304" i="165"/>
  <c r="M304" i="165"/>
  <c r="L304" i="165"/>
  <c r="K304" i="165"/>
  <c r="I304" i="165"/>
  <c r="G304" i="165"/>
  <c r="F304" i="165"/>
  <c r="N297" i="165"/>
  <c r="M297" i="165"/>
  <c r="L297" i="165"/>
  <c r="K297" i="165"/>
  <c r="I297" i="165"/>
  <c r="H297" i="165"/>
  <c r="G297" i="165"/>
  <c r="F297" i="165"/>
  <c r="N292" i="165"/>
  <c r="M292" i="165"/>
  <c r="L292" i="165"/>
  <c r="K292" i="165"/>
  <c r="I292" i="165"/>
  <c r="G292" i="165"/>
  <c r="N61" i="165"/>
  <c r="M61" i="165"/>
  <c r="L61" i="165"/>
  <c r="K61" i="165"/>
  <c r="I61" i="165"/>
  <c r="M58" i="165"/>
  <c r="K58" i="165"/>
  <c r="I58" i="165"/>
  <c r="M55" i="165"/>
  <c r="K55" i="165"/>
  <c r="I55" i="165"/>
  <c r="N49" i="165"/>
  <c r="M49" i="165"/>
  <c r="L49" i="165"/>
  <c r="K49" i="165"/>
  <c r="I49" i="165"/>
  <c r="H49" i="165"/>
  <c r="N285" i="165"/>
  <c r="M285" i="165"/>
  <c r="L285" i="165"/>
  <c r="I285" i="165"/>
  <c r="H285" i="165"/>
  <c r="G285" i="165"/>
  <c r="N275" i="165"/>
  <c r="M275" i="165"/>
  <c r="L275" i="165"/>
  <c r="K275" i="165"/>
  <c r="I275" i="165"/>
  <c r="H275" i="165"/>
  <c r="G275" i="165"/>
  <c r="F275" i="165"/>
  <c r="N267" i="165"/>
  <c r="M267" i="165"/>
  <c r="L267" i="165"/>
  <c r="K267" i="165"/>
  <c r="I267" i="165"/>
  <c r="G267" i="165"/>
  <c r="N259" i="165"/>
  <c r="M259" i="165"/>
  <c r="L259" i="165"/>
  <c r="K259" i="165"/>
  <c r="I259" i="165"/>
  <c r="G259" i="165"/>
  <c r="N247" i="165"/>
  <c r="M247" i="165"/>
  <c r="L247" i="165"/>
  <c r="K247" i="165"/>
  <c r="I247" i="165"/>
  <c r="H247" i="165"/>
  <c r="G247" i="165"/>
  <c r="F247" i="165"/>
  <c r="N242" i="165"/>
  <c r="M242" i="165"/>
  <c r="L242" i="165"/>
  <c r="I242" i="165"/>
  <c r="H242" i="165"/>
  <c r="G242" i="165"/>
  <c r="F242" i="165"/>
  <c r="G272" i="165" l="1"/>
  <c r="L272" i="165"/>
  <c r="H272" i="165"/>
  <c r="M272" i="165"/>
  <c r="F272" i="165"/>
  <c r="K272" i="165"/>
  <c r="K43" i="165"/>
  <c r="I272" i="165"/>
  <c r="N272" i="165"/>
  <c r="I43" i="165"/>
  <c r="M258" i="165"/>
  <c r="G282" i="165"/>
  <c r="M282" i="165"/>
  <c r="F296" i="165"/>
  <c r="K296" i="165"/>
  <c r="F316" i="165"/>
  <c r="K316" i="165"/>
  <c r="H320" i="165"/>
  <c r="M320" i="165"/>
  <c r="G241" i="165"/>
  <c r="I241" i="165"/>
  <c r="F245" i="165"/>
  <c r="G258" i="165"/>
  <c r="F241" i="165"/>
  <c r="L241" i="165"/>
  <c r="G245" i="165"/>
  <c r="L245" i="165"/>
  <c r="I258" i="165"/>
  <c r="N258" i="165"/>
  <c r="H282" i="165"/>
  <c r="N282" i="165"/>
  <c r="G296" i="165"/>
  <c r="L296" i="165"/>
  <c r="G316" i="165"/>
  <c r="L316" i="165"/>
  <c r="L312" i="165" s="1"/>
  <c r="I320" i="165"/>
  <c r="N320" i="165"/>
  <c r="M241" i="165"/>
  <c r="M245" i="165"/>
  <c r="K258" i="165"/>
  <c r="I282" i="165"/>
  <c r="H296" i="165"/>
  <c r="M296" i="165"/>
  <c r="J317" i="165"/>
  <c r="H316" i="165"/>
  <c r="M316" i="165"/>
  <c r="F320" i="165"/>
  <c r="K320" i="165"/>
  <c r="H245" i="165"/>
  <c r="H241" i="165"/>
  <c r="N241" i="165"/>
  <c r="I245" i="165"/>
  <c r="N245" i="165"/>
  <c r="L258" i="165"/>
  <c r="L282" i="165"/>
  <c r="I296" i="165"/>
  <c r="N296" i="165"/>
  <c r="I316" i="165"/>
  <c r="N316" i="165"/>
  <c r="K245" i="165"/>
  <c r="H306" i="165"/>
  <c r="K306" i="165"/>
  <c r="G306" i="165"/>
  <c r="L306" i="165"/>
  <c r="I306" i="165"/>
  <c r="M306" i="165"/>
  <c r="F306" i="165"/>
  <c r="N306" i="165"/>
  <c r="N231" i="165"/>
  <c r="M231" i="165"/>
  <c r="L231" i="165"/>
  <c r="K231" i="165"/>
  <c r="I231" i="165"/>
  <c r="F231" i="165"/>
  <c r="N227" i="165"/>
  <c r="M227" i="165"/>
  <c r="L227" i="165"/>
  <c r="K227" i="165"/>
  <c r="I227" i="165"/>
  <c r="H227" i="165"/>
  <c r="G227" i="165"/>
  <c r="F227" i="165"/>
  <c r="E227" i="165"/>
  <c r="N219" i="165"/>
  <c r="M219" i="165"/>
  <c r="L219" i="165"/>
  <c r="K219" i="165"/>
  <c r="I219" i="165"/>
  <c r="H219" i="165"/>
  <c r="G219" i="165"/>
  <c r="F219" i="165"/>
  <c r="N213" i="165"/>
  <c r="M213" i="165"/>
  <c r="L213" i="165"/>
  <c r="K213" i="165"/>
  <c r="I213" i="165"/>
  <c r="H213" i="165"/>
  <c r="G213" i="165"/>
  <c r="F213" i="165"/>
  <c r="N208" i="165"/>
  <c r="M208" i="165"/>
  <c r="L208" i="165"/>
  <c r="K208" i="165"/>
  <c r="I208" i="165"/>
  <c r="G208" i="165"/>
  <c r="N203" i="165"/>
  <c r="M203" i="165"/>
  <c r="L203" i="165"/>
  <c r="K203" i="165"/>
  <c r="I203" i="165"/>
  <c r="H203" i="165"/>
  <c r="G203" i="165"/>
  <c r="F203" i="165"/>
  <c r="N193" i="165"/>
  <c r="M193" i="165"/>
  <c r="L193" i="165"/>
  <c r="I193" i="165"/>
  <c r="H193" i="165"/>
  <c r="G193" i="165"/>
  <c r="F193" i="165"/>
  <c r="N189" i="165"/>
  <c r="M189" i="165"/>
  <c r="L189" i="165"/>
  <c r="K189" i="165"/>
  <c r="I189" i="165"/>
  <c r="G189" i="165"/>
  <c r="N185" i="165"/>
  <c r="M185" i="165"/>
  <c r="L185" i="165"/>
  <c r="K185" i="165"/>
  <c r="I185" i="165"/>
  <c r="H185" i="165"/>
  <c r="G185" i="165"/>
  <c r="F185" i="165"/>
  <c r="N182" i="165"/>
  <c r="M182" i="165"/>
  <c r="L182" i="165"/>
  <c r="K182" i="165"/>
  <c r="I182" i="165"/>
  <c r="H182" i="165"/>
  <c r="G182" i="165"/>
  <c r="F182" i="165"/>
  <c r="N181" i="165"/>
  <c r="N177" i="165"/>
  <c r="M177" i="165"/>
  <c r="L177" i="165"/>
  <c r="I177" i="165"/>
  <c r="H177" i="165"/>
  <c r="G177" i="165"/>
  <c r="M174" i="165"/>
  <c r="I174" i="165"/>
  <c r="G174" i="165"/>
  <c r="N172" i="165"/>
  <c r="M172" i="165"/>
  <c r="L172" i="165"/>
  <c r="K172" i="165"/>
  <c r="I172" i="165"/>
  <c r="H172" i="165"/>
  <c r="G172" i="165"/>
  <c r="N169" i="165"/>
  <c r="M169" i="165"/>
  <c r="L169" i="165"/>
  <c r="K169" i="165"/>
  <c r="I169" i="165"/>
  <c r="H169" i="165"/>
  <c r="G169" i="165"/>
  <c r="M165" i="165"/>
  <c r="I165" i="165"/>
  <c r="G165" i="165"/>
  <c r="N163" i="165"/>
  <c r="M163" i="165"/>
  <c r="L163" i="165"/>
  <c r="K163" i="165"/>
  <c r="I163" i="165"/>
  <c r="G163" i="165"/>
  <c r="N158" i="165"/>
  <c r="M158" i="165"/>
  <c r="L158" i="165"/>
  <c r="K158" i="165"/>
  <c r="I158" i="165"/>
  <c r="H158" i="165"/>
  <c r="G158" i="165"/>
  <c r="F158" i="165"/>
  <c r="N151" i="165"/>
  <c r="M151" i="165"/>
  <c r="K151" i="165"/>
  <c r="I151" i="165"/>
  <c r="G151" i="165"/>
  <c r="M144" i="165"/>
  <c r="K144" i="165"/>
  <c r="I144" i="165"/>
  <c r="N139" i="165"/>
  <c r="M139" i="165"/>
  <c r="L139" i="165"/>
  <c r="K139" i="165"/>
  <c r="I139" i="165"/>
  <c r="H139" i="165"/>
  <c r="G139" i="165"/>
  <c r="F139" i="165"/>
  <c r="N132" i="165"/>
  <c r="M132" i="165"/>
  <c r="L132" i="165"/>
  <c r="K132" i="165"/>
  <c r="I132" i="165"/>
  <c r="H132" i="165"/>
  <c r="G132" i="165"/>
  <c r="F132" i="165"/>
  <c r="M128" i="165"/>
  <c r="I128" i="165"/>
  <c r="N126" i="165"/>
  <c r="M126" i="165"/>
  <c r="L126" i="165"/>
  <c r="K126" i="165"/>
  <c r="I126" i="165"/>
  <c r="H126" i="165"/>
  <c r="G126" i="165"/>
  <c r="F126" i="165"/>
  <c r="N124" i="165"/>
  <c r="M124" i="165"/>
  <c r="L124" i="165"/>
  <c r="K124" i="165"/>
  <c r="I124" i="165"/>
  <c r="H124" i="165"/>
  <c r="G124" i="165"/>
  <c r="M115" i="165"/>
  <c r="K115" i="165"/>
  <c r="I115" i="165"/>
  <c r="F115" i="165"/>
  <c r="N106" i="165"/>
  <c r="M106" i="165"/>
  <c r="L106" i="165"/>
  <c r="K106" i="165"/>
  <c r="I106" i="165"/>
  <c r="H106" i="165"/>
  <c r="G106" i="165"/>
  <c r="M312" i="165" l="1"/>
  <c r="N244" i="165"/>
  <c r="H244" i="165"/>
  <c r="I279" i="165"/>
  <c r="M279" i="165"/>
  <c r="M105" i="165"/>
  <c r="K244" i="165"/>
  <c r="I244" i="165"/>
  <c r="G279" i="165"/>
  <c r="I105" i="165"/>
  <c r="L279" i="165"/>
  <c r="M244" i="165"/>
  <c r="N279" i="165"/>
  <c r="L244" i="165"/>
  <c r="H279" i="165"/>
  <c r="G244" i="165"/>
  <c r="F244" i="165"/>
  <c r="P317" i="165"/>
  <c r="K312" i="165"/>
  <c r="G312" i="165"/>
  <c r="F131" i="165"/>
  <c r="K131" i="165"/>
  <c r="F138" i="165"/>
  <c r="K138" i="165"/>
  <c r="I146" i="165"/>
  <c r="F157" i="165"/>
  <c r="K157" i="165"/>
  <c r="M162" i="165"/>
  <c r="I181" i="165"/>
  <c r="I184" i="165"/>
  <c r="N184" i="165"/>
  <c r="G192" i="165"/>
  <c r="M192" i="165"/>
  <c r="K212" i="165"/>
  <c r="I224" i="165"/>
  <c r="N224" i="165"/>
  <c r="N218" i="165" s="1"/>
  <c r="L230" i="165"/>
  <c r="F303" i="165"/>
  <c r="L303" i="165"/>
  <c r="N312" i="165"/>
  <c r="M295" i="165"/>
  <c r="I312" i="165"/>
  <c r="L295" i="165"/>
  <c r="F271" i="165"/>
  <c r="G131" i="165"/>
  <c r="L131" i="165"/>
  <c r="G138" i="165"/>
  <c r="L138" i="165"/>
  <c r="G157" i="165"/>
  <c r="L157" i="165"/>
  <c r="F181" i="165"/>
  <c r="K181" i="165"/>
  <c r="F184" i="165"/>
  <c r="K184" i="165"/>
  <c r="H192" i="165"/>
  <c r="N192" i="165"/>
  <c r="G212" i="165"/>
  <c r="L212" i="165"/>
  <c r="F224" i="165"/>
  <c r="K224" i="165"/>
  <c r="F230" i="165"/>
  <c r="M230" i="165"/>
  <c r="M303" i="165"/>
  <c r="G303" i="165"/>
  <c r="N295" i="165"/>
  <c r="I271" i="165"/>
  <c r="H271" i="165"/>
  <c r="L271" i="165"/>
  <c r="K295" i="165"/>
  <c r="H131" i="165"/>
  <c r="M131" i="165"/>
  <c r="H138" i="165"/>
  <c r="M138" i="165"/>
  <c r="M146" i="165"/>
  <c r="H157" i="165"/>
  <c r="M157" i="165"/>
  <c r="G181" i="165"/>
  <c r="L181" i="165"/>
  <c r="G184" i="165"/>
  <c r="L184" i="165"/>
  <c r="I192" i="165"/>
  <c r="H212" i="165"/>
  <c r="M212" i="165"/>
  <c r="G224" i="165"/>
  <c r="I230" i="165"/>
  <c r="N230" i="165"/>
  <c r="I303" i="165"/>
  <c r="H295" i="165"/>
  <c r="G295" i="165"/>
  <c r="K271" i="165"/>
  <c r="I131" i="165"/>
  <c r="N131" i="165"/>
  <c r="I138" i="165"/>
  <c r="N138" i="165"/>
  <c r="G146" i="165"/>
  <c r="I157" i="165"/>
  <c r="N157" i="165"/>
  <c r="H181" i="165"/>
  <c r="M181" i="165"/>
  <c r="H184" i="165"/>
  <c r="M184" i="165"/>
  <c r="F192" i="165"/>
  <c r="L192" i="165"/>
  <c r="I212" i="165"/>
  <c r="N212" i="165"/>
  <c r="H224" i="165"/>
  <c r="H218" i="165" s="1"/>
  <c r="M224" i="165"/>
  <c r="K230" i="165"/>
  <c r="N303" i="165"/>
  <c r="K303" i="165"/>
  <c r="I295" i="165"/>
  <c r="N271" i="165"/>
  <c r="M271" i="165"/>
  <c r="G271" i="165"/>
  <c r="F295" i="165"/>
  <c r="L224" i="165"/>
  <c r="I200" i="165"/>
  <c r="F200" i="165"/>
  <c r="K200" i="165"/>
  <c r="G200" i="165"/>
  <c r="L200" i="165"/>
  <c r="N200" i="165"/>
  <c r="G162" i="165"/>
  <c r="H200" i="165"/>
  <c r="M200" i="165"/>
  <c r="I168" i="165"/>
  <c r="M168" i="165"/>
  <c r="G168" i="165"/>
  <c r="I162" i="165"/>
  <c r="N96" i="165"/>
  <c r="M96" i="165"/>
  <c r="L96" i="165"/>
  <c r="I96" i="165"/>
  <c r="H96" i="165"/>
  <c r="G96" i="165"/>
  <c r="F96" i="165"/>
  <c r="N92" i="165"/>
  <c r="M92" i="165"/>
  <c r="L92" i="165"/>
  <c r="K92" i="165"/>
  <c r="I92" i="165"/>
  <c r="N90" i="165"/>
  <c r="M90" i="165"/>
  <c r="L90" i="165"/>
  <c r="K90" i="165"/>
  <c r="I90" i="165"/>
  <c r="H90" i="165"/>
  <c r="G90" i="165"/>
  <c r="F90" i="165"/>
  <c r="N88" i="165"/>
  <c r="M88" i="165"/>
  <c r="L88" i="165"/>
  <c r="K88" i="165"/>
  <c r="I88" i="165"/>
  <c r="H88" i="165"/>
  <c r="G88" i="165"/>
  <c r="F88" i="165"/>
  <c r="O87" i="165"/>
  <c r="N80" i="165"/>
  <c r="M80" i="165"/>
  <c r="L80" i="165"/>
  <c r="K80" i="165"/>
  <c r="I80" i="165"/>
  <c r="N74" i="165"/>
  <c r="M74" i="165"/>
  <c r="L74" i="165"/>
  <c r="K74" i="165"/>
  <c r="I74" i="165"/>
  <c r="H74" i="165"/>
  <c r="G74" i="165"/>
  <c r="F74" i="165"/>
  <c r="I42" i="165"/>
  <c r="N37" i="165"/>
  <c r="M37" i="165"/>
  <c r="L37" i="165"/>
  <c r="K37" i="165"/>
  <c r="I37" i="165"/>
  <c r="H37" i="165"/>
  <c r="G37" i="165"/>
  <c r="F37" i="165"/>
  <c r="E35" i="165"/>
  <c r="N34" i="165"/>
  <c r="M34" i="165"/>
  <c r="L34" i="165"/>
  <c r="K34" i="165"/>
  <c r="I34" i="165"/>
  <c r="H34" i="165"/>
  <c r="G34" i="165"/>
  <c r="F34" i="165"/>
  <c r="N27" i="165"/>
  <c r="M27" i="165"/>
  <c r="K27" i="165"/>
  <c r="I27" i="165"/>
  <c r="H27" i="165"/>
  <c r="G27" i="165"/>
  <c r="F27" i="165"/>
  <c r="N18" i="165"/>
  <c r="M18" i="165"/>
  <c r="L18" i="165"/>
  <c r="I18" i="165"/>
  <c r="J58" i="167"/>
  <c r="J57" i="167"/>
  <c r="J55" i="167"/>
  <c r="J54" i="167"/>
  <c r="L218" i="165" l="1"/>
  <c r="K218" i="165"/>
  <c r="M218" i="165"/>
  <c r="I218" i="165"/>
  <c r="I143" i="165"/>
  <c r="M143" i="165"/>
  <c r="G218" i="165"/>
  <c r="N236" i="165"/>
  <c r="F218" i="165"/>
  <c r="M199" i="165"/>
  <c r="K199" i="165"/>
  <c r="I23" i="165"/>
  <c r="N23" i="165"/>
  <c r="F33" i="165"/>
  <c r="E34" i="165"/>
  <c r="N36" i="165"/>
  <c r="F23" i="165"/>
  <c r="K23" i="165"/>
  <c r="G33" i="165"/>
  <c r="L33" i="165"/>
  <c r="F36" i="165"/>
  <c r="K36" i="165"/>
  <c r="F95" i="165"/>
  <c r="L95" i="165"/>
  <c r="N199" i="165"/>
  <c r="I199" i="165"/>
  <c r="G266" i="165"/>
  <c r="M236" i="165"/>
  <c r="M266" i="165"/>
  <c r="I134" i="165"/>
  <c r="M278" i="165"/>
  <c r="G291" i="165"/>
  <c r="H134" i="165"/>
  <c r="I278" i="165"/>
  <c r="I266" i="165"/>
  <c r="N291" i="165"/>
  <c r="L134" i="165"/>
  <c r="M291" i="165"/>
  <c r="G23" i="165"/>
  <c r="G36" i="165"/>
  <c r="G95" i="165"/>
  <c r="M95" i="165"/>
  <c r="N207" i="165"/>
  <c r="L199" i="165"/>
  <c r="I291" i="165"/>
  <c r="L266" i="165"/>
  <c r="L291" i="165"/>
  <c r="K134" i="165"/>
  <c r="H33" i="165"/>
  <c r="M33" i="165"/>
  <c r="L36" i="165"/>
  <c r="H23" i="165"/>
  <c r="I33" i="165"/>
  <c r="N33" i="165"/>
  <c r="H36" i="165"/>
  <c r="M36" i="165"/>
  <c r="J87" i="165"/>
  <c r="H95" i="165"/>
  <c r="N95" i="165"/>
  <c r="G161" i="165"/>
  <c r="H199" i="165"/>
  <c r="G199" i="165"/>
  <c r="F199" i="165"/>
  <c r="L236" i="165"/>
  <c r="H278" i="165"/>
  <c r="N134" i="165"/>
  <c r="K266" i="165"/>
  <c r="G236" i="165"/>
  <c r="M134" i="165"/>
  <c r="K291" i="165"/>
  <c r="I236" i="165"/>
  <c r="L278" i="165"/>
  <c r="G134" i="165"/>
  <c r="G278" i="165"/>
  <c r="K33" i="165"/>
  <c r="I36" i="165"/>
  <c r="I95" i="165"/>
  <c r="M161" i="165"/>
  <c r="N266" i="165"/>
  <c r="N278" i="165"/>
  <c r="F134" i="165"/>
  <c r="K207" i="165"/>
  <c r="L207" i="165"/>
  <c r="M23" i="165"/>
  <c r="I161" i="165"/>
  <c r="I82" i="165"/>
  <c r="N82" i="165"/>
  <c r="L27" i="165"/>
  <c r="L82" i="165"/>
  <c r="K82" i="165"/>
  <c r="M82" i="165"/>
  <c r="G56" i="167"/>
  <c r="J53" i="167"/>
  <c r="J52" i="167"/>
  <c r="M100" i="165" l="1"/>
  <c r="M207" i="165"/>
  <c r="I207" i="165"/>
  <c r="M17" i="165"/>
  <c r="M188" i="165"/>
  <c r="N17" i="165"/>
  <c r="I17" i="165"/>
  <c r="G188" i="165"/>
  <c r="M79" i="165"/>
  <c r="L79" i="165"/>
  <c r="I100" i="165"/>
  <c r="I188" i="165"/>
  <c r="E33" i="165"/>
  <c r="I79" i="165"/>
  <c r="L23" i="165"/>
  <c r="N79" i="165"/>
  <c r="L188" i="165"/>
  <c r="N188" i="165"/>
  <c r="J49" i="167"/>
  <c r="L17" i="165" l="1"/>
  <c r="F63" i="165"/>
  <c r="G63" i="165"/>
  <c r="G62" i="165"/>
  <c r="O63" i="165"/>
  <c r="G55" i="165"/>
  <c r="F55" i="165"/>
  <c r="J57" i="165"/>
  <c r="E57" i="165"/>
  <c r="O50" i="165"/>
  <c r="G49" i="165"/>
  <c r="F49" i="165"/>
  <c r="E50" i="165"/>
  <c r="J60" i="167"/>
  <c r="E63" i="165" l="1"/>
  <c r="O49" i="165"/>
  <c r="H53" i="167"/>
  <c r="J63" i="165"/>
  <c r="I53" i="167"/>
  <c r="F61" i="165"/>
  <c r="G61" i="165"/>
  <c r="E49" i="165"/>
  <c r="H49" i="167"/>
  <c r="P57" i="165"/>
  <c r="F65" i="165"/>
  <c r="O66" i="165"/>
  <c r="J46" i="167"/>
  <c r="L44" i="165"/>
  <c r="M44" i="165"/>
  <c r="N44" i="165"/>
  <c r="N46" i="165"/>
  <c r="M46" i="165"/>
  <c r="J59" i="167"/>
  <c r="M45" i="165" l="1"/>
  <c r="O65" i="165"/>
  <c r="G53" i="167"/>
  <c r="I58" i="167"/>
  <c r="H58" i="167"/>
  <c r="E66" i="165"/>
  <c r="P63" i="165"/>
  <c r="J43" i="167"/>
  <c r="J66" i="165"/>
  <c r="J50" i="165"/>
  <c r="O64" i="165"/>
  <c r="E64" i="165"/>
  <c r="H58" i="165"/>
  <c r="G59" i="165"/>
  <c r="F58" i="165"/>
  <c r="J65" i="167"/>
  <c r="G72" i="165"/>
  <c r="F72" i="165"/>
  <c r="O72" i="165"/>
  <c r="M43" i="165" l="1"/>
  <c r="F43" i="165"/>
  <c r="P66" i="165"/>
  <c r="G58" i="167"/>
  <c r="H59" i="167"/>
  <c r="E65" i="165"/>
  <c r="J64" i="165"/>
  <c r="I60" i="167"/>
  <c r="G58" i="165"/>
  <c r="E72" i="165"/>
  <c r="J72" i="165"/>
  <c r="H60" i="167"/>
  <c r="O44" i="165"/>
  <c r="J49" i="165"/>
  <c r="I49" i="167"/>
  <c r="G49" i="167" s="1"/>
  <c r="J65" i="165"/>
  <c r="P50" i="165"/>
  <c r="O315" i="165"/>
  <c r="E315" i="165"/>
  <c r="I249" i="167"/>
  <c r="H292" i="165"/>
  <c r="F293" i="165"/>
  <c r="O294" i="165"/>
  <c r="E294" i="165"/>
  <c r="F267" i="165"/>
  <c r="O269" i="165"/>
  <c r="E269" i="165"/>
  <c r="F259" i="165"/>
  <c r="O261" i="165"/>
  <c r="E261" i="165"/>
  <c r="F236" i="165"/>
  <c r="O239" i="165"/>
  <c r="E239" i="165"/>
  <c r="F208" i="165"/>
  <c r="O210" i="165"/>
  <c r="E210" i="165"/>
  <c r="O103" i="165"/>
  <c r="E103" i="165"/>
  <c r="G43" i="165" l="1"/>
  <c r="P65" i="165"/>
  <c r="K42" i="165"/>
  <c r="P64" i="165"/>
  <c r="P72" i="165"/>
  <c r="H222" i="167"/>
  <c r="H202" i="167"/>
  <c r="J261" i="165"/>
  <c r="H179" i="167"/>
  <c r="G179" i="167" s="1"/>
  <c r="J239" i="165"/>
  <c r="F258" i="165"/>
  <c r="H239" i="167"/>
  <c r="G239" i="167" s="1"/>
  <c r="F313" i="165"/>
  <c r="P49" i="165"/>
  <c r="I65" i="167"/>
  <c r="M42" i="165"/>
  <c r="G60" i="167"/>
  <c r="J210" i="165"/>
  <c r="J294" i="165"/>
  <c r="H217" i="167"/>
  <c r="H215" i="167" s="1"/>
  <c r="J269" i="165"/>
  <c r="P269" i="165" s="1"/>
  <c r="F292" i="165"/>
  <c r="H252" i="167"/>
  <c r="G42" i="165"/>
  <c r="J103" i="165"/>
  <c r="H291" i="165"/>
  <c r="J315" i="165"/>
  <c r="H65" i="167"/>
  <c r="I59" i="167"/>
  <c r="G59" i="167" s="1"/>
  <c r="F266" i="165"/>
  <c r="H98" i="167"/>
  <c r="G217" i="167"/>
  <c r="J249" i="167"/>
  <c r="P294" i="165" l="1"/>
  <c r="P315" i="165"/>
  <c r="P239" i="165"/>
  <c r="P103" i="165"/>
  <c r="G222" i="167"/>
  <c r="G65" i="167"/>
  <c r="G202" i="167"/>
  <c r="G252" i="167"/>
  <c r="H250" i="167"/>
  <c r="H249" i="167" s="1"/>
  <c r="P261" i="165"/>
  <c r="P210" i="165"/>
  <c r="I98" i="167"/>
  <c r="G98" i="167" s="1"/>
  <c r="F312" i="165"/>
  <c r="F291" i="165"/>
  <c r="F189" i="165"/>
  <c r="O191" i="165"/>
  <c r="E191" i="165"/>
  <c r="G250" i="167" l="1"/>
  <c r="G249" i="167" s="1"/>
  <c r="H163" i="167"/>
  <c r="G163" i="167" s="1"/>
  <c r="J191" i="165"/>
  <c r="F188" i="165"/>
  <c r="P191" i="165" l="1"/>
  <c r="O21" i="165"/>
  <c r="E21" i="165"/>
  <c r="J21" i="165" l="1"/>
  <c r="H19" i="167"/>
  <c r="G19" i="167" s="1"/>
  <c r="P21" i="165" l="1"/>
  <c r="F212" i="165" l="1"/>
  <c r="K96" i="165"/>
  <c r="F207" i="165" l="1"/>
  <c r="K95" i="165"/>
  <c r="J171" i="167"/>
  <c r="K79" i="165" l="1"/>
  <c r="F40" i="172"/>
  <c r="F37" i="172" s="1"/>
  <c r="E40" i="172"/>
  <c r="E37" i="172" l="1"/>
  <c r="E31" i="172" s="1"/>
  <c r="F31" i="172"/>
  <c r="K193" i="165" l="1"/>
  <c r="K192" i="165" l="1"/>
  <c r="J158" i="167"/>
  <c r="K188" i="165" l="1"/>
  <c r="K18" i="165" l="1"/>
  <c r="K17" i="165" l="1"/>
  <c r="F42" i="165"/>
  <c r="O186" i="165"/>
  <c r="E186" i="165"/>
  <c r="F174" i="165"/>
  <c r="H174" i="165" l="1"/>
  <c r="H158" i="167"/>
  <c r="E185" i="165"/>
  <c r="J186" i="165"/>
  <c r="O185" i="165"/>
  <c r="E184" i="165" l="1"/>
  <c r="O184" i="165"/>
  <c r="P186" i="165"/>
  <c r="H168" i="165"/>
  <c r="I158" i="167"/>
  <c r="G158" i="167" s="1"/>
  <c r="J185" i="165"/>
  <c r="P185" i="165" l="1"/>
  <c r="J184" i="165"/>
  <c r="P20" i="107"/>
  <c r="I17" i="107"/>
  <c r="P184" i="165" l="1"/>
  <c r="I13" i="107"/>
  <c r="I12" i="107" s="1"/>
  <c r="I20" i="107" s="1"/>
  <c r="I16" i="107"/>
  <c r="I15" i="107" s="1"/>
  <c r="I14" i="107" s="1"/>
  <c r="D62" i="170"/>
  <c r="D58" i="170"/>
  <c r="D54" i="170"/>
  <c r="D51" i="170"/>
  <c r="D69" i="170" l="1"/>
  <c r="F285" i="165" l="1"/>
  <c r="H314" i="165"/>
  <c r="H313" i="165" l="1"/>
  <c r="K285" i="165"/>
  <c r="F282" i="165"/>
  <c r="J248" i="167"/>
  <c r="J247" i="167"/>
  <c r="F279" i="165" l="1"/>
  <c r="H304" i="165"/>
  <c r="K282" i="165"/>
  <c r="H312" i="165"/>
  <c r="J245" i="167"/>
  <c r="J243" i="167"/>
  <c r="J242" i="167"/>
  <c r="J241" i="167"/>
  <c r="J240" i="167"/>
  <c r="H243" i="167"/>
  <c r="G238" i="167"/>
  <c r="O299" i="165"/>
  <c r="O298" i="165"/>
  <c r="H268" i="165"/>
  <c r="K279" i="165" l="1"/>
  <c r="H267" i="165"/>
  <c r="H303" i="165"/>
  <c r="F278" i="165"/>
  <c r="O297" i="165"/>
  <c r="J237" i="167"/>
  <c r="J215" i="167"/>
  <c r="I215" i="167"/>
  <c r="H260" i="165"/>
  <c r="H238" i="165"/>
  <c r="J199" i="167"/>
  <c r="J197" i="167"/>
  <c r="J198" i="167"/>
  <c r="J195" i="167"/>
  <c r="H195" i="167"/>
  <c r="J193" i="167"/>
  <c r="J191" i="167"/>
  <c r="J189" i="167"/>
  <c r="J188" i="167"/>
  <c r="J183" i="167"/>
  <c r="J182" i="167"/>
  <c r="J181" i="167"/>
  <c r="J180" i="167"/>
  <c r="O234" i="165"/>
  <c r="J234" i="165" s="1"/>
  <c r="O232" i="165"/>
  <c r="O233" i="165"/>
  <c r="H209" i="165"/>
  <c r="J174" i="167"/>
  <c r="J170" i="167"/>
  <c r="J167" i="167"/>
  <c r="J166" i="167"/>
  <c r="J165" i="167"/>
  <c r="H189" i="165"/>
  <c r="H237" i="165" l="1"/>
  <c r="H208" i="165"/>
  <c r="H259" i="165"/>
  <c r="H266" i="165"/>
  <c r="H188" i="165"/>
  <c r="K278" i="165"/>
  <c r="J232" i="165"/>
  <c r="O231" i="165"/>
  <c r="I199" i="167"/>
  <c r="J161" i="167"/>
  <c r="J177" i="167"/>
  <c r="J176" i="167" s="1"/>
  <c r="J147" i="167"/>
  <c r="L175" i="165"/>
  <c r="N166" i="165"/>
  <c r="L165" i="165"/>
  <c r="K180" i="165"/>
  <c r="K176" i="165"/>
  <c r="I197" i="167" l="1"/>
  <c r="L162" i="165"/>
  <c r="O230" i="165"/>
  <c r="H258" i="165"/>
  <c r="N165" i="165"/>
  <c r="N174" i="165"/>
  <c r="L174" i="165"/>
  <c r="H236" i="165"/>
  <c r="K174" i="165"/>
  <c r="K177" i="165"/>
  <c r="K166" i="165"/>
  <c r="L168" i="165" l="1"/>
  <c r="N162" i="165"/>
  <c r="N168" i="165"/>
  <c r="K165" i="165"/>
  <c r="O166" i="165"/>
  <c r="K168" i="165"/>
  <c r="J146" i="167"/>
  <c r="P13" i="107"/>
  <c r="P12" i="107" s="1"/>
  <c r="J152" i="167"/>
  <c r="I152" i="167"/>
  <c r="H152" i="167"/>
  <c r="O175" i="165"/>
  <c r="F173" i="165"/>
  <c r="F171" i="165"/>
  <c r="H167" i="165"/>
  <c r="F166" i="165"/>
  <c r="H166" i="165"/>
  <c r="F163" i="165"/>
  <c r="H164" i="165"/>
  <c r="E322" i="165"/>
  <c r="I142" i="165"/>
  <c r="J142" i="167"/>
  <c r="O152" i="165"/>
  <c r="L152" i="165"/>
  <c r="L145" i="165"/>
  <c r="O145" i="165"/>
  <c r="N145" i="165"/>
  <c r="L150" i="165"/>
  <c r="N150" i="165"/>
  <c r="L149" i="165"/>
  <c r="N149" i="165"/>
  <c r="L148" i="165"/>
  <c r="N148" i="165"/>
  <c r="N144" i="165" l="1"/>
  <c r="H163" i="165"/>
  <c r="O144" i="165"/>
  <c r="F169" i="165"/>
  <c r="K162" i="165"/>
  <c r="L144" i="165"/>
  <c r="F172" i="165"/>
  <c r="N161" i="165"/>
  <c r="L151" i="165"/>
  <c r="F177" i="165"/>
  <c r="L161" i="165"/>
  <c r="E321" i="165"/>
  <c r="H165" i="165"/>
  <c r="N146" i="165"/>
  <c r="F165" i="165"/>
  <c r="O159" i="165"/>
  <c r="E159" i="165"/>
  <c r="H152" i="165"/>
  <c r="F168" i="165" l="1"/>
  <c r="K161" i="165"/>
  <c r="L146" i="165"/>
  <c r="H151" i="165"/>
  <c r="F162" i="165"/>
  <c r="H162" i="165"/>
  <c r="L143" i="165"/>
  <c r="E320" i="165"/>
  <c r="N143" i="165"/>
  <c r="F151" i="165"/>
  <c r="E158" i="165"/>
  <c r="J159" i="165"/>
  <c r="O158" i="165"/>
  <c r="H142" i="167"/>
  <c r="H150" i="165"/>
  <c r="J133" i="167"/>
  <c r="H149" i="165"/>
  <c r="F149" i="165"/>
  <c r="J131" i="167"/>
  <c r="J130" i="167" s="1"/>
  <c r="I131" i="167"/>
  <c r="H131" i="167"/>
  <c r="J128" i="167"/>
  <c r="F161" i="165" l="1"/>
  <c r="E157" i="165"/>
  <c r="P159" i="165"/>
  <c r="O157" i="165"/>
  <c r="H161" i="165"/>
  <c r="I142" i="167"/>
  <c r="G142" i="167" s="1"/>
  <c r="J158" i="165"/>
  <c r="K146" i="165"/>
  <c r="O150" i="165"/>
  <c r="H148" i="165"/>
  <c r="F146" i="165"/>
  <c r="G196" i="167"/>
  <c r="G194" i="167"/>
  <c r="G192" i="167"/>
  <c r="G190" i="167"/>
  <c r="G186" i="167"/>
  <c r="G178" i="167"/>
  <c r="G168" i="167"/>
  <c r="G164" i="167"/>
  <c r="G162" i="167"/>
  <c r="J160" i="167"/>
  <c r="K143" i="165" l="1"/>
  <c r="J157" i="165"/>
  <c r="H144" i="165"/>
  <c r="F144" i="165"/>
  <c r="H146" i="165"/>
  <c r="G144" i="165"/>
  <c r="P158" i="165"/>
  <c r="O20" i="165"/>
  <c r="E20" i="165"/>
  <c r="J20" i="165" l="1"/>
  <c r="G143" i="165"/>
  <c r="F143" i="165"/>
  <c r="P157" i="165"/>
  <c r="H143" i="165"/>
  <c r="N116" i="165"/>
  <c r="L116" i="165"/>
  <c r="N129" i="165"/>
  <c r="L129" i="165"/>
  <c r="J116" i="167"/>
  <c r="P20" i="165" l="1"/>
  <c r="L128" i="165"/>
  <c r="L115" i="165"/>
  <c r="N128" i="165"/>
  <c r="N115" i="165"/>
  <c r="J124" i="167"/>
  <c r="J122" i="167"/>
  <c r="J119" i="167"/>
  <c r="H121" i="167"/>
  <c r="H120" i="167"/>
  <c r="J118" i="167"/>
  <c r="I118" i="167"/>
  <c r="H118" i="167"/>
  <c r="J115" i="167"/>
  <c r="J113" i="167"/>
  <c r="H114" i="167"/>
  <c r="J111" i="167"/>
  <c r="J109" i="167"/>
  <c r="J108" i="167"/>
  <c r="J104" i="167"/>
  <c r="J103" i="167"/>
  <c r="J102" i="167"/>
  <c r="J101" i="167"/>
  <c r="J100" i="167"/>
  <c r="L105" i="165" l="1"/>
  <c r="N105" i="165"/>
  <c r="H129" i="165"/>
  <c r="G129" i="165"/>
  <c r="H117" i="165"/>
  <c r="G117" i="165"/>
  <c r="H102" i="165"/>
  <c r="J92" i="167"/>
  <c r="I92" i="167"/>
  <c r="J77" i="167"/>
  <c r="J75" i="167"/>
  <c r="J71" i="167"/>
  <c r="N100" i="165" l="1"/>
  <c r="L100" i="165"/>
  <c r="H115" i="165"/>
  <c r="G128" i="165"/>
  <c r="H101" i="165"/>
  <c r="H128" i="165"/>
  <c r="G115" i="165"/>
  <c r="J117" i="167"/>
  <c r="K128" i="165"/>
  <c r="H93" i="165"/>
  <c r="G93" i="165"/>
  <c r="F93" i="165"/>
  <c r="K105" i="165" l="1"/>
  <c r="G105" i="165"/>
  <c r="H105" i="165"/>
  <c r="H92" i="165"/>
  <c r="G92" i="165"/>
  <c r="F92" i="165"/>
  <c r="H81" i="165"/>
  <c r="G81" i="165"/>
  <c r="F81" i="165"/>
  <c r="K100" i="165" l="1"/>
  <c r="G100" i="165"/>
  <c r="F82" i="165"/>
  <c r="F80" i="165"/>
  <c r="G80" i="165"/>
  <c r="H80" i="165"/>
  <c r="G82" i="165"/>
  <c r="H82" i="165"/>
  <c r="H100" i="165"/>
  <c r="K242" i="165"/>
  <c r="F79" i="165" l="1"/>
  <c r="K241" i="165"/>
  <c r="H79" i="165"/>
  <c r="G79" i="165"/>
  <c r="F17" i="165"/>
  <c r="L59" i="165"/>
  <c r="N59" i="165"/>
  <c r="O56" i="165"/>
  <c r="L55" i="165"/>
  <c r="L54" i="165"/>
  <c r="N54" i="165"/>
  <c r="N55" i="165" l="1"/>
  <c r="L58" i="165"/>
  <c r="O55" i="165"/>
  <c r="N58" i="165"/>
  <c r="K236" i="165"/>
  <c r="L47" i="165"/>
  <c r="N47" i="165"/>
  <c r="N45" i="165" l="1"/>
  <c r="L45" i="165"/>
  <c r="I45" i="167"/>
  <c r="H45" i="167"/>
  <c r="L43" i="165" l="1"/>
  <c r="N43" i="165"/>
  <c r="J41" i="167"/>
  <c r="G42" i="167"/>
  <c r="L42" i="165" l="1"/>
  <c r="N42" i="165"/>
  <c r="J51" i="167" l="1"/>
  <c r="O54" i="165"/>
  <c r="H55" i="165"/>
  <c r="H62" i="165"/>
  <c r="H61" i="165" l="1"/>
  <c r="J30" i="167"/>
  <c r="O39" i="165"/>
  <c r="E39" i="165"/>
  <c r="J24" i="167"/>
  <c r="H43" i="165" l="1"/>
  <c r="J39" i="165"/>
  <c r="P39" i="165"/>
  <c r="H30" i="167"/>
  <c r="H42" i="165" l="1"/>
  <c r="I30" i="167"/>
  <c r="G30" i="167" l="1"/>
  <c r="G18" i="167"/>
  <c r="G18" i="165"/>
  <c r="H18" i="165" l="1"/>
  <c r="G17" i="165"/>
  <c r="H231" i="165"/>
  <c r="G231" i="165"/>
  <c r="H230" i="165" l="1"/>
  <c r="G230" i="165"/>
  <c r="H17" i="165"/>
  <c r="O140" i="165"/>
  <c r="E140" i="165"/>
  <c r="O133" i="165"/>
  <c r="E133" i="165"/>
  <c r="O130" i="165"/>
  <c r="E130" i="165"/>
  <c r="O129" i="165"/>
  <c r="O127" i="165"/>
  <c r="E127" i="165"/>
  <c r="O125" i="165"/>
  <c r="F125" i="165"/>
  <c r="O123" i="165"/>
  <c r="E123" i="165"/>
  <c r="O122" i="165"/>
  <c r="E122" i="165"/>
  <c r="O120" i="165"/>
  <c r="E120" i="165"/>
  <c r="O117" i="165"/>
  <c r="E117" i="165"/>
  <c r="O116" i="165"/>
  <c r="E116" i="165"/>
  <c r="O114" i="165"/>
  <c r="E114" i="165"/>
  <c r="O112" i="165"/>
  <c r="E112" i="165"/>
  <c r="O111" i="165"/>
  <c r="E111" i="165"/>
  <c r="O110" i="165"/>
  <c r="E110" i="165"/>
  <c r="O109" i="165"/>
  <c r="E109" i="165"/>
  <c r="O108" i="165"/>
  <c r="E108" i="165"/>
  <c r="O107" i="165"/>
  <c r="F107" i="165"/>
  <c r="O102" i="165"/>
  <c r="E102" i="165"/>
  <c r="E115" i="165" l="1"/>
  <c r="J120" i="165"/>
  <c r="J123" i="165"/>
  <c r="J108" i="165"/>
  <c r="H102" i="167"/>
  <c r="H104" i="167"/>
  <c r="H107" i="167"/>
  <c r="H109" i="167"/>
  <c r="H112" i="167"/>
  <c r="H207" i="165"/>
  <c r="J111" i="165"/>
  <c r="J117" i="165"/>
  <c r="J122" i="165"/>
  <c r="H119" i="167"/>
  <c r="O101" i="165"/>
  <c r="J110" i="165"/>
  <c r="J112" i="165"/>
  <c r="J109" i="165"/>
  <c r="J114" i="165"/>
  <c r="E101" i="165"/>
  <c r="H103" i="167"/>
  <c r="H105" i="167"/>
  <c r="H111" i="167"/>
  <c r="H113" i="167"/>
  <c r="J130" i="165"/>
  <c r="G207" i="165"/>
  <c r="E107" i="165"/>
  <c r="F106" i="165"/>
  <c r="E125" i="165"/>
  <c r="F124" i="165"/>
  <c r="E129" i="165"/>
  <c r="F128" i="165"/>
  <c r="J102" i="165"/>
  <c r="H124" i="167"/>
  <c r="E139" i="165"/>
  <c r="J140" i="165"/>
  <c r="O139" i="165"/>
  <c r="H122" i="167"/>
  <c r="E132" i="165"/>
  <c r="J133" i="165"/>
  <c r="O132" i="165"/>
  <c r="J129" i="165"/>
  <c r="O128" i="165"/>
  <c r="H116" i="167"/>
  <c r="E126" i="165"/>
  <c r="J127" i="165"/>
  <c r="O126" i="165"/>
  <c r="J125" i="165"/>
  <c r="O124" i="165"/>
  <c r="H108" i="167"/>
  <c r="J116" i="165"/>
  <c r="O115" i="165"/>
  <c r="J107" i="165"/>
  <c r="O106" i="165"/>
  <c r="H101" i="167"/>
  <c r="P111" i="165"/>
  <c r="P120" i="165"/>
  <c r="P123" i="165"/>
  <c r="P110" i="165" l="1"/>
  <c r="P108" i="165"/>
  <c r="P117" i="165"/>
  <c r="F105" i="165"/>
  <c r="O105" i="165"/>
  <c r="P109" i="165"/>
  <c r="P127" i="165"/>
  <c r="P122" i="165"/>
  <c r="P112" i="165"/>
  <c r="H117" i="167"/>
  <c r="P114" i="165"/>
  <c r="P130" i="165"/>
  <c r="P116" i="165"/>
  <c r="O131" i="165"/>
  <c r="O138" i="165"/>
  <c r="J101" i="165"/>
  <c r="E124" i="165"/>
  <c r="I102" i="167"/>
  <c r="I103" i="167"/>
  <c r="I109" i="167"/>
  <c r="I101" i="167"/>
  <c r="I113" i="167"/>
  <c r="P133" i="165"/>
  <c r="P140" i="165"/>
  <c r="P107" i="165"/>
  <c r="E131" i="165"/>
  <c r="E138" i="165"/>
  <c r="E128" i="165"/>
  <c r="H100" i="167"/>
  <c r="I119" i="167"/>
  <c r="I107" i="167"/>
  <c r="I105" i="167"/>
  <c r="I112" i="167"/>
  <c r="I104" i="167"/>
  <c r="I111" i="167"/>
  <c r="P125" i="165"/>
  <c r="H115" i="167"/>
  <c r="P102" i="165"/>
  <c r="P129" i="165"/>
  <c r="E106" i="165"/>
  <c r="I124" i="167"/>
  <c r="J139" i="165"/>
  <c r="I122" i="167"/>
  <c r="J132" i="165"/>
  <c r="I117" i="167"/>
  <c r="J128" i="165"/>
  <c r="I116" i="167"/>
  <c r="J126" i="165"/>
  <c r="I115" i="167"/>
  <c r="J124" i="165"/>
  <c r="I108" i="167"/>
  <c r="J115" i="165"/>
  <c r="I100" i="167"/>
  <c r="J106" i="165"/>
  <c r="G221" i="167"/>
  <c r="O310" i="165"/>
  <c r="E310" i="165"/>
  <c r="J308" i="165"/>
  <c r="E308" i="165"/>
  <c r="O305" i="165"/>
  <c r="E305" i="165"/>
  <c r="O300" i="165"/>
  <c r="E300" i="165"/>
  <c r="J299" i="165"/>
  <c r="E299" i="165"/>
  <c r="J298" i="165"/>
  <c r="E298" i="165"/>
  <c r="O293" i="165"/>
  <c r="E293" i="165"/>
  <c r="O276" i="165"/>
  <c r="E276" i="165"/>
  <c r="O270" i="165"/>
  <c r="F270" i="165"/>
  <c r="O268" i="165"/>
  <c r="E268" i="165"/>
  <c r="O260" i="165"/>
  <c r="E260" i="165"/>
  <c r="E234" i="165"/>
  <c r="J233" i="165"/>
  <c r="E233" i="165"/>
  <c r="E232" i="165"/>
  <c r="O226" i="165"/>
  <c r="E226" i="165"/>
  <c r="O225" i="165"/>
  <c r="E225" i="165"/>
  <c r="E223" i="165"/>
  <c r="O220" i="165"/>
  <c r="E220" i="165"/>
  <c r="O217" i="165"/>
  <c r="E217" i="165"/>
  <c r="O216" i="165"/>
  <c r="E216" i="165"/>
  <c r="O215" i="165"/>
  <c r="E215" i="165"/>
  <c r="O214" i="165"/>
  <c r="E214" i="165"/>
  <c r="O211" i="165"/>
  <c r="E211" i="165"/>
  <c r="O209" i="165"/>
  <c r="E209" i="165"/>
  <c r="M206" i="165"/>
  <c r="L206" i="165"/>
  <c r="K206" i="165"/>
  <c r="I206" i="165"/>
  <c r="H206" i="165"/>
  <c r="G206" i="165"/>
  <c r="F206" i="165"/>
  <c r="N206" i="165"/>
  <c r="O204" i="165"/>
  <c r="E204" i="165"/>
  <c r="O201" i="165"/>
  <c r="E201" i="165"/>
  <c r="O198" i="165"/>
  <c r="E198" i="165"/>
  <c r="O196" i="165"/>
  <c r="E196" i="165"/>
  <c r="O195" i="165"/>
  <c r="E195" i="165"/>
  <c r="O194" i="165"/>
  <c r="E194" i="165"/>
  <c r="O190" i="165"/>
  <c r="E190" i="165"/>
  <c r="M187" i="165"/>
  <c r="L187" i="165"/>
  <c r="K187" i="165"/>
  <c r="H187" i="165"/>
  <c r="F187" i="165"/>
  <c r="N187" i="165"/>
  <c r="I187" i="165"/>
  <c r="G187" i="165"/>
  <c r="P106" i="165" l="1"/>
  <c r="H224" i="167"/>
  <c r="E105" i="165"/>
  <c r="P126" i="165"/>
  <c r="J105" i="165"/>
  <c r="P139" i="165"/>
  <c r="E222" i="165"/>
  <c r="P115" i="165"/>
  <c r="E137" i="165"/>
  <c r="J196" i="165"/>
  <c r="E189" i="165"/>
  <c r="H166" i="167"/>
  <c r="H170" i="167"/>
  <c r="H180" i="167"/>
  <c r="H182" i="167"/>
  <c r="H185" i="167"/>
  <c r="J226" i="165"/>
  <c r="J138" i="165"/>
  <c r="P101" i="165"/>
  <c r="P138" i="165"/>
  <c r="P132" i="165"/>
  <c r="O189" i="165"/>
  <c r="J195" i="165"/>
  <c r="J198" i="165"/>
  <c r="J211" i="165"/>
  <c r="J215" i="165"/>
  <c r="J217" i="165"/>
  <c r="E259" i="165"/>
  <c r="E270" i="165"/>
  <c r="E292" i="165"/>
  <c r="H241" i="167"/>
  <c r="J301" i="165"/>
  <c r="J131" i="165"/>
  <c r="O134" i="165"/>
  <c r="H183" i="167"/>
  <c r="O259" i="165"/>
  <c r="J270" i="165"/>
  <c r="O292" i="165"/>
  <c r="E304" i="165"/>
  <c r="P124" i="165"/>
  <c r="H167" i="167"/>
  <c r="J216" i="165"/>
  <c r="H193" i="167"/>
  <c r="H242" i="167"/>
  <c r="P128" i="165"/>
  <c r="F100" i="165"/>
  <c r="F323" i="165" s="1"/>
  <c r="E267" i="165"/>
  <c r="I241" i="167"/>
  <c r="E208" i="165"/>
  <c r="J228" i="165"/>
  <c r="O227" i="165"/>
  <c r="J268" i="165"/>
  <c r="O267" i="165"/>
  <c r="J276" i="165"/>
  <c r="O275" i="165"/>
  <c r="J300" i="165"/>
  <c r="O296" i="165"/>
  <c r="H247" i="167"/>
  <c r="E307" i="165"/>
  <c r="J220" i="165"/>
  <c r="O219" i="165"/>
  <c r="I247" i="167"/>
  <c r="J307" i="165"/>
  <c r="H248" i="167"/>
  <c r="E309" i="165"/>
  <c r="J204" i="165"/>
  <c r="O203" i="165"/>
  <c r="J223" i="165"/>
  <c r="I198" i="167"/>
  <c r="J231" i="165"/>
  <c r="E275" i="165"/>
  <c r="J305" i="165"/>
  <c r="O304" i="165"/>
  <c r="J310" i="165"/>
  <c r="O309" i="165"/>
  <c r="I240" i="167"/>
  <c r="J297" i="165"/>
  <c r="H240" i="167"/>
  <c r="E297" i="165"/>
  <c r="H198" i="167"/>
  <c r="E231" i="165"/>
  <c r="H191" i="167"/>
  <c r="E224" i="165"/>
  <c r="J225" i="165"/>
  <c r="H189" i="167"/>
  <c r="H188" i="167"/>
  <c r="E219" i="165"/>
  <c r="O208" i="165"/>
  <c r="J214" i="165"/>
  <c r="O213" i="165"/>
  <c r="H181" i="167"/>
  <c r="E213" i="165"/>
  <c r="J201" i="165"/>
  <c r="H174" i="167"/>
  <c r="E203" i="165"/>
  <c r="H171" i="167"/>
  <c r="J194" i="165"/>
  <c r="O193" i="165"/>
  <c r="H165" i="167"/>
  <c r="E193" i="165"/>
  <c r="J260" i="165"/>
  <c r="J293" i="165"/>
  <c r="J190" i="165"/>
  <c r="H199" i="167"/>
  <c r="G199" i="167" s="1"/>
  <c r="P234" i="165"/>
  <c r="J209" i="165"/>
  <c r="H197" i="167"/>
  <c r="G197" i="167" s="1"/>
  <c r="P232" i="165"/>
  <c r="P298" i="165"/>
  <c r="P233" i="165"/>
  <c r="P299" i="165"/>
  <c r="P308" i="165"/>
  <c r="P216" i="165" l="1"/>
  <c r="P215" i="165"/>
  <c r="I224" i="167"/>
  <c r="G224" i="167" s="1"/>
  <c r="G220" i="167" s="1"/>
  <c r="H220" i="167"/>
  <c r="P211" i="165"/>
  <c r="P196" i="165"/>
  <c r="P105" i="165"/>
  <c r="E272" i="165"/>
  <c r="O272" i="165"/>
  <c r="G198" i="167"/>
  <c r="J222" i="165"/>
  <c r="E221" i="165"/>
  <c r="P301" i="165"/>
  <c r="P137" i="165"/>
  <c r="E136" i="165"/>
  <c r="H123" i="167"/>
  <c r="G123" i="167" s="1"/>
  <c r="P226" i="165"/>
  <c r="P198" i="165"/>
  <c r="P217" i="165"/>
  <c r="P195" i="165"/>
  <c r="I243" i="167"/>
  <c r="G243" i="167" s="1"/>
  <c r="P270" i="165"/>
  <c r="H237" i="167"/>
  <c r="G241" i="167"/>
  <c r="O192" i="165"/>
  <c r="O212" i="165"/>
  <c r="P220" i="165"/>
  <c r="J267" i="165"/>
  <c r="O258" i="165"/>
  <c r="P307" i="165"/>
  <c r="J259" i="165"/>
  <c r="P194" i="165"/>
  <c r="P214" i="165"/>
  <c r="E230" i="165"/>
  <c r="J230" i="165"/>
  <c r="O200" i="165"/>
  <c r="I185" i="167"/>
  <c r="G185" i="167" s="1"/>
  <c r="I180" i="167"/>
  <c r="G180" i="167" s="1"/>
  <c r="I166" i="167"/>
  <c r="G166" i="167" s="1"/>
  <c r="P131" i="165"/>
  <c r="E212" i="165"/>
  <c r="P225" i="165"/>
  <c r="J304" i="165"/>
  <c r="J203" i="165"/>
  <c r="P136" i="165"/>
  <c r="I183" i="167"/>
  <c r="G183" i="167" s="1"/>
  <c r="O100" i="165"/>
  <c r="E296" i="165"/>
  <c r="O306" i="165"/>
  <c r="O295" i="165"/>
  <c r="E135" i="165"/>
  <c r="E258" i="165"/>
  <c r="I182" i="167"/>
  <c r="G182" i="167" s="1"/>
  <c r="I170" i="167"/>
  <c r="G170" i="167" s="1"/>
  <c r="J134" i="165"/>
  <c r="I193" i="167"/>
  <c r="G193" i="167" s="1"/>
  <c r="I167" i="167"/>
  <c r="G167" i="167" s="1"/>
  <c r="I189" i="167"/>
  <c r="G189" i="167" s="1"/>
  <c r="O224" i="165"/>
  <c r="J227" i="165"/>
  <c r="P201" i="165"/>
  <c r="E200" i="165"/>
  <c r="H245" i="167"/>
  <c r="I242" i="167"/>
  <c r="G242" i="167" s="1"/>
  <c r="I195" i="167"/>
  <c r="G195" i="167" s="1"/>
  <c r="P305" i="165"/>
  <c r="I174" i="167"/>
  <c r="G174" i="167" s="1"/>
  <c r="G247" i="167"/>
  <c r="P204" i="165"/>
  <c r="P268" i="165"/>
  <c r="P223" i="165"/>
  <c r="G240" i="167"/>
  <c r="P260" i="165"/>
  <c r="I248" i="167"/>
  <c r="G248" i="167" s="1"/>
  <c r="J309" i="165"/>
  <c r="J275" i="165"/>
  <c r="P276" i="165"/>
  <c r="J296" i="165"/>
  <c r="I188" i="167"/>
  <c r="G188" i="167" s="1"/>
  <c r="J219" i="165"/>
  <c r="P310" i="165"/>
  <c r="P300" i="165"/>
  <c r="P228" i="165"/>
  <c r="E306" i="165"/>
  <c r="P297" i="165"/>
  <c r="P293" i="165"/>
  <c r="J292" i="165"/>
  <c r="P231" i="165"/>
  <c r="I191" i="167"/>
  <c r="G191" i="167" s="1"/>
  <c r="H161" i="167"/>
  <c r="H160" i="167" s="1"/>
  <c r="I181" i="167"/>
  <c r="G181" i="167" s="1"/>
  <c r="J213" i="165"/>
  <c r="P209" i="165"/>
  <c r="J208" i="165"/>
  <c r="I171" i="167"/>
  <c r="G171" i="167" s="1"/>
  <c r="E192" i="165"/>
  <c r="I165" i="167"/>
  <c r="J193" i="165"/>
  <c r="P190" i="165"/>
  <c r="J189" i="165"/>
  <c r="H177" i="167"/>
  <c r="H176" i="167" s="1"/>
  <c r="J224" i="165" l="1"/>
  <c r="J200" i="165"/>
  <c r="E218" i="165"/>
  <c r="J272" i="165"/>
  <c r="P213" i="165"/>
  <c r="H95" i="167"/>
  <c r="P222" i="165"/>
  <c r="J221" i="165"/>
  <c r="O218" i="165"/>
  <c r="P193" i="165"/>
  <c r="O199" i="165"/>
  <c r="J199" i="165"/>
  <c r="I237" i="167"/>
  <c r="O303" i="165"/>
  <c r="J295" i="165"/>
  <c r="O271" i="165"/>
  <c r="P230" i="165"/>
  <c r="P309" i="165"/>
  <c r="J306" i="165"/>
  <c r="E271" i="165"/>
  <c r="E295" i="165"/>
  <c r="P189" i="165"/>
  <c r="P208" i="165"/>
  <c r="P212" i="165"/>
  <c r="E303" i="165"/>
  <c r="J192" i="165"/>
  <c r="J212" i="165"/>
  <c r="P275" i="165"/>
  <c r="P304" i="165"/>
  <c r="E199" i="165"/>
  <c r="P292" i="165"/>
  <c r="P259" i="165"/>
  <c r="P203" i="165"/>
  <c r="E134" i="165"/>
  <c r="O291" i="165"/>
  <c r="J291" i="165" s="1"/>
  <c r="P135" i="165"/>
  <c r="P219" i="165"/>
  <c r="P267" i="165"/>
  <c r="P227" i="165"/>
  <c r="I245" i="167"/>
  <c r="G245" i="167"/>
  <c r="G237" i="167"/>
  <c r="P296" i="165"/>
  <c r="J218" i="165"/>
  <c r="G177" i="167"/>
  <c r="I177" i="167"/>
  <c r="I176" i="167" s="1"/>
  <c r="G176" i="167" s="1"/>
  <c r="I161" i="167"/>
  <c r="I160" i="167" s="1"/>
  <c r="G165" i="167"/>
  <c r="G161" i="167" s="1"/>
  <c r="G160" i="167" s="1"/>
  <c r="O252" i="165"/>
  <c r="E252" i="165"/>
  <c r="O251" i="165"/>
  <c r="E251" i="165"/>
  <c r="O250" i="165"/>
  <c r="E250" i="165"/>
  <c r="O249" i="165"/>
  <c r="E249" i="165"/>
  <c r="E248" i="165"/>
  <c r="O243" i="165"/>
  <c r="E243" i="165"/>
  <c r="O238" i="165"/>
  <c r="E238" i="165"/>
  <c r="N235" i="165"/>
  <c r="M235" i="165"/>
  <c r="I235" i="165"/>
  <c r="H235" i="165"/>
  <c r="G235" i="165"/>
  <c r="F235" i="165"/>
  <c r="E207" i="165" l="1"/>
  <c r="E100" i="165"/>
  <c r="P192" i="165"/>
  <c r="O207" i="165"/>
  <c r="J207" i="165" s="1"/>
  <c r="J206" i="165" s="1"/>
  <c r="P221" i="165"/>
  <c r="E188" i="165"/>
  <c r="E187" i="165" s="1"/>
  <c r="O188" i="165"/>
  <c r="P200" i="165"/>
  <c r="E237" i="165"/>
  <c r="J250" i="165"/>
  <c r="J252" i="165"/>
  <c r="O206" i="165"/>
  <c r="P134" i="165"/>
  <c r="E291" i="165"/>
  <c r="P306" i="165"/>
  <c r="H209" i="167"/>
  <c r="P272" i="165"/>
  <c r="O237" i="165"/>
  <c r="E242" i="165"/>
  <c r="J249" i="165"/>
  <c r="J251" i="165"/>
  <c r="P251" i="165" s="1"/>
  <c r="P295" i="165"/>
  <c r="J271" i="165"/>
  <c r="E266" i="165"/>
  <c r="O266" i="165"/>
  <c r="P224" i="165"/>
  <c r="J243" i="165"/>
  <c r="O242" i="165"/>
  <c r="J238" i="165"/>
  <c r="E247" i="165"/>
  <c r="L235" i="165"/>
  <c r="O248" i="165"/>
  <c r="K235" i="165"/>
  <c r="P250" i="165"/>
  <c r="P207" i="165" l="1"/>
  <c r="E206" i="165"/>
  <c r="P249" i="165"/>
  <c r="O187" i="165"/>
  <c r="J188" i="165"/>
  <c r="P199" i="165"/>
  <c r="P252" i="165"/>
  <c r="J237" i="165"/>
  <c r="O241" i="165"/>
  <c r="I209" i="167"/>
  <c r="E241" i="165"/>
  <c r="P271" i="165"/>
  <c r="J242" i="165"/>
  <c r="E245" i="165"/>
  <c r="P206" i="165"/>
  <c r="P218" i="165"/>
  <c r="P243" i="165"/>
  <c r="P238" i="165"/>
  <c r="O247" i="165"/>
  <c r="J248" i="165"/>
  <c r="E244" i="165" l="1"/>
  <c r="J187" i="165"/>
  <c r="P188" i="165"/>
  <c r="P237" i="165"/>
  <c r="P242" i="165"/>
  <c r="E236" i="165"/>
  <c r="E235" i="165" s="1"/>
  <c r="J241" i="165"/>
  <c r="O245" i="165"/>
  <c r="P248" i="165"/>
  <c r="J247" i="165"/>
  <c r="O244" i="165" l="1"/>
  <c r="P187" i="165"/>
  <c r="P247" i="165"/>
  <c r="P241" i="165"/>
  <c r="J245" i="165"/>
  <c r="J244" i="165" l="1"/>
  <c r="P245" i="165"/>
  <c r="O236" i="165"/>
  <c r="J159" i="167"/>
  <c r="H159" i="167"/>
  <c r="P244" i="165" l="1"/>
  <c r="O235" i="165"/>
  <c r="J236" i="165"/>
  <c r="P236" i="165" l="1"/>
  <c r="J235" i="165"/>
  <c r="G232" i="167"/>
  <c r="G231" i="167"/>
  <c r="G229" i="167"/>
  <c r="G228" i="167"/>
  <c r="J214" i="167"/>
  <c r="J157" i="167"/>
  <c r="J156" i="167"/>
  <c r="J155" i="167"/>
  <c r="J154" i="167"/>
  <c r="J153" i="167"/>
  <c r="J150" i="167"/>
  <c r="J149" i="167"/>
  <c r="J148" i="167"/>
  <c r="J145" i="167"/>
  <c r="G140" i="167"/>
  <c r="G139" i="167"/>
  <c r="J138" i="167"/>
  <c r="G137" i="167"/>
  <c r="J136" i="167"/>
  <c r="J134" i="167"/>
  <c r="G135" i="167"/>
  <c r="J129" i="167"/>
  <c r="G121" i="167"/>
  <c r="G120" i="167"/>
  <c r="G118" i="167"/>
  <c r="G114" i="167"/>
  <c r="J93" i="167"/>
  <c r="H93" i="167"/>
  <c r="G92" i="167"/>
  <c r="J88" i="167"/>
  <c r="J86" i="167"/>
  <c r="J84" i="167"/>
  <c r="J82" i="167"/>
  <c r="G81" i="167"/>
  <c r="J79" i="167"/>
  <c r="J73" i="167"/>
  <c r="J68" i="167"/>
  <c r="J40" i="167" s="1"/>
  <c r="G47" i="167"/>
  <c r="G44" i="167"/>
  <c r="G31" i="167"/>
  <c r="J29" i="167"/>
  <c r="J28" i="167"/>
  <c r="J25" i="167"/>
  <c r="G20" i="167"/>
  <c r="O322" i="165"/>
  <c r="O319" i="165"/>
  <c r="O314" i="165"/>
  <c r="G311" i="165"/>
  <c r="E314" i="165"/>
  <c r="N311" i="165"/>
  <c r="M311" i="165"/>
  <c r="L311" i="165"/>
  <c r="K311" i="165"/>
  <c r="I311" i="165"/>
  <c r="H311" i="165"/>
  <c r="G302" i="165"/>
  <c r="N302" i="165"/>
  <c r="M302" i="165"/>
  <c r="L302" i="165"/>
  <c r="K302" i="165"/>
  <c r="I302" i="165"/>
  <c r="F302" i="165"/>
  <c r="N290" i="165"/>
  <c r="M290" i="165"/>
  <c r="I290" i="165"/>
  <c r="H290" i="165"/>
  <c r="G290" i="165"/>
  <c r="O286" i="165"/>
  <c r="O284" i="165"/>
  <c r="O283" i="165"/>
  <c r="E283" i="165"/>
  <c r="N277" i="165"/>
  <c r="M277" i="165"/>
  <c r="I277" i="165"/>
  <c r="H277" i="165"/>
  <c r="G277" i="165"/>
  <c r="L277" i="165"/>
  <c r="G265" i="165"/>
  <c r="N265" i="165"/>
  <c r="M265" i="165"/>
  <c r="I265" i="165"/>
  <c r="H265" i="165"/>
  <c r="N257" i="165"/>
  <c r="M257" i="165"/>
  <c r="L257" i="165"/>
  <c r="K257" i="165"/>
  <c r="I257" i="165"/>
  <c r="F257" i="165"/>
  <c r="O183" i="165"/>
  <c r="O180" i="165"/>
  <c r="E180" i="165"/>
  <c r="O179" i="165"/>
  <c r="E179" i="165"/>
  <c r="O178" i="165"/>
  <c r="O176" i="165"/>
  <c r="J175" i="165"/>
  <c r="E175" i="165"/>
  <c r="O173" i="165"/>
  <c r="E173" i="165"/>
  <c r="O171" i="165"/>
  <c r="O170" i="165"/>
  <c r="E170" i="165"/>
  <c r="E167" i="165"/>
  <c r="E166" i="165"/>
  <c r="O164" i="165"/>
  <c r="N160" i="165"/>
  <c r="M160" i="165"/>
  <c r="L160" i="165"/>
  <c r="I160" i="165"/>
  <c r="O153" i="165"/>
  <c r="E153" i="165"/>
  <c r="E152" i="165"/>
  <c r="E150" i="165"/>
  <c r="O149" i="165"/>
  <c r="E149" i="165"/>
  <c r="O148" i="165"/>
  <c r="E148" i="165"/>
  <c r="O147" i="165"/>
  <c r="H142" i="165"/>
  <c r="E145" i="165"/>
  <c r="N142" i="165"/>
  <c r="M142" i="165"/>
  <c r="L142" i="165"/>
  <c r="G142" i="165"/>
  <c r="M99" i="165"/>
  <c r="L99" i="165"/>
  <c r="I99" i="165"/>
  <c r="I93" i="167"/>
  <c r="E97" i="165"/>
  <c r="O94" i="165"/>
  <c r="O93" i="165"/>
  <c r="E93" i="165"/>
  <c r="O91" i="165"/>
  <c r="O89" i="165"/>
  <c r="E87" i="165"/>
  <c r="O86" i="165"/>
  <c r="E86" i="165"/>
  <c r="O85" i="165"/>
  <c r="J84" i="165"/>
  <c r="E84" i="165"/>
  <c r="E83" i="165"/>
  <c r="O81" i="165"/>
  <c r="N78" i="165"/>
  <c r="M78" i="165"/>
  <c r="L78" i="165"/>
  <c r="I78" i="165"/>
  <c r="O75" i="165"/>
  <c r="O74" i="165" s="1"/>
  <c r="E75" i="165"/>
  <c r="E74" i="165" s="1"/>
  <c r="O62" i="165"/>
  <c r="O60" i="165"/>
  <c r="O59" i="165"/>
  <c r="E59" i="165"/>
  <c r="E56" i="165"/>
  <c r="E54" i="165"/>
  <c r="O47" i="165"/>
  <c r="E47" i="165"/>
  <c r="E46" i="165"/>
  <c r="E44" i="165"/>
  <c r="M41" i="165"/>
  <c r="I41" i="165"/>
  <c r="O38" i="165"/>
  <c r="O35" i="165"/>
  <c r="E30" i="165"/>
  <c r="O28" i="165"/>
  <c r="E28" i="165"/>
  <c r="O22" i="165"/>
  <c r="E19" i="165"/>
  <c r="G16" i="165"/>
  <c r="O45" i="165" l="1"/>
  <c r="E45" i="165"/>
  <c r="O34" i="165"/>
  <c r="O37" i="165"/>
  <c r="O61" i="165"/>
  <c r="H71" i="167"/>
  <c r="H77" i="167"/>
  <c r="O90" i="165"/>
  <c r="E96" i="165"/>
  <c r="H130" i="167"/>
  <c r="O163" i="165"/>
  <c r="O182" i="165"/>
  <c r="E313" i="165"/>
  <c r="O321" i="165"/>
  <c r="O27" i="165"/>
  <c r="H54" i="167"/>
  <c r="O285" i="165"/>
  <c r="P235" i="165"/>
  <c r="E29" i="165"/>
  <c r="P87" i="165"/>
  <c r="H133" i="167"/>
  <c r="H147" i="167"/>
  <c r="E172" i="165"/>
  <c r="O174" i="165"/>
  <c r="O313" i="165"/>
  <c r="H41" i="167"/>
  <c r="O80" i="165"/>
  <c r="O88" i="165"/>
  <c r="O151" i="165"/>
  <c r="O172" i="165"/>
  <c r="O318" i="165"/>
  <c r="H43" i="167"/>
  <c r="H51" i="167"/>
  <c r="P30" i="165"/>
  <c r="O58" i="165"/>
  <c r="E151" i="165"/>
  <c r="H128" i="167"/>
  <c r="E144" i="165"/>
  <c r="O177" i="165"/>
  <c r="O169" i="165"/>
  <c r="H146" i="167"/>
  <c r="E165" i="165"/>
  <c r="O92" i="165"/>
  <c r="E55" i="165"/>
  <c r="H52" i="167"/>
  <c r="H46" i="167"/>
  <c r="H25" i="167"/>
  <c r="H24" i="167"/>
  <c r="J127" i="167"/>
  <c r="N16" i="165"/>
  <c r="I16" i="165"/>
  <c r="I323" i="165"/>
  <c r="M16" i="165"/>
  <c r="M323" i="165"/>
  <c r="K290" i="165"/>
  <c r="K265" i="165"/>
  <c r="F277" i="165"/>
  <c r="G230" i="167"/>
  <c r="G226" i="167" s="1"/>
  <c r="H225" i="167"/>
  <c r="J91" i="165"/>
  <c r="E94" i="165"/>
  <c r="I225" i="167"/>
  <c r="K142" i="165"/>
  <c r="E164" i="165"/>
  <c r="J164" i="165"/>
  <c r="J35" i="165"/>
  <c r="J59" i="165"/>
  <c r="J179" i="165"/>
  <c r="L41" i="165"/>
  <c r="E85" i="165"/>
  <c r="J319" i="165"/>
  <c r="J220" i="167"/>
  <c r="J236" i="167"/>
  <c r="J173" i="165"/>
  <c r="J284" i="165"/>
  <c r="O290" i="165"/>
  <c r="J150" i="165"/>
  <c r="J149" i="165"/>
  <c r="J166" i="165"/>
  <c r="H302" i="165"/>
  <c r="E22" i="165"/>
  <c r="E25" i="165"/>
  <c r="J28" i="165"/>
  <c r="J38" i="165"/>
  <c r="J47" i="165"/>
  <c r="J56" i="165"/>
  <c r="J60" i="165"/>
  <c r="G78" i="165"/>
  <c r="I73" i="167"/>
  <c r="E89" i="165"/>
  <c r="N99" i="165"/>
  <c r="J147" i="165"/>
  <c r="H134" i="167"/>
  <c r="H136" i="167"/>
  <c r="J171" i="165"/>
  <c r="H155" i="167"/>
  <c r="J180" i="165"/>
  <c r="H207" i="167"/>
  <c r="H208" i="167"/>
  <c r="E257" i="165"/>
  <c r="H214" i="167"/>
  <c r="E284" i="165"/>
  <c r="J286" i="165"/>
  <c r="J314" i="165"/>
  <c r="J322" i="165"/>
  <c r="E38" i="165"/>
  <c r="J148" i="165"/>
  <c r="J153" i="165"/>
  <c r="H204" i="167"/>
  <c r="J283" i="165"/>
  <c r="N41" i="165"/>
  <c r="J86" i="165"/>
  <c r="J89" i="165"/>
  <c r="H86" i="167"/>
  <c r="J94" i="165"/>
  <c r="J152" i="165"/>
  <c r="E178" i="165"/>
  <c r="E183" i="165"/>
  <c r="G257" i="165"/>
  <c r="L290" i="165"/>
  <c r="O19" i="165"/>
  <c r="E60" i="165"/>
  <c r="J75" i="165"/>
  <c r="J74" i="165" s="1"/>
  <c r="J85" i="165"/>
  <c r="E147" i="165"/>
  <c r="E171" i="165"/>
  <c r="J176" i="165"/>
  <c r="H156" i="167"/>
  <c r="H211" i="167"/>
  <c r="J22" i="167"/>
  <c r="J16" i="167" s="1"/>
  <c r="J62" i="165"/>
  <c r="F78" i="165"/>
  <c r="H78" i="165"/>
  <c r="J22" i="165"/>
  <c r="E62" i="165"/>
  <c r="H68" i="167"/>
  <c r="E81" i="165"/>
  <c r="J81" i="165"/>
  <c r="H79" i="167"/>
  <c r="E91" i="165"/>
  <c r="J93" i="165"/>
  <c r="G99" i="165"/>
  <c r="G160" i="165"/>
  <c r="H160" i="165"/>
  <c r="J170" i="165"/>
  <c r="H150" i="167"/>
  <c r="I151" i="167"/>
  <c r="J178" i="165"/>
  <c r="J183" i="165"/>
  <c r="H206" i="167"/>
  <c r="H257" i="165"/>
  <c r="E302" i="165"/>
  <c r="G93" i="167"/>
  <c r="G45" i="167"/>
  <c r="G131" i="167"/>
  <c r="G152" i="167"/>
  <c r="J244" i="167"/>
  <c r="H73" i="167"/>
  <c r="P84" i="165"/>
  <c r="F265" i="165"/>
  <c r="J44" i="165"/>
  <c r="L265" i="165"/>
  <c r="L323" i="165"/>
  <c r="O83" i="165"/>
  <c r="H99" i="165"/>
  <c r="F99" i="165"/>
  <c r="H148" i="167"/>
  <c r="G17" i="167"/>
  <c r="H16" i="165"/>
  <c r="E176" i="165"/>
  <c r="F160" i="165"/>
  <c r="K277" i="165"/>
  <c r="E286" i="165"/>
  <c r="H138" i="167"/>
  <c r="O167" i="165"/>
  <c r="H151" i="167"/>
  <c r="P175" i="165"/>
  <c r="J211" i="167"/>
  <c r="F290" i="165"/>
  <c r="J151" i="167"/>
  <c r="J90" i="167"/>
  <c r="O25" i="165"/>
  <c r="O97" i="165"/>
  <c r="J204" i="167"/>
  <c r="O265" i="165"/>
  <c r="F311" i="165"/>
  <c r="E319" i="165"/>
  <c r="G21" i="167"/>
  <c r="G96" i="167"/>
  <c r="J225" i="167"/>
  <c r="E24" i="165" l="1"/>
  <c r="O24" i="165"/>
  <c r="E27" i="165"/>
  <c r="O43" i="165"/>
  <c r="H201" i="167"/>
  <c r="O282" i="165"/>
  <c r="P29" i="165"/>
  <c r="J151" i="165"/>
  <c r="I77" i="167"/>
  <c r="G77" i="167" s="1"/>
  <c r="J313" i="165"/>
  <c r="J163" i="165"/>
  <c r="E92" i="165"/>
  <c r="O316" i="165"/>
  <c r="E95" i="165"/>
  <c r="O33" i="165"/>
  <c r="E318" i="165"/>
  <c r="J174" i="165"/>
  <c r="I130" i="167"/>
  <c r="G130" i="167" s="1"/>
  <c r="J285" i="165"/>
  <c r="I55" i="167"/>
  <c r="J27" i="165"/>
  <c r="J318" i="165"/>
  <c r="I54" i="167"/>
  <c r="G54" i="167" s="1"/>
  <c r="E163" i="165"/>
  <c r="J90" i="165"/>
  <c r="O146" i="165"/>
  <c r="E169" i="165"/>
  <c r="E182" i="165"/>
  <c r="J80" i="165"/>
  <c r="E88" i="165"/>
  <c r="I133" i="167"/>
  <c r="G133" i="167" s="1"/>
  <c r="J172" i="165"/>
  <c r="J34" i="165"/>
  <c r="O320" i="165"/>
  <c r="O181" i="165"/>
  <c r="O36" i="165"/>
  <c r="E174" i="165"/>
  <c r="J182" i="165"/>
  <c r="E80" i="165"/>
  <c r="O18" i="165"/>
  <c r="E177" i="165"/>
  <c r="J88" i="165"/>
  <c r="J321" i="165"/>
  <c r="I46" i="167"/>
  <c r="E90" i="165"/>
  <c r="I75" i="167"/>
  <c r="O96" i="165"/>
  <c r="E285" i="165"/>
  <c r="O23" i="165"/>
  <c r="E37" i="165"/>
  <c r="J37" i="165"/>
  <c r="E146" i="165"/>
  <c r="E58" i="165"/>
  <c r="H55" i="167"/>
  <c r="J55" i="165"/>
  <c r="I52" i="167"/>
  <c r="G52" i="167" s="1"/>
  <c r="O82" i="165"/>
  <c r="E61" i="165"/>
  <c r="H57" i="167"/>
  <c r="J61" i="165"/>
  <c r="I57" i="167"/>
  <c r="J177" i="165"/>
  <c r="P283" i="165"/>
  <c r="J282" i="165"/>
  <c r="O168" i="165"/>
  <c r="J169" i="165"/>
  <c r="I146" i="167"/>
  <c r="G146" i="167" s="1"/>
  <c r="O165" i="165"/>
  <c r="J92" i="165"/>
  <c r="H75" i="167"/>
  <c r="I41" i="167"/>
  <c r="I25" i="167"/>
  <c r="I24" i="167"/>
  <c r="E18" i="165"/>
  <c r="J58" i="165"/>
  <c r="K16" i="165"/>
  <c r="K323" i="165"/>
  <c r="F41" i="165"/>
  <c r="H41" i="165"/>
  <c r="H323" i="165"/>
  <c r="G41" i="165"/>
  <c r="G323" i="165"/>
  <c r="N323" i="165"/>
  <c r="J219" i="167"/>
  <c r="P35" i="165"/>
  <c r="I145" i="167"/>
  <c r="I134" i="167"/>
  <c r="G134" i="167" s="1"/>
  <c r="I84" i="167"/>
  <c r="P179" i="165"/>
  <c r="G105" i="167"/>
  <c r="P170" i="165"/>
  <c r="P86" i="165"/>
  <c r="P47" i="165"/>
  <c r="H88" i="167"/>
  <c r="I28" i="167"/>
  <c r="F142" i="165"/>
  <c r="P153" i="165"/>
  <c r="I150" i="167"/>
  <c r="G150" i="167" s="1"/>
  <c r="P93" i="165"/>
  <c r="P150" i="165"/>
  <c r="P171" i="165"/>
  <c r="P180" i="165"/>
  <c r="P56" i="165"/>
  <c r="P149" i="165"/>
  <c r="J54" i="165"/>
  <c r="G103" i="167"/>
  <c r="P314" i="165"/>
  <c r="H28" i="167"/>
  <c r="G225" i="167"/>
  <c r="P89" i="165"/>
  <c r="P173" i="165"/>
  <c r="I79" i="167"/>
  <c r="G79" i="167" s="1"/>
  <c r="P322" i="165"/>
  <c r="P166" i="165"/>
  <c r="P152" i="165"/>
  <c r="P22" i="165"/>
  <c r="J145" i="165"/>
  <c r="H145" i="167"/>
  <c r="G73" i="167"/>
  <c r="H244" i="167"/>
  <c r="P164" i="165"/>
  <c r="P60" i="165"/>
  <c r="G151" i="167"/>
  <c r="P59" i="165"/>
  <c r="P91" i="165"/>
  <c r="H84" i="167"/>
  <c r="P38" i="165"/>
  <c r="H29" i="167"/>
  <c r="P28" i="165"/>
  <c r="P183" i="165"/>
  <c r="H154" i="167"/>
  <c r="P75" i="165"/>
  <c r="P74" i="165" s="1"/>
  <c r="I155" i="167"/>
  <c r="G155" i="167" s="1"/>
  <c r="P147" i="165"/>
  <c r="H149" i="167"/>
  <c r="H129" i="167"/>
  <c r="H127" i="167" s="1"/>
  <c r="P284" i="165"/>
  <c r="I136" i="167"/>
  <c r="G136" i="167" s="1"/>
  <c r="P85" i="165"/>
  <c r="I68" i="167"/>
  <c r="G68" i="167" s="1"/>
  <c r="P62" i="165"/>
  <c r="J126" i="167"/>
  <c r="I86" i="167"/>
  <c r="G86" i="167" s="1"/>
  <c r="P81" i="165"/>
  <c r="G115" i="167"/>
  <c r="I153" i="167"/>
  <c r="J290" i="165"/>
  <c r="J46" i="165"/>
  <c r="G116" i="167"/>
  <c r="G109" i="167"/>
  <c r="H22" i="167"/>
  <c r="J25" i="165"/>
  <c r="G104" i="167"/>
  <c r="I154" i="167"/>
  <c r="I206" i="167"/>
  <c r="G102" i="167"/>
  <c r="I88" i="167"/>
  <c r="I82" i="167"/>
  <c r="G107" i="167"/>
  <c r="H82" i="167"/>
  <c r="H157" i="167"/>
  <c r="J167" i="165"/>
  <c r="P94" i="165"/>
  <c r="P178" i="165"/>
  <c r="J39" i="167"/>
  <c r="P148" i="165"/>
  <c r="I148" i="167"/>
  <c r="G148" i="167" s="1"/>
  <c r="J19" i="165"/>
  <c r="I138" i="167"/>
  <c r="G138" i="167" s="1"/>
  <c r="I149" i="167"/>
  <c r="I129" i="167"/>
  <c r="J97" i="165"/>
  <c r="I157" i="167"/>
  <c r="G119" i="167"/>
  <c r="I156" i="167"/>
  <c r="G156" i="167" s="1"/>
  <c r="G113" i="167"/>
  <c r="G108" i="167"/>
  <c r="I29" i="167"/>
  <c r="G101" i="167"/>
  <c r="H236" i="167"/>
  <c r="J95" i="167"/>
  <c r="J94" i="167" s="1"/>
  <c r="K99" i="165"/>
  <c r="K160" i="165"/>
  <c r="J266" i="165"/>
  <c r="J265" i="165" s="1"/>
  <c r="P319" i="165"/>
  <c r="O257" i="165"/>
  <c r="J258" i="165"/>
  <c r="K41" i="165"/>
  <c r="J70" i="167"/>
  <c r="J144" i="167"/>
  <c r="J143" i="167" s="1"/>
  <c r="P286" i="165"/>
  <c r="J83" i="165"/>
  <c r="L16" i="165"/>
  <c r="O302" i="165"/>
  <c r="J303" i="165"/>
  <c r="H153" i="167"/>
  <c r="P176" i="165"/>
  <c r="F16" i="165"/>
  <c r="K78" i="165"/>
  <c r="P44" i="165"/>
  <c r="J24" i="165" l="1"/>
  <c r="J45" i="165"/>
  <c r="J43" i="165" s="1"/>
  <c r="J279" i="165"/>
  <c r="E162" i="165"/>
  <c r="O279" i="165"/>
  <c r="E43" i="165"/>
  <c r="O42" i="165"/>
  <c r="J42" i="165" s="1"/>
  <c r="P258" i="165"/>
  <c r="G46" i="167"/>
  <c r="E23" i="165"/>
  <c r="J146" i="165"/>
  <c r="P55" i="165"/>
  <c r="E168" i="165"/>
  <c r="E82" i="165"/>
  <c r="P174" i="165"/>
  <c r="I147" i="167"/>
  <c r="G147" i="167" s="1"/>
  <c r="P80" i="165"/>
  <c r="P182" i="165"/>
  <c r="P151" i="165"/>
  <c r="P172" i="165"/>
  <c r="P313" i="165"/>
  <c r="P34" i="165"/>
  <c r="E36" i="165"/>
  <c r="P27" i="165"/>
  <c r="P88" i="165"/>
  <c r="O17" i="165"/>
  <c r="J17" i="165" s="1"/>
  <c r="J16" i="165" s="1"/>
  <c r="J181" i="165"/>
  <c r="O143" i="165"/>
  <c r="O142" i="165" s="1"/>
  <c r="J316" i="165"/>
  <c r="O312" i="165"/>
  <c r="J18" i="165"/>
  <c r="P90" i="165"/>
  <c r="P163" i="165"/>
  <c r="P321" i="165"/>
  <c r="E282" i="165"/>
  <c r="J33" i="165"/>
  <c r="E316" i="165"/>
  <c r="P318" i="165"/>
  <c r="I43" i="167"/>
  <c r="J36" i="165"/>
  <c r="J320" i="165"/>
  <c r="E181" i="165"/>
  <c r="O278" i="165"/>
  <c r="O277" i="165" s="1"/>
  <c r="J96" i="165"/>
  <c r="O95" i="165"/>
  <c r="H16" i="167"/>
  <c r="P285" i="165"/>
  <c r="I51" i="167"/>
  <c r="G51" i="167" s="1"/>
  <c r="E143" i="165"/>
  <c r="E142" i="165" s="1"/>
  <c r="G28" i="167"/>
  <c r="P58" i="165"/>
  <c r="J168" i="165"/>
  <c r="P61" i="165"/>
  <c r="G57" i="167"/>
  <c r="H40" i="167"/>
  <c r="G55" i="167"/>
  <c r="P177" i="165"/>
  <c r="P169" i="165"/>
  <c r="O162" i="165"/>
  <c r="J165" i="165"/>
  <c r="J82" i="165"/>
  <c r="I128" i="167"/>
  <c r="I127" i="167" s="1"/>
  <c r="J144" i="165"/>
  <c r="P92" i="165"/>
  <c r="I71" i="167"/>
  <c r="P37" i="165"/>
  <c r="G24" i="167"/>
  <c r="J69" i="167"/>
  <c r="H144" i="167"/>
  <c r="H143" i="167" s="1"/>
  <c r="H200" i="167"/>
  <c r="H126" i="167"/>
  <c r="G145" i="167"/>
  <c r="J15" i="167"/>
  <c r="G84" i="167"/>
  <c r="I207" i="167"/>
  <c r="G207" i="167" s="1"/>
  <c r="P54" i="165"/>
  <c r="G88" i="167"/>
  <c r="I204" i="167"/>
  <c r="P46" i="165"/>
  <c r="G75" i="167"/>
  <c r="G219" i="167"/>
  <c r="G25" i="167"/>
  <c r="P145" i="165"/>
  <c r="H70" i="167"/>
  <c r="G111" i="167"/>
  <c r="G29" i="167"/>
  <c r="G82" i="167"/>
  <c r="G112" i="167"/>
  <c r="G129" i="167"/>
  <c r="G154" i="167"/>
  <c r="G149" i="167"/>
  <c r="P19" i="165"/>
  <c r="G117" i="167"/>
  <c r="G153" i="167"/>
  <c r="G124" i="167"/>
  <c r="G157" i="167"/>
  <c r="I244" i="167"/>
  <c r="I214" i="167"/>
  <c r="G216" i="167"/>
  <c r="G215" i="167" s="1"/>
  <c r="P25" i="165"/>
  <c r="I236" i="167"/>
  <c r="G244" i="167"/>
  <c r="P167" i="165"/>
  <c r="J206" i="167"/>
  <c r="G206" i="167"/>
  <c r="I208" i="167"/>
  <c r="G122" i="167"/>
  <c r="I220" i="167"/>
  <c r="I90" i="167"/>
  <c r="G90" i="167" s="1"/>
  <c r="I22" i="167"/>
  <c r="I16" i="167" s="1"/>
  <c r="P97" i="165"/>
  <c r="I211" i="167"/>
  <c r="G236" i="167"/>
  <c r="O41" i="165"/>
  <c r="P83" i="165"/>
  <c r="J257" i="165"/>
  <c r="E99" i="165"/>
  <c r="O99" i="165"/>
  <c r="J100" i="165"/>
  <c r="J99" i="165" s="1"/>
  <c r="H219" i="167"/>
  <c r="P266" i="165"/>
  <c r="E265" i="165"/>
  <c r="G41" i="167"/>
  <c r="E290" i="165"/>
  <c r="P291" i="165"/>
  <c r="J302" i="165"/>
  <c r="P303" i="165"/>
  <c r="H94" i="167"/>
  <c r="P45" i="165" l="1"/>
  <c r="P43" i="165" s="1"/>
  <c r="E161" i="165"/>
  <c r="E160" i="165" s="1"/>
  <c r="P24" i="165"/>
  <c r="E279" i="165"/>
  <c r="P146" i="165"/>
  <c r="O16" i="165"/>
  <c r="I201" i="167"/>
  <c r="G43" i="167"/>
  <c r="G40" i="167" s="1"/>
  <c r="G39" i="167" s="1"/>
  <c r="I40" i="167"/>
  <c r="I39" i="167" s="1"/>
  <c r="E17" i="165"/>
  <c r="P17" i="165" s="1"/>
  <c r="J143" i="165"/>
  <c r="P143" i="165" s="1"/>
  <c r="E42" i="165"/>
  <c r="P42" i="165" s="1"/>
  <c r="J278" i="165"/>
  <c r="J277" i="165" s="1"/>
  <c r="P282" i="165"/>
  <c r="E79" i="165"/>
  <c r="E78" i="165" s="1"/>
  <c r="P18" i="165"/>
  <c r="J23" i="165"/>
  <c r="J162" i="165"/>
  <c r="E312" i="165"/>
  <c r="D70" i="170"/>
  <c r="P144" i="165"/>
  <c r="O161" i="165"/>
  <c r="O160" i="165" s="1"/>
  <c r="D71" i="170"/>
  <c r="P320" i="165"/>
  <c r="P165" i="165"/>
  <c r="P36" i="165"/>
  <c r="P316" i="165"/>
  <c r="O311" i="165"/>
  <c r="J312" i="165"/>
  <c r="J311" i="165" s="1"/>
  <c r="P33" i="165"/>
  <c r="P181" i="165"/>
  <c r="O79" i="165"/>
  <c r="P96" i="165"/>
  <c r="J95" i="165"/>
  <c r="H39" i="167"/>
  <c r="H253" i="167"/>
  <c r="P168" i="165"/>
  <c r="G128" i="167"/>
  <c r="P82" i="165"/>
  <c r="H69" i="167"/>
  <c r="G214" i="167"/>
  <c r="G204" i="167"/>
  <c r="H15" i="167"/>
  <c r="I219" i="167"/>
  <c r="J207" i="167"/>
  <c r="I126" i="167"/>
  <c r="G22" i="167"/>
  <c r="G16" i="167" s="1"/>
  <c r="I95" i="167"/>
  <c r="I94" i="167" s="1"/>
  <c r="G211" i="167"/>
  <c r="G100" i="167"/>
  <c r="G209" i="167"/>
  <c r="J208" i="167"/>
  <c r="G208" i="167"/>
  <c r="P290" i="165"/>
  <c r="P302" i="165"/>
  <c r="P257" i="165"/>
  <c r="I70" i="167"/>
  <c r="G71" i="167"/>
  <c r="G70" i="167" s="1"/>
  <c r="P265" i="165"/>
  <c r="P100" i="165"/>
  <c r="J41" i="165"/>
  <c r="E278" i="165" l="1"/>
  <c r="E277" i="165" s="1"/>
  <c r="J201" i="167"/>
  <c r="P279" i="165"/>
  <c r="J142" i="165"/>
  <c r="O323" i="165"/>
  <c r="E41" i="165"/>
  <c r="G201" i="167"/>
  <c r="J161" i="165"/>
  <c r="P161" i="165" s="1"/>
  <c r="P16" i="165"/>
  <c r="E16" i="165"/>
  <c r="E323" i="165"/>
  <c r="P162" i="165"/>
  <c r="E311" i="165"/>
  <c r="P312" i="165"/>
  <c r="P23" i="165"/>
  <c r="P95" i="165"/>
  <c r="O78" i="165"/>
  <c r="J79" i="165"/>
  <c r="G127" i="167"/>
  <c r="G126" i="167" s="1"/>
  <c r="I69" i="167"/>
  <c r="G69" i="167"/>
  <c r="J253" i="167"/>
  <c r="G15" i="167"/>
  <c r="I200" i="167"/>
  <c r="G95" i="167"/>
  <c r="G94" i="167" s="1"/>
  <c r="I15" i="167"/>
  <c r="P142" i="165"/>
  <c r="P41" i="165"/>
  <c r="P99" i="165"/>
  <c r="P278" i="165" l="1"/>
  <c r="J160" i="165"/>
  <c r="P160" i="165"/>
  <c r="P311" i="165"/>
  <c r="P79" i="165"/>
  <c r="J78" i="165"/>
  <c r="J323" i="165"/>
  <c r="G200" i="167"/>
  <c r="J200" i="167"/>
  <c r="P277" i="165" l="1"/>
  <c r="P323" i="165"/>
  <c r="P78" i="165"/>
  <c r="I159" i="167" l="1"/>
  <c r="G159" i="167" l="1"/>
  <c r="G144" i="167" s="1"/>
  <c r="G253" i="167" s="1"/>
  <c r="I144" i="167"/>
  <c r="I253" i="167" s="1"/>
  <c r="I143" i="167" l="1"/>
  <c r="G143" i="167"/>
  <c r="M19" i="107" l="1"/>
  <c r="O19" i="107"/>
  <c r="K13" i="107" l="1"/>
  <c r="Q19" i="107"/>
  <c r="G140" i="107" l="1"/>
  <c r="G139" i="107"/>
  <c r="G137" i="107"/>
  <c r="G138" i="107"/>
  <c r="G135" i="107"/>
  <c r="G136" i="107"/>
  <c r="G133" i="107"/>
  <c r="G132" i="107"/>
  <c r="G131" i="107"/>
  <c r="G130" i="107"/>
  <c r="G129" i="107"/>
  <c r="G128" i="107"/>
  <c r="G127" i="107"/>
  <c r="G126" i="107"/>
  <c r="G125" i="107"/>
  <c r="G124" i="107"/>
  <c r="G123" i="107"/>
  <c r="G121" i="107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32" i="107"/>
  <c r="G31" i="107"/>
  <c r="G30" i="107"/>
  <c r="G29" i="107"/>
  <c r="G28" i="107"/>
  <c r="G18" i="107"/>
  <c r="G16" i="107" s="1"/>
  <c r="G15" i="107" s="1"/>
  <c r="G14" i="107" s="1"/>
  <c r="G148" i="107"/>
  <c r="K167" i="107"/>
  <c r="E164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D24" i="172" s="1"/>
  <c r="M17" i="107"/>
  <c r="O20" i="107" l="1"/>
  <c r="O16" i="107"/>
  <c r="O15" i="107" s="1"/>
  <c r="O14" i="107" s="1"/>
  <c r="G20" i="10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D48" i="172" l="1"/>
  <c r="E24" i="172"/>
  <c r="D20" i="172"/>
  <c r="D15" i="172" s="1"/>
  <c r="D29" i="172" s="1"/>
  <c r="F20" i="107"/>
  <c r="D22" i="108"/>
  <c r="C24" i="172" l="1"/>
  <c r="C20" i="172" s="1"/>
  <c r="C15" i="172" s="1"/>
  <c r="C29" i="172" s="1"/>
  <c r="E20" i="172"/>
  <c r="E15" i="172" s="1"/>
  <c r="E29" i="172" s="1"/>
  <c r="F24" i="172"/>
  <c r="E48" i="172"/>
  <c r="E44" i="172" s="1"/>
  <c r="E43" i="172" s="1"/>
  <c r="E49" i="172" s="1"/>
  <c r="D44" i="172"/>
  <c r="M18" i="107"/>
  <c r="D43" i="172" l="1"/>
  <c r="D49" i="172" s="1"/>
  <c r="C48" i="172"/>
  <c r="C44" i="172" s="1"/>
  <c r="C43" i="172" s="1"/>
  <c r="C49" i="172" s="1"/>
  <c r="F48" i="172"/>
  <c r="F44" i="172" s="1"/>
  <c r="F43" i="172" s="1"/>
  <c r="F49" i="172" s="1"/>
  <c r="F20" i="172"/>
  <c r="F15" i="172" s="1"/>
  <c r="F29" i="172" s="1"/>
  <c r="M13" i="107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  <c r="D24" i="170"/>
  <c r="D34" i="170" s="1"/>
  <c r="D41" i="170" s="1"/>
  <c r="D39" i="170"/>
  <c r="D42" i="170" s="1"/>
  <c r="D40" i="170" l="1"/>
</calcChain>
</file>

<file path=xl/sharedStrings.xml><?xml version="1.0" encoding="utf-8"?>
<sst xmlns="http://schemas.openxmlformats.org/spreadsheetml/2006/main" count="4304" uniqueCount="1397">
  <si>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</si>
  <si>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</si>
  <si>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</si>
  <si>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</si>
  <si>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</si>
  <si>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</si>
  <si>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</si>
  <si>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</si>
  <si>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</si>
  <si>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</si>
  <si>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</si>
  <si>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</si>
  <si>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</si>
  <si>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</si>
  <si>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</si>
  <si>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</si>
  <si>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</si>
  <si>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</si>
  <si>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</si>
  <si>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</si>
  <si>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</si>
  <si>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</si>
  <si>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</si>
  <si>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</si>
  <si>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</si>
  <si>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</si>
  <si>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</si>
  <si>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</si>
  <si>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</si>
  <si>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</si>
  <si>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</si>
  <si>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</si>
  <si>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</si>
  <si>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</si>
  <si>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</si>
  <si>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</si>
  <si>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</si>
  <si>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</si>
  <si>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</si>
  <si>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</si>
  <si>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</si>
  <si>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</si>
  <si>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</si>
  <si>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</si>
  <si>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</si>
  <si>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</si>
  <si>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</si>
  <si>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</si>
  <si>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</si>
  <si>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</si>
  <si>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</si>
  <si>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</si>
  <si>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</si>
  <si>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</si>
  <si>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</si>
  <si>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</si>
  <si>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</si>
  <si>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</si>
  <si>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</si>
  <si>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</si>
  <si>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</si>
  <si>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</si>
  <si>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</si>
  <si>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</si>
  <si>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</si>
  <si>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</si>
  <si>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</si>
  <si>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</si>
  <si>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</si>
  <si>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</si>
  <si>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</si>
  <si>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</si>
  <si>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</si>
  <si>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</si>
  <si>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</si>
  <si>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</si>
  <si>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</si>
  <si>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</si>
  <si>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</si>
  <si>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</si>
  <si>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</si>
  <si>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</si>
  <si>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</si>
  <si>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</si>
  <si>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</si>
  <si>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</si>
  <si>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</si>
  <si>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</si>
  <si>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</si>
  <si>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</si>
  <si>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</si>
  <si>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</si>
  <si>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</si>
  <si>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</si>
  <si>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</si>
  <si>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</si>
  <si>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</si>
  <si>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</si>
  <si>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</si>
  <si>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</si>
  <si>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</si>
  <si>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</si>
  <si>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</si>
  <si>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</si>
  <si>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</si>
  <si>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</si>
  <si>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</si>
  <si>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</si>
  <si>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</si>
  <si>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</si>
  <si>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</si>
  <si>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</si>
  <si>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</si>
  <si>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</si>
  <si>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</si>
  <si>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</si>
  <si>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</si>
  <si>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</si>
  <si>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</si>
  <si>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</si>
  <si>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</si>
  <si>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</si>
  <si>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</si>
  <si>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</si>
  <si>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</si>
  <si>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</si>
  <si>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</si>
  <si>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</si>
  <si>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</si>
  <si>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</si>
  <si>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</si>
  <si>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</si>
  <si>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</si>
  <si>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</si>
  <si>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</si>
  <si>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</si>
  <si>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</si>
  <si>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</si>
  <si>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</si>
  <si>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</si>
  <si>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</si>
  <si>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</si>
  <si>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</si>
  <si>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</si>
  <si>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</si>
  <si>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</si>
  <si>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</si>
  <si>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</si>
  <si>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</si>
  <si>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</si>
  <si>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</si>
  <si>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</si>
  <si>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</si>
  <si>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</si>
  <si>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</si>
  <si>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</si>
  <si>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</si>
  <si>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</si>
  <si>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</si>
  <si>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</si>
  <si>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</si>
  <si>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</si>
  <si>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</si>
  <si>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</si>
  <si>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</si>
  <si>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</si>
  <si>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</si>
  <si>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</si>
  <si>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</si>
  <si>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</si>
  <si>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</si>
  <si>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</si>
  <si>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</si>
  <si>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</si>
  <si>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</si>
  <si>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</si>
  <si>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</si>
  <si>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</si>
  <si>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</si>
  <si>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</si>
  <si>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</si>
  <si>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</si>
  <si>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</si>
  <si>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</si>
  <si>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</si>
  <si>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</si>
  <si>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</si>
  <si>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</si>
  <si>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</si>
  <si>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</si>
  <si>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</si>
  <si>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</si>
  <si>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</si>
  <si>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</si>
  <si>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</si>
  <si>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</si>
  <si>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</si>
  <si>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</si>
  <si>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</si>
  <si>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</si>
  <si>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</si>
  <si>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</si>
  <si>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</si>
  <si>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</si>
  <si>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</si>
  <si>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</si>
  <si>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</si>
  <si>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</si>
  <si>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</si>
  <si>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</si>
  <si>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</si>
  <si>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</si>
  <si>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</si>
  <si>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</si>
  <si>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</si>
  <si>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</si>
  <si>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</si>
  <si>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</si>
  <si>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</si>
  <si>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</si>
  <si>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</si>
  <si>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</si>
  <si>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</si>
  <si>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</si>
  <si>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</si>
  <si>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</si>
  <si>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</si>
  <si>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</si>
  <si>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</si>
  <si>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</si>
  <si>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</si>
  <si>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</si>
  <si>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</si>
  <si>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</si>
  <si>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</si>
  <si>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</si>
  <si>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</si>
  <si>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</si>
  <si>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</si>
  <si>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</si>
  <si>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</si>
  <si>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</si>
  <si>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</si>
  <si>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</si>
  <si>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</si>
  <si>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</si>
  <si>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</si>
  <si>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</si>
  <si>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</si>
  <si>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</si>
  <si>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</si>
  <si>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</si>
  <si>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</si>
  <si>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</si>
  <si>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</si>
  <si>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</si>
  <si>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</si>
  <si>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</si>
  <si>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</si>
  <si>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</si>
  <si>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</si>
  <si>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</si>
  <si>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</si>
  <si>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</si>
  <si>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</si>
  <si>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</si>
  <si>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</si>
  <si>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</si>
  <si>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</si>
  <si>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</si>
  <si>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</si>
  <si>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</si>
  <si>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</si>
  <si>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</si>
  <si>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</si>
  <si>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</si>
  <si>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</si>
  <si>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</si>
  <si>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</si>
  <si>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</si>
  <si>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</si>
  <si>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</si>
  <si>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</si>
  <si>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</si>
  <si>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</si>
  <si>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</si>
  <si>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</si>
  <si>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</si>
  <si>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</si>
  <si>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</si>
  <si>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</si>
  <si>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</si>
  <si>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</si>
  <si>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</si>
  <si>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</si>
  <si>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</si>
  <si>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</si>
  <si>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</si>
  <si>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</si>
  <si>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</si>
  <si>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</si>
  <si>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</si>
  <si>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</si>
  <si>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</si>
  <si>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</si>
  <si>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</si>
  <si>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</si>
  <si>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</si>
  <si>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</si>
  <si>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</si>
  <si>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</si>
  <si>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</si>
  <si>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</si>
  <si>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</si>
  <si>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</si>
  <si>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</si>
  <si>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</si>
  <si>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</si>
  <si>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</si>
  <si>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</si>
  <si>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</si>
  <si>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</si>
  <si>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</si>
  <si>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</si>
  <si>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</si>
  <si>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</si>
  <si>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</si>
  <si>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</si>
  <si>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</si>
  <si>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</si>
  <si>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</si>
  <si>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</si>
  <si>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</si>
  <si>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</si>
  <si>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</si>
  <si>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</si>
  <si>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</si>
  <si>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</si>
  <si>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</si>
  <si>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</si>
  <si>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</si>
  <si>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</si>
  <si>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</si>
  <si>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</si>
  <si>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</si>
  <si>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</si>
  <si>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</si>
  <si>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</si>
  <si>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</si>
  <si>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</si>
  <si>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</si>
  <si>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</si>
  <si>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</si>
  <si>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</si>
  <si>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</si>
  <si>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</si>
  <si>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</si>
  <si>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</si>
  <si>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</si>
  <si>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</si>
  <si>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</si>
  <si>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</si>
  <si>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</si>
  <si>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</si>
  <si>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</si>
  <si>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</si>
  <si>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</si>
  <si>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</si>
  <si>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</si>
  <si>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</si>
  <si>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</si>
  <si>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</si>
  <si>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</si>
  <si>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</si>
  <si>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</si>
  <si>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</si>
  <si>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</si>
  <si>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</si>
  <si>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</si>
  <si>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</si>
  <si>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</si>
  <si>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</si>
  <si>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</si>
  <si>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</si>
  <si>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</si>
  <si>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</si>
  <si>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</si>
  <si>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</si>
  <si>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</si>
  <si>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</si>
  <si>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</si>
  <si>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</si>
  <si>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</si>
  <si>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</si>
  <si>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</si>
  <si>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</si>
  <si>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</si>
  <si>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</si>
  <si>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</si>
  <si>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</si>
  <si>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</si>
  <si>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</si>
  <si>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</si>
  <si>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</si>
  <si>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</si>
  <si>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</si>
  <si>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</si>
  <si>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</si>
  <si>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</si>
  <si>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</si>
  <si>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</si>
  <si>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</si>
  <si>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</si>
  <si>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</si>
  <si>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</si>
  <si>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</si>
  <si>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</si>
  <si>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</si>
  <si>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</si>
  <si>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</si>
  <si>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</si>
  <si>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</si>
  <si>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</si>
  <si>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</si>
  <si>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</si>
  <si>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</si>
  <si>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</si>
  <si>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</si>
  <si>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</si>
  <si>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</si>
  <si>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</si>
  <si>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</si>
  <si>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</si>
  <si>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</si>
  <si>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</si>
  <si>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</si>
  <si>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</si>
  <si>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</si>
  <si>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</si>
  <si>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</si>
  <si>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</si>
  <si>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</si>
  <si>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</si>
  <si>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</si>
  <si>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</si>
  <si>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</si>
  <si>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</si>
  <si>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</si>
  <si>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</si>
  <si>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</si>
  <si>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</si>
  <si>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</si>
  <si>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</si>
  <si>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</si>
  <si>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</si>
  <si>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</si>
  <si>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</si>
  <si>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</si>
  <si>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</si>
  <si>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</si>
  <si>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</si>
  <si>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</si>
  <si>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</si>
  <si>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</si>
  <si>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</si>
  <si>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</si>
  <si>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</si>
  <si>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</si>
  <si>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</si>
  <si>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</si>
  <si>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</si>
  <si>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</si>
  <si>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</si>
  <si>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</si>
  <si>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</si>
  <si>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</si>
  <si>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</si>
  <si>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</si>
  <si>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</si>
  <si>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</si>
  <si>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</si>
  <si>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</si>
  <si>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</si>
  <si>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</si>
  <si>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</si>
  <si>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</si>
  <si>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</si>
  <si>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</si>
  <si>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</si>
  <si>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</si>
  <si>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</si>
  <si>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</si>
  <si>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</si>
  <si>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</si>
  <si>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</si>
  <si>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</si>
  <si>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</si>
  <si>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</si>
  <si>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</si>
  <si>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</si>
  <si>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</si>
  <si>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</si>
  <si>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</si>
  <si>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</si>
  <si>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</si>
  <si>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</si>
  <si>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</si>
  <si>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</si>
  <si>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</si>
  <si>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</si>
  <si>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</si>
  <si>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</si>
  <si>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</si>
  <si>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</si>
  <si>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</si>
  <si>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</si>
  <si>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</si>
  <si>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</si>
  <si>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</si>
  <si>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</si>
  <si>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</si>
  <si>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</si>
  <si>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</si>
  <si>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</si>
  <si>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</si>
  <si>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</si>
  <si>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</si>
  <si>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</si>
  <si>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</si>
  <si>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</si>
  <si>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</si>
  <si>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</si>
  <si>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</si>
  <si>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</si>
  <si>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</si>
  <si>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</si>
  <si>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</si>
  <si>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</si>
  <si>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</si>
  <si>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</si>
  <si>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</si>
  <si>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</si>
  <si>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</si>
  <si>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</si>
  <si>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</si>
  <si>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</si>
  <si>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</si>
  <si>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</si>
  <si>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</si>
  <si>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</si>
  <si>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</si>
  <si>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</si>
  <si>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</si>
  <si>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</si>
  <si>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</si>
  <si>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</si>
  <si>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</si>
  <si>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</si>
  <si>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</si>
  <si>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</si>
  <si>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</si>
  <si>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</si>
  <si>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</si>
  <si>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</si>
  <si>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</si>
  <si>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</si>
  <si>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</si>
  <si>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</si>
  <si>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</si>
  <si>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</si>
  <si>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</si>
  <si>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</si>
  <si>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</si>
  <si>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</si>
  <si>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</si>
  <si>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</si>
  <si>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</si>
  <si>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</si>
  <si>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</si>
  <si>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</si>
  <si>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</si>
  <si>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</si>
  <si>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</si>
  <si>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</si>
  <si>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</si>
  <si>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</si>
  <si>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</si>
  <si>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</si>
  <si>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</si>
  <si>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</si>
  <si>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</si>
  <si>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</si>
  <si>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</si>
  <si>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</si>
  <si>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</si>
  <si>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</si>
  <si>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</si>
  <si>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</si>
  <si>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</si>
  <si>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</si>
  <si>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</si>
  <si>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</si>
  <si>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</si>
  <si>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</si>
  <si>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</si>
  <si>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</si>
  <si>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</si>
  <si>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</si>
  <si>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</si>
  <si>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</si>
  <si>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</si>
  <si>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</si>
  <si>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</si>
  <si>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</si>
  <si>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</si>
  <si>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</si>
  <si>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</si>
  <si>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</si>
  <si>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</si>
  <si>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</si>
  <si>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</si>
  <si>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</si>
  <si>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</si>
  <si>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</si>
  <si>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</si>
  <si>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</si>
  <si>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</si>
  <si>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</si>
  <si>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</si>
  <si>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</si>
  <si>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</si>
  <si>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</si>
  <si>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</si>
  <si>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</si>
  <si>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</si>
  <si>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</si>
  <si>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</si>
  <si>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</si>
  <si>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</si>
  <si>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</si>
  <si>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</si>
  <si>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</si>
  <si>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2013 - 2022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</si>
  <si>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</si>
  <si>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</si>
  <si>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</si>
  <si>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</si>
  <si>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</si>
  <si>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</si>
  <si>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</si>
  <si>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</si>
  <si>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</si>
  <si>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</si>
  <si>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</si>
  <si>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</si>
  <si>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</si>
  <si>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</si>
  <si>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</si>
  <si>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</si>
  <si>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</si>
  <si>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</si>
  <si>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</si>
  <si>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</si>
  <si>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</si>
  <si>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</si>
  <si>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</si>
  <si>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</si>
  <si>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</si>
  <si>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</si>
  <si>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</si>
  <si>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</si>
  <si>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</si>
  <si>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</si>
  <si>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</si>
  <si>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</si>
  <si>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</si>
  <si>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</si>
  <si>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</si>
  <si>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</si>
  <si>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</si>
  <si>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</si>
  <si>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</si>
  <si>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</si>
  <si>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</si>
  <si>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</si>
  <si>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</si>
  <si>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</si>
  <si>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</si>
  <si>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</si>
  <si>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</si>
  <si>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</si>
  <si>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</si>
  <si>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</si>
  <si>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</si>
  <si>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</si>
  <si>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</si>
  <si>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</si>
  <si>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</si>
  <si>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</si>
  <si>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</si>
  <si>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</si>
  <si>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</si>
  <si>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 xml:space="preserve">Капітальний ремонт водопостачання Хмельницької спеціалізованої загальноосвітньої школи №19 І-ІІІ ступенів імені академіка Михайла Павловського (в тому числі виготовлення проектно-кошторисної документації) 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</si>
  <si>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</si>
  <si>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</si>
  <si>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</si>
  <si>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</si>
  <si>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</si>
  <si>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</si>
  <si>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</si>
  <si>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</si>
  <si>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</si>
  <si>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</si>
  <si>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</si>
  <si>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</si>
  <si>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</si>
  <si>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</si>
  <si>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</si>
  <si>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</si>
  <si>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</si>
  <si>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</si>
  <si>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</si>
  <si>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</si>
  <si>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</si>
  <si>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</si>
  <si>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</si>
  <si>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</si>
  <si>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</si>
  <si>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</si>
  <si>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</si>
  <si>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</si>
  <si>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</si>
  <si>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</si>
  <si>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</si>
  <si>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</si>
  <si>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</si>
  <si>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</si>
  <si>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</si>
  <si>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</si>
  <si>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</si>
  <si>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</si>
  <si>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</si>
  <si>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</si>
  <si>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</si>
  <si>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</si>
  <si>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Капітальний ремонт огорожі ДНЗ №35 (в тому числі виготовлення проектно-кошторисної документації)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</si>
  <si>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</si>
  <si>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</si>
  <si>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</si>
  <si>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</si>
  <si>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</si>
  <si>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</si>
  <si>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</si>
  <si>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</si>
  <si>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</si>
  <si>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</si>
  <si>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</si>
  <si>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</si>
  <si>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</si>
  <si>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</si>
  <si>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</si>
  <si>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</si>
  <si>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</si>
  <si>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</si>
  <si>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</si>
  <si>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</si>
  <si>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</si>
  <si>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</si>
  <si>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</si>
  <si>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</si>
  <si>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</si>
  <si>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r>
      <t>Разом  доходів (</t>
    </r>
    <r>
      <rPr>
        <b/>
        <sz val="12"/>
        <rFont val="Times New Roman"/>
        <family val="1"/>
        <charset val="204"/>
      </rPr>
      <t>з врахуванням міжбюджетних трансфертів)</t>
    </r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</si>
  <si>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</si>
  <si>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</si>
  <si>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</si>
  <si>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</si>
  <si>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</si>
  <si>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</si>
  <si>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</si>
  <si>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</si>
  <si>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</si>
  <si>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</si>
  <si>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</si>
  <si>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</si>
  <si>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</si>
  <si>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</si>
  <si>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</si>
  <si>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</si>
  <si>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</si>
  <si>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</si>
  <si>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</si>
  <si>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</si>
  <si>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</si>
  <si>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</si>
  <si>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</si>
  <si>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</si>
  <si>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</si>
  <si>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</si>
  <si>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</si>
  <si>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</si>
  <si>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</si>
  <si>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</si>
  <si>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</si>
  <si>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</si>
  <si>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</si>
  <si>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</si>
  <si>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</si>
  <si>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</si>
  <si>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</si>
  <si>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</si>
  <si>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</si>
  <si>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</si>
  <si>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</si>
  <si>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</si>
  <si>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</si>
  <si>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</si>
  <si>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</si>
  <si>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</si>
  <si>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</si>
  <si>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</si>
  <si>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</si>
  <si>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</si>
  <si>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</si>
  <si>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</si>
  <si>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</si>
  <si>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</si>
  <si>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</si>
  <si>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</si>
  <si>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</si>
  <si>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</si>
  <si>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</si>
  <si>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</si>
  <si>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</si>
  <si>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</si>
  <si>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</si>
  <si>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</si>
  <si>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</si>
  <si>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</si>
  <si>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</si>
  <si>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</si>
  <si>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</si>
  <si>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</si>
  <si>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</si>
  <si>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</si>
  <si>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</si>
  <si>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</si>
  <si>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</si>
  <si>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</si>
  <si>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</si>
  <si>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</si>
  <si>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</si>
  <si>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</si>
  <si>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</si>
  <si>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</si>
  <si>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</si>
  <si>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</si>
  <si>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</si>
  <si>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</si>
  <si>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</si>
  <si>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</si>
  <si>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</si>
  <si>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</si>
  <si>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</si>
  <si>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</si>
  <si>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</si>
  <si>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</si>
  <si>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</si>
  <si>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</si>
  <si>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</si>
  <si>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</si>
  <si>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</si>
  <si>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</si>
  <si>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</si>
  <si>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</si>
  <si>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</si>
  <si>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</si>
  <si>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</si>
  <si>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</si>
  <si>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</si>
  <si>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</si>
  <si>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</si>
  <si>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</si>
  <si>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</si>
  <si>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</si>
  <si>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</si>
  <si>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</si>
  <si>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</si>
  <si>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</si>
  <si>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</si>
  <si>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</si>
  <si>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</si>
  <si>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</si>
  <si>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</si>
  <si>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</si>
  <si>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</si>
  <si>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</si>
  <si>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</si>
  <si>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</si>
  <si>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</si>
  <si>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0813200</t>
  </si>
  <si>
    <t>3200</t>
  </si>
  <si>
    <t>Забезпечення обробки інформації з нарахування та виплати допомог і компенсацій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</si>
  <si>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</si>
  <si>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</si>
  <si>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</si>
  <si>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</si>
  <si>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</si>
  <si>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</si>
  <si>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</si>
  <si>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</si>
  <si>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</si>
  <si>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</si>
  <si>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</si>
  <si>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</si>
  <si>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</si>
  <si>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</si>
  <si>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</si>
  <si>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</si>
  <si>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</si>
  <si>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</si>
  <si>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</si>
  <si>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</si>
  <si>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</si>
  <si>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</si>
  <si>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</si>
  <si>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</si>
  <si>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</si>
  <si>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</si>
  <si>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</si>
  <si>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</si>
  <si>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</si>
  <si>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</si>
  <si>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</si>
  <si>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</si>
  <si>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</si>
  <si>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</si>
  <si>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</si>
  <si>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</si>
  <si>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</si>
  <si>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</si>
  <si>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</si>
  <si>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</si>
  <si>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</si>
  <si>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</si>
  <si>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</si>
  <si>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</si>
  <si>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</si>
  <si>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</si>
  <si>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</si>
  <si>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</si>
  <si>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</si>
  <si>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</si>
  <si>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</si>
  <si>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</si>
  <si>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</si>
  <si>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</si>
  <si>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</si>
  <si>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</si>
  <si>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</si>
  <si>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</si>
  <si>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</si>
  <si>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</si>
  <si>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</si>
  <si>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</si>
  <si>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</si>
  <si>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</si>
  <si>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</si>
  <si>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</si>
  <si>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</si>
  <si>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</si>
  <si>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</si>
  <si>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</si>
  <si>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</si>
  <si>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</si>
  <si>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</si>
  <si>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</si>
  <si>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</si>
  <si>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</si>
  <si>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</si>
  <si>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</si>
  <si>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</si>
  <si>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</si>
  <si>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</si>
  <si>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</si>
  <si>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</si>
  <si>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</si>
  <si>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</si>
  <si>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</si>
  <si>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</si>
  <si>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</si>
  <si>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</si>
  <si>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</si>
  <si>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</si>
  <si>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</si>
  <si>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</si>
  <si>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</si>
  <si>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</si>
  <si>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</si>
  <si>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</si>
  <si>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</si>
  <si>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</si>
  <si>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</si>
  <si>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</si>
  <si>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</si>
  <si>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</si>
  <si>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</si>
  <si>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</si>
  <si>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</si>
  <si>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</si>
  <si>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</si>
  <si>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</si>
  <si>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</si>
  <si>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</si>
  <si>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</si>
  <si>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</si>
  <si>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</si>
  <si>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</si>
  <si>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</si>
  <si>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</si>
  <si>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</si>
  <si>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</si>
  <si>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</si>
  <si>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</si>
  <si>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</si>
  <si>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</si>
  <si>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</si>
  <si>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</si>
  <si>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</si>
  <si>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Програма цифрового розвитку на 2021-2025 роки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</si>
  <si>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</si>
  <si>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</si>
  <si>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</si>
  <si>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</si>
  <si>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</si>
  <si>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</si>
  <si>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</si>
  <si>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</si>
  <si>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</si>
  <si>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</si>
  <si>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</si>
  <si>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</si>
  <si>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</si>
  <si>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</si>
  <si>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</si>
  <si>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</si>
  <si>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</si>
  <si>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</si>
  <si>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</si>
  <si>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</si>
  <si>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</si>
  <si>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</si>
  <si>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</si>
  <si>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</si>
  <si>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</si>
  <si>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</si>
  <si>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</si>
  <si>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</si>
  <si>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</si>
  <si>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</si>
  <si>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</si>
  <si>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</si>
  <si>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</si>
  <si>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</si>
  <si>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</si>
  <si>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</si>
  <si>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</si>
  <si>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</si>
  <si>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</si>
  <si>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</si>
  <si>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</si>
  <si>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</si>
  <si>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</si>
  <si>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</si>
  <si>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</si>
  <si>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</si>
  <si>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</si>
  <si>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</si>
  <si>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</si>
  <si>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</si>
  <si>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</si>
  <si>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</si>
  <si>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</si>
  <si>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</si>
  <si>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</si>
  <si>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</si>
  <si>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</si>
  <si>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</si>
  <si>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</si>
  <si>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</si>
  <si>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</si>
  <si>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</si>
  <si>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</si>
  <si>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</si>
  <si>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</si>
  <si>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</si>
  <si>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</si>
  <si>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</si>
  <si>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</si>
  <si>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</si>
  <si>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</si>
  <si>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</si>
  <si>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</si>
  <si>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</si>
  <si>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</si>
  <si>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</si>
  <si>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</si>
  <si>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</si>
  <si>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</si>
  <si>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</si>
  <si>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</si>
  <si>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</si>
  <si>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</si>
  <si>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</si>
  <si>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</si>
  <si>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</si>
  <si>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</si>
  <si>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</si>
  <si>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</si>
  <si>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</si>
  <si>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</si>
  <si>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</si>
  <si>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</si>
  <si>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</si>
  <si>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</si>
  <si>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</si>
  <si>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</si>
  <si>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</si>
  <si>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</si>
  <si>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</si>
  <si>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</si>
  <si>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</si>
  <si>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</si>
  <si>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</si>
  <si>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</si>
  <si>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</si>
  <si>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</si>
  <si>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</si>
  <si>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</si>
  <si>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</si>
  <si>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</si>
  <si>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</si>
  <si>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</si>
  <si>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</si>
  <si>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</si>
  <si>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</si>
  <si>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</si>
  <si>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</si>
  <si>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</si>
  <si>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</si>
  <si>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</si>
  <si>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</si>
  <si>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</si>
  <si>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</si>
  <si>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</si>
  <si>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</si>
  <si>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</si>
  <si>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</si>
  <si>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</si>
  <si>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 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</si>
  <si>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</si>
  <si>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</si>
  <si>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>Капітальний ремонт пожежної сигналізації на об'єкті: ДНЗ №18 "Зірочка", що знаходиться за адресою: Хмельницька область, м.Хмельницький, вул. Кам'янецька 65/1 (в тому числі виготовлення проєктно-кошторисної документації)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</si>
  <si>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</si>
  <si>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районної ради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</si>
  <si>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СЗОШ №7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</si>
  <si>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</si>
  <si>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 xml:space="preserve">Капітальний ремонт сантехнічних мереж приміщення СЗОШ №14 (в тому числі виготовлення проєктно-кошторисної документації) </t>
  </si>
  <si>
    <t>Виготовлення проєктно-кошторисної документації на реконструкцію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№18 І-ІІІ ступенів ім.В.Чорновола за адресою: м.Хмельницький, вул. Купріна, 12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</si>
  <si>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</si>
  <si>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Реконструкція будівлі Шаровечківської ЗОШ І-ІІІ ст. за адресою: с. Шаровечка, вул. Шкільна, 10 Хмельницького району Хмельницької  області</t>
  </si>
  <si>
    <t xml:space="preserve">Капітальний ремонт сантехнічних мереж приміщення НВК №2 (в тому числі виготовлення проєктно-кошторисної документації) </t>
  </si>
  <si>
    <t xml:space="preserve">Капітальний ремонт ігрового майданчика СЗОШ №32 (в тому числі виготовлення проєктно-кошторисної документації) 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</si>
  <si>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</si>
  <si>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</si>
  <si>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</si>
  <si>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</si>
  <si>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</si>
  <si>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</si>
  <si>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Капітальний ремонт пожежної сигналізації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</si>
  <si>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сантехнічних мереж приміщення Хмельницького колегіуму імені Володимира Козубняка (в тому числі виготовлення проєктно-кошторисної документації) </t>
  </si>
  <si>
    <t xml:space="preserve">Капітальний ремонт сантехнічних мереж приміщення НВО №28 (в тому числі виготовлення проєктно-кошторисної документації) 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</si>
  <si>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</si>
  <si>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Капітальний ремонт огорожі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</si>
  <si>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>Капітальний ремонт існуючих приміщень корпусу №1 ДНЗ №25 "Калинонька", по провулку Маяковського, 17 в м.Хмельницькому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</si>
  <si>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</si>
  <si>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</si>
  <si>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</si>
  <si>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</si>
  <si>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з теплоізоляції (термомодернізації) цоколя Хмельницької середньої загальноосвітньої школи І-ІІІ ступенів №14 за адресою: вул. Спортивна, 17, в м.Хмельницькому (в тому числі виготовлення проєктно-кошторисної документації)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</si>
  <si>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</si>
  <si>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існуючого приміщення Хмельницького НВК №4 по вул.Перемоги, 9 під спортивну залу для початкових класів та шкільний буфет (в тому числі виготовлення проєктно-кошторисної документації)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</si>
  <si>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</si>
  <si>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</si>
  <si>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</si>
  <si>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</si>
  <si>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</si>
  <si>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</si>
  <si>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</si>
  <si>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 xml:space="preserve"> Виготовлення проєктно-кошторисної документації на капітальний ремонт приміщення  НВК №10 м.Хмельницького (приміщення тиру)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</si>
  <si>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</si>
  <si>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</si>
  <si>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</si>
  <si>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</si>
  <si>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</si>
  <si>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</si>
  <si>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</si>
  <si>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</si>
  <si>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</si>
  <si>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</si>
  <si>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</si>
  <si>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</si>
  <si>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</si>
  <si>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</si>
  <si>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</si>
  <si>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</si>
  <si>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</si>
  <si>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</si>
  <si>
    <t>Внески до статутного капіталу ХКП "Спецкомунтранс" (Розробка техніко-економічного обґрунтування з поділом на черги реконструкції полігону твердих побутових відходів з метою запобігання виникнення надзвичайної екологічної ситуації за адресою м. Хмельницький, вул. Проспект Миру, 7)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</si>
  <si>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</si>
  <si>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</si>
  <si>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</si>
  <si>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документації))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</si>
  <si>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</si>
  <si>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</si>
  <si>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</si>
  <si>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</si>
  <si>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</si>
  <si>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</si>
  <si>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</si>
  <si>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</si>
  <si>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</si>
  <si>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</si>
  <si>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</si>
  <si>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</si>
  <si>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</si>
  <si>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</si>
  <si>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</si>
  <si>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</si>
  <si>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</si>
  <si>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 xml:space="preserve">Програма зайнятості населення Хмельницької міської територіальної громади на 2021-2023 роки 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</si>
  <si>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</si>
  <si>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</si>
  <si>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</si>
  <si>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</si>
  <si>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</si>
  <si>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</si>
  <si>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</si>
  <si>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</si>
  <si>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</si>
  <si>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</si>
  <si>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Будівництво навчально-виховного комплексу на вул. Залізняка, 32 в м.Хмельницькому (коригування)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</si>
  <si>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</si>
  <si>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</si>
  <si>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Будівництво внутрішньоквартального проїзду між земельними ділянками по вул.Старокостянтинівське шосе, 2/1 "З" в м.Хмельницькому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</si>
  <si>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вул.Кам'янецькій, 38 в м. Хмельницькому</t>
  </si>
  <si>
    <t>Будівництво каналізаційних мереж в мікрорайоні "Озерна" в м.Хмельницькому (в тому числі коригування проєктно-кошторисної документації)</t>
  </si>
  <si>
    <t>Реконструкція мереж водопроводу та каналізації в мікрорайоні "Лезнево" м.Хмельницький  (коригування)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</si>
  <si>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(коригування)</t>
  </si>
  <si>
    <t>2016 - 2022 роки</t>
  </si>
  <si>
    <t>Будівництво вулиці Мельникова (від вул.Зарічанської до вул. Трудової) в м.Хмельницькому (коригування)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</si>
  <si>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</si>
  <si>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</si>
  <si>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</si>
  <si>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Нове будівництво вулиці Лісогринівецької (від вул. Степана Бандери до Старокостянтинівського шосе) в м.Хмельницькому,  в тому числі виготовлення проєктно-кошторисної документації </t>
  </si>
  <si>
    <t>Керуючий справами виконавчого комітету</t>
  </si>
  <si>
    <t>Ю. САБІЙ</t>
  </si>
  <si>
    <t>Капітальний ремонт утеплення фасаду та сходового майданчика перед палацом творчості дітей та юнацтва по вул.Свободи, 2/1 в м.Хмельницькому (коригування)</t>
  </si>
  <si>
    <t xml:space="preserve">Капітальний ремонт спортивного майданчика на території Хмельницької середньої загальноосвітньої школи І-ІІІ ступенів №22 імені Олега Ольжича, за адресою: вул Зарічанська, 20/1, в м. Хмельницькому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</si>
  <si>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</t>
  </si>
  <si>
    <t>Капітальний ремонт прилеглої території Хмельницької дитячої школи мистецтв "Райдуга" по вул. Курчатова, 9 в м.Хмельницькому (коригування)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</si>
  <si>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М.Мазура, 17 в м. Хмельницькому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</si>
  <si>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 вул.Центральна, 29 в с. Пирогівці Хмельницького району Хмельницької області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</si>
  <si>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</si>
  <si>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</si>
  <si>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</t>
  </si>
  <si>
    <t>Капітальний ремонт підвальних приміщень з влаштуванням дренажної системи дошкільного навчального закладу №6 "Колобок" по вул. Львівське шосе, 43/2 в м. Хмельницькому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</si>
  <si>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</si>
  <si>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</si>
  <si>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</si>
  <si>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</si>
  <si>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</si>
  <si>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</si>
  <si>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</si>
  <si>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</si>
  <si>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</si>
  <si>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</si>
  <si>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</si>
  <si>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 Хмельницькому (в тому числі виготовлення проєктно-кошторисної документації) </t>
  </si>
  <si>
    <t xml:space="preserve">Реконструкція плоского покриття з улаштуванням шатрового даху над приміщеннями спортивного та актового залу Хмельницької спеціалізованої загальноосвітньої школи №19 І-ІІІ ступенів ім.академіка М. Павловського по вул.Кам'янецькій, 164 в м.Хмельницькому  (в тому числі виготовлення проєктно-кошторисної документації) 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</si>
  <si>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м.Хмельницькому (в тому числі виготовлення проєктно-кошторисної документації) </t>
  </si>
  <si>
    <t xml:space="preserve"> Реконструкція з добудовою приміщень Хмельницького ліцею №17 під спортивну залу на вул. Героїв Майдану, 5 в м.Хмельницькому (коригування)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</si>
  <si>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</si>
  <si>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</si>
  <si>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</si>
  <si>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</si>
  <si>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</si>
  <si>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</si>
  <si>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</si>
  <si>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</si>
  <si>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</si>
  <si>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</si>
  <si>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</si>
  <si>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</si>
  <si>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</si>
  <si>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 xml:space="preserve">Внески до статутного капіталу комунального підприємства "Хмельницька інфекційна лікарня" Хмельницької міської ради (Монтаж системи киснепостачання корпусу №1 КП«Хмельницька інфекційна лікарня» за адресою: м. Хмельницький, вул. Сковороди,17) (в тому числі виготовлення проектно-кошторисної документації) 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</si>
  <si>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</si>
  <si>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</si>
  <si>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</si>
  <si>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</si>
  <si>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</si>
  <si>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Поліклініки №4 КП "Хмельницький міський лікувально-діагностичний центр" Хмельницької міської ради на вул. Молодіжна, 9 у м. Хмельницькому)</t>
  </si>
  <si>
    <t>2011 - 2025 роки</t>
  </si>
  <si>
    <t xml:space="preserve">Капітальний ремонт - електропостачання 269 житлових будинків ГО «Хмельницький кооператив співвласників земельних ділянок - Мрія» в м. Хмельницькому, мікрорайон «Дубово» Хмельницького району Хмельницької області (І та ІІ черга) </t>
  </si>
  <si>
    <t>Внески до статутного капіталу КП по будівництву, ремонту та експлуатації доріг (Придбання відвалів снігоочисних поворотних)</t>
  </si>
  <si>
    <t>Внески до статутного капіталу КП по будівництву, ремонту та експлуатації доріг (Придбання відвалів снігоочисних поворотних типу ФПВ)</t>
  </si>
  <si>
    <t>Внески до статутного капіталу ХКП "Спецкомунтранс" (Розробка техніко-економічного обґрунтування будівництва комплексу переробки твердих побутових відходів (коригування)</t>
  </si>
  <si>
    <t>Внески до статутного капіталу ХКП "Спецкомунтранс"(придбання пандусу)</t>
  </si>
  <si>
    <t>Внески до статутного капіталу ХКП "Спецкомунтранс"(придбання насоса занурювального)</t>
  </si>
  <si>
    <t>Внески до статутного капіталу МКП "Хмельницькводоканал"  (Нове будівництво зовнішніх мереж водопостачання вулиць Старосадова,Яблунева, Пшенична, Ланок, Багалія, Колективна мікрорайону Книжківці в м. Хиельницький)</t>
  </si>
  <si>
    <t>Внески до статутного капіталу ХКП "Спецкомунтранс" (Придбання накидного кільця)</t>
  </si>
  <si>
    <t>2021 - 2022 роки</t>
  </si>
  <si>
    <t>Внески до статутного капіталу ХКП "Спецкомунтранс"("Капітальний ремонт частини нежитлового приміщення за адресою м.Хмельницький, вул. Марка Кропивницького, 6А")</t>
  </si>
  <si>
    <t xml:space="preserve"> Реконструкція парку-пам'ятки садово-паркового мистецтва місцевого значення "Парк ім. М.Чекмана. Ділянка колеса огляду. 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</si>
  <si>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</si>
  <si>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</si>
  <si>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</si>
  <si>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</si>
  <si>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</si>
  <si>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</si>
  <si>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</si>
  <si>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</si>
  <si>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</si>
  <si>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</si>
  <si>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</si>
  <si>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</si>
  <si>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</si>
  <si>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</si>
  <si>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</si>
  <si>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</si>
  <si>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</si>
  <si>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Мирного,5 м. Хмельницького (коригування)</t>
  </si>
  <si>
    <t>Реконструкція існуючих газових мереж з заміною ВОГ теплогенераторної учбового корпусу Шаровечківської ЗОШ І-ІІІ ст. Хмельницької міської ради по вул.Шкільна,10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</si>
  <si>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вул.Трублаїні,25 в с.Черепівка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</si>
  <si>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Олешинської гімназії Хмельницької міської ради по вул.Шкільна,17а в с.Олешин Хмельницької області (в тому числі виготовлення проєктно-кошторисної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</si>
  <si>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м. Хмельницький (коригування)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</si>
  <si>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</si>
  <si>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</si>
  <si>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</si>
  <si>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(в тому числі виготовлення проєктно-кошторисної документації)</t>
  </si>
  <si>
    <t>Реконструкція системи газопостачання "Технічне переоснащення існуючих газових мереж з зміною ВОГ теплогенераторної ДЮСШ №1 по вул. Спортивній,17 в м. Хмельницькому"</t>
  </si>
  <si>
    <t>Виготовлення проєктно-кошторисної документації на об'єкт: Реконструкція системи освітлення футбольного поля на території  СК "Поділля" ДЮСШ №1 по вул. Проскурівській, 81 в м.Хмельницькому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</si>
  <si>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</si>
  <si>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</si>
  <si>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</si>
  <si>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</si>
  <si>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</si>
  <si>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</si>
  <si>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</si>
  <si>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</si>
  <si>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</si>
  <si>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Заміна газового котла без зміни потужності по вул. Житецького, 22 в м.Хмельницькому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</si>
  <si>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</si>
  <si>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</si>
  <si>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</si>
  <si>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</si>
  <si>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Проєкт Комплексної програми мобілізації зусиль ХМР та ГУ ДПС у Хмельницькій області по забезпеченню надходжень до бюджетів усіх рівнів на 2021-2023 роки </t>
  </si>
  <si>
    <t xml:space="preserve"> Внутрішні зобов'язання </t>
  </si>
  <si>
    <t>Реконструкція існуючих газових мереж з заміною ВОГ теплогенераторної Водичківської гімназії Хмельницької міської ради по вул.Подільська,9 в селі Водички Хмельницької області (в тому числі виготовлення проєктно-кошторисної документації)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</si>
  <si>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</si>
  <si>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</si>
  <si>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</si>
  <si>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</si>
  <si>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</si>
  <si>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</si>
  <si>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Внески до статутного капіталу ХКП "Спецкомунтранс"(придбання гусеничного сходового підйомника)</t>
  </si>
  <si>
    <t>Внески до статутного капіталу ХКП "Спецкомунтранс" (Нове будівництво нежитлового приміщення за адресою: вул. Заводська, 165 в м.Хмельницькому)</t>
  </si>
  <si>
    <t xml:space="preserve">Керуючий справами </t>
  </si>
  <si>
    <t>Ю. САБІЙ</t>
  </si>
  <si>
    <t xml:space="preserve">Керуючий  справами </t>
  </si>
  <si>
    <t xml:space="preserve">Ю. САБІЙ </t>
  </si>
  <si>
    <t>Коригування проєктно-кошторисної документації на "Будівництво автодорожнього тунелю під залізничними коліями на перегоні Хмельницький - Гречани ПК 12256+71.00 в м. Хмельницькому"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</si>
  <si>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</si>
  <si>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приміщень інфекційного відділення поліклініки №4 на вул. Молодіжній, 9 у м.Хмельницькому)</t>
  </si>
  <si>
    <t>Капітальний ремонт приміщення для облаштування в ньому притулку для осіб, постраждалих від домашнього насильства за адресою: вул.Заводська,4-А, с.Богданівці Хмельницького району Хмельницької області</t>
  </si>
  <si>
    <t>Виготовлення проєктно-кошторисної документації на капітальний ремонт з впровадженням заходів по енергозбереженню в Хмельницькому закладів дошкільної освіти №55 "Сонечко", що за адресою: пров. Козацький, 47/2, м.Хмельницький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</si>
  <si>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суспільно-побутовий блок, блок теоритичних занять та корпус майстерень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</si>
  <si>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до рішення № 625  від  06.07. 2021 року</t>
  </si>
  <si>
    <t>до рішення № 625</t>
  </si>
  <si>
    <t>від 06.07.2021</t>
  </si>
  <si>
    <t xml:space="preserve">до рішення  № 625   від  06.07. 2021 року </t>
  </si>
  <si>
    <t>Додаток 4
до рішення  № 625   від 06.07. 2021 року</t>
  </si>
  <si>
    <t>до рішення № 625 від 06.07. 2021 року</t>
  </si>
  <si>
    <t xml:space="preserve">Додаток 6
до рішення № 625  від 06.07. 2021 року
</t>
  </si>
  <si>
    <t xml:space="preserve">до рішення  № 625  від 06.07.2021 року </t>
  </si>
  <si>
    <t>до рішення №  625</t>
  </si>
  <si>
    <t xml:space="preserve"> від  06.07.2021</t>
  </si>
  <si>
    <t>від  06.07.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</si>
</sst>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_₴_-;\-* #,##0.00_₴_-;_-* &quot;-&quot;??_₴_-;_-@_-"/>
    <numFmt numFmtId="167" formatCode="_-* #,##0.00_₴_-;\-* #,##0.00_₴_-;_-* \-??_₴_-;_-@_-"/>
  </numFmts>
  <fonts count="14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36"/>
      <color rgb="FF000099"/>
      <name val="Times New Roman"/>
      <family val="1"/>
      <charset val="204"/>
    </font>
    <font>
      <sz val="10"/>
      <color rgb="FF000099"/>
      <name val="Arial Cyr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27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CFAFE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  <fill>
      <gradientFill degree="270">
        <stop position="0">
          <color theme="0"/>
        </stop>
        <stop position="1">
          <color rgb="FFFFFF99"/>
        </stop>
      </gradient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51" fillId="0" borderId="0"/>
    <xf numFmtId="0" fontId="32" fillId="0" borderId="0"/>
    <xf numFmtId="0" fontId="9" fillId="0" borderId="0"/>
    <xf numFmtId="0" fontId="51" fillId="0" borderId="0"/>
    <xf numFmtId="0" fontId="9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51" fillId="0" borderId="0"/>
    <xf numFmtId="0" fontId="11" fillId="0" borderId="0"/>
    <xf numFmtId="0" fontId="64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3" borderId="0" applyNumberFormat="0" applyBorder="0" applyAlignment="0" applyProtection="0"/>
    <xf numFmtId="0" fontId="74" fillId="2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13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22" borderId="0" applyNumberFormat="0" applyBorder="0" applyAlignment="0" applyProtection="0"/>
    <xf numFmtId="0" fontId="22" fillId="2" borderId="1" applyNumberFormat="0" applyAlignment="0" applyProtection="0"/>
    <xf numFmtId="0" fontId="76" fillId="23" borderId="10" applyNumberFormat="0" applyAlignment="0" applyProtection="0"/>
    <xf numFmtId="0" fontId="77" fillId="23" borderId="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11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9" fillId="4" borderId="0" applyNumberFormat="0" applyBorder="0" applyAlignment="0" applyProtection="0"/>
    <xf numFmtId="0" fontId="80" fillId="8" borderId="0" applyNumberFormat="0" applyBorder="0" applyAlignment="0" applyProtection="0"/>
    <xf numFmtId="0" fontId="81" fillId="0" borderId="0" applyNumberFormat="0" applyFill="0" applyBorder="0" applyAlignment="0" applyProtection="0"/>
    <xf numFmtId="0" fontId="74" fillId="24" borderId="12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8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8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74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139" fillId="0" borderId="0" applyNumberFormat="0" applyFill="0" applyBorder="0" applyAlignment="0" applyProtection="0"/>
    <xf numFmtId="0" fontId="49" fillId="0" borderId="0"/>
    <xf numFmtId="0" fontId="74" fillId="0" borderId="0"/>
    <xf numFmtId="0" fontId="98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88" fillId="0" borderId="0"/>
    <xf numFmtId="0" fontId="64" fillId="0" borderId="0"/>
    <xf numFmtId="0" fontId="88" fillId="0" borderId="0"/>
    <xf numFmtId="0" fontId="11" fillId="0" borderId="0"/>
    <xf numFmtId="0" fontId="15" fillId="0" borderId="0"/>
    <xf numFmtId="0" fontId="64" fillId="0" borderId="0"/>
    <xf numFmtId="0" fontId="74" fillId="0" borderId="0"/>
    <xf numFmtId="0" fontId="74" fillId="0" borderId="0"/>
    <xf numFmtId="0" fontId="15" fillId="0" borderId="0"/>
    <xf numFmtId="0" fontId="15" fillId="0" borderId="0"/>
    <xf numFmtId="0" fontId="74" fillId="0" borderId="0"/>
    <xf numFmtId="0" fontId="9" fillId="0" borderId="0"/>
    <xf numFmtId="0" fontId="1" fillId="0" borderId="0"/>
    <xf numFmtId="0" fontId="1" fillId="0" borderId="0"/>
    <xf numFmtId="0" fontId="88" fillId="0" borderId="0"/>
    <xf numFmtId="0" fontId="13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8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38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902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4" fillId="0" borderId="0" xfId="0" applyFont="1" applyAlignment="1">
      <alignment horizontal="right" vertical="center"/>
    </xf>
    <xf numFmtId="0" fontId="15" fillId="0" borderId="0" xfId="35" applyFont="1"/>
    <xf numFmtId="0" fontId="11" fillId="0" borderId="0" xfId="35"/>
    <xf numFmtId="4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1" fillId="0" borderId="0" xfId="39" applyAlignment="1">
      <alignment vertical="center" wrapText="1"/>
    </xf>
    <xf numFmtId="0" fontId="34" fillId="0" borderId="0" xfId="39" applyFont="1" applyAlignment="1">
      <alignment wrapText="1"/>
    </xf>
    <xf numFmtId="0" fontId="35" fillId="0" borderId="0" xfId="39" applyFont="1" applyAlignment="1">
      <alignment wrapText="1"/>
    </xf>
    <xf numFmtId="0" fontId="57" fillId="0" borderId="0" xfId="39" applyFont="1" applyAlignment="1">
      <alignment wrapText="1"/>
    </xf>
    <xf numFmtId="0" fontId="11" fillId="0" borderId="0" xfId="39" applyAlignment="1">
      <alignment wrapText="1"/>
    </xf>
    <xf numFmtId="0" fontId="16" fillId="0" borderId="0" xfId="39" applyFont="1"/>
    <xf numFmtId="0" fontId="21" fillId="0" borderId="0" xfId="0" applyFont="1"/>
    <xf numFmtId="0" fontId="66" fillId="0" borderId="0" xfId="35" applyFont="1"/>
    <xf numFmtId="0" fontId="17" fillId="0" borderId="0" xfId="35" applyFont="1" applyAlignment="1">
      <alignment horizontal="center" vertical="center" wrapText="1"/>
    </xf>
    <xf numFmtId="0" fontId="20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/>
    </xf>
    <xf numFmtId="0" fontId="66" fillId="0" borderId="0" xfId="35" applyFont="1" applyAlignment="1">
      <alignment horizontal="center"/>
    </xf>
    <xf numFmtId="0" fontId="20" fillId="0" borderId="0" xfId="35" applyFont="1" applyAlignment="1">
      <alignment horizontal="right"/>
    </xf>
    <xf numFmtId="0" fontId="66" fillId="0" borderId="8" xfId="35" applyFont="1" applyBorder="1"/>
    <xf numFmtId="0" fontId="66" fillId="0" borderId="9" xfId="35" applyFont="1" applyBorder="1"/>
    <xf numFmtId="0" fontId="57" fillId="0" borderId="0" xfId="35" applyFont="1"/>
    <xf numFmtId="0" fontId="67" fillId="0" borderId="0" xfId="35" applyFont="1"/>
    <xf numFmtId="0" fontId="64" fillId="0" borderId="0" xfId="36">
      <alignment vertical="top"/>
    </xf>
    <xf numFmtId="2" fontId="64" fillId="0" borderId="0" xfId="36" applyNumberFormat="1" applyAlignment="1">
      <alignment horizontal="center" vertical="top"/>
    </xf>
    <xf numFmtId="0" fontId="70" fillId="0" borderId="0" xfId="36" applyFont="1" applyAlignment="1">
      <alignment horizontal="center" vertical="top" wrapText="1"/>
    </xf>
    <xf numFmtId="2" fontId="70" fillId="0" borderId="0" xfId="36" applyNumberFormat="1" applyFont="1" applyAlignment="1">
      <alignment horizontal="center" vertical="top" wrapText="1"/>
    </xf>
    <xf numFmtId="165" fontId="15" fillId="0" borderId="0" xfId="36" applyNumberFormat="1" applyFont="1" applyAlignment="1">
      <alignment horizontal="center" vertical="top"/>
    </xf>
    <xf numFmtId="0" fontId="72" fillId="0" borderId="0" xfId="38" applyFont="1" applyAlignment="1" applyProtection="1">
      <alignment horizontal="left" vertical="center" wrapText="1"/>
      <protection locked="0"/>
    </xf>
    <xf numFmtId="0" fontId="70" fillId="0" borderId="0" xfId="36" applyFont="1" applyAlignment="1">
      <alignment horizontal="left" vertical="top" wrapText="1"/>
    </xf>
    <xf numFmtId="0" fontId="53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85" fillId="0" borderId="0" xfId="0" applyFont="1" applyAlignment="1">
      <alignment horizontal="center" vertical="center"/>
    </xf>
    <xf numFmtId="4" fontId="85" fillId="0" borderId="0" xfId="0" applyNumberFormat="1" applyFont="1" applyAlignment="1">
      <alignment horizontal="center" vertical="center"/>
    </xf>
    <xf numFmtId="4" fontId="89" fillId="0" borderId="0" xfId="0" applyNumberFormat="1" applyFont="1" applyAlignment="1">
      <alignment vertical="center"/>
    </xf>
    <xf numFmtId="4" fontId="14" fillId="0" borderId="0" xfId="0" applyNumberFormat="1" applyFont="1"/>
    <xf numFmtId="0" fontId="90" fillId="0" borderId="0" xfId="35" applyFont="1"/>
    <xf numFmtId="0" fontId="50" fillId="0" borderId="0" xfId="39" applyFont="1" applyAlignment="1">
      <alignment wrapText="1"/>
    </xf>
    <xf numFmtId="0" fontId="91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92" fillId="0" borderId="0" xfId="0" applyFont="1" applyAlignment="1">
      <alignment vertical="center"/>
    </xf>
    <xf numFmtId="4" fontId="93" fillId="0" borderId="0" xfId="0" applyNumberFormat="1" applyFont="1" applyAlignment="1">
      <alignment vertical="center"/>
    </xf>
    <xf numFmtId="4" fontId="94" fillId="0" borderId="0" xfId="0" applyNumberFormat="1" applyFont="1" applyAlignment="1">
      <alignment vertical="center"/>
    </xf>
    <xf numFmtId="0" fontId="94" fillId="0" borderId="0" xfId="0" applyFont="1" applyAlignment="1">
      <alignment vertical="center"/>
    </xf>
    <xf numFmtId="4" fontId="92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52" fillId="0" borderId="0" xfId="35" applyFont="1"/>
    <xf numFmtId="0" fontId="86" fillId="0" borderId="0" xfId="0" applyFont="1" applyAlignment="1">
      <alignment horizontal="center" vertical="center"/>
    </xf>
    <xf numFmtId="4" fontId="86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42" fillId="0" borderId="0" xfId="0" applyFont="1" applyAlignment="1">
      <alignment horizontal="right"/>
    </xf>
    <xf numFmtId="0" fontId="89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7" fillId="0" borderId="0" xfId="36" applyFont="1">
      <alignment vertical="top"/>
    </xf>
    <xf numFmtId="0" fontId="97" fillId="0" borderId="0" xfId="35" applyFont="1"/>
    <xf numFmtId="0" fontId="46" fillId="0" borderId="0" xfId="35" applyFont="1"/>
    <xf numFmtId="0" fontId="64" fillId="0" borderId="0" xfId="36" applyAlignment="1">
      <alignment vertical="center"/>
    </xf>
    <xf numFmtId="0" fontId="15" fillId="0" borderId="0" xfId="36" applyFont="1" applyAlignment="1">
      <alignment horizontal="right" vertical="center"/>
    </xf>
    <xf numFmtId="0" fontId="0" fillId="0" borderId="0" xfId="0" applyFont="1"/>
    <xf numFmtId="0" fontId="16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66" fillId="0" borderId="0" xfId="35" applyFont="1"/>
    <xf numFmtId="0" fontId="17" fillId="0" borderId="0" xfId="35" applyFont="1" applyAlignment="1">
      <alignment horizontal="center" vertical="center" wrapText="1"/>
    </xf>
    <xf numFmtId="0" fontId="64" fillId="0" borderId="0" xfId="36">
      <alignment vertical="top"/>
    </xf>
    <xf numFmtId="0" fontId="68" fillId="0" borderId="0" xfId="36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top"/>
    </xf>
    <xf numFmtId="2" fontId="15" fillId="0" borderId="13" xfId="36" applyNumberFormat="1" applyFont="1" applyFill="1" applyBorder="1" applyAlignment="1">
      <alignment horizontal="center" vertical="center" wrapText="1"/>
    </xf>
    <xf numFmtId="4" fontId="15" fillId="0" borderId="13" xfId="36" applyNumberFormat="1" applyFont="1" applyFill="1" applyBorder="1" applyAlignment="1">
      <alignment horizontal="center" vertical="center"/>
    </xf>
    <xf numFmtId="4" fontId="71" fillId="0" borderId="13" xfId="36" applyNumberFormat="1" applyFont="1" applyFill="1" applyBorder="1" applyAlignment="1">
      <alignment horizontal="center" vertical="center" wrapText="1"/>
    </xf>
    <xf numFmtId="4" fontId="68" fillId="28" borderId="13" xfId="36" applyNumberFormat="1" applyFont="1" applyFill="1" applyBorder="1" applyAlignment="1">
      <alignment horizontal="center" vertical="center" wrapText="1"/>
    </xf>
    <xf numFmtId="0" fontId="68" fillId="28" borderId="13" xfId="0" applyFont="1" applyFill="1" applyBorder="1" applyAlignment="1">
      <alignment horizontal="center" vertical="center"/>
    </xf>
    <xf numFmtId="0" fontId="0" fillId="29" borderId="0" xfId="0" applyFill="1"/>
    <xf numFmtId="0" fontId="66" fillId="0" borderId="0" xfId="35" applyFont="1"/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top" wrapText="1"/>
    </xf>
    <xf numFmtId="0" fontId="35" fillId="0" borderId="13" xfId="35" applyFont="1" applyBorder="1" applyAlignment="1">
      <alignment horizontal="center" vertical="top" wrapText="1"/>
    </xf>
    <xf numFmtId="0" fontId="46" fillId="29" borderId="0" xfId="35" applyFont="1" applyFill="1" applyAlignment="1">
      <alignment horizontal="center" vertical="center"/>
    </xf>
    <xf numFmtId="0" fontId="11" fillId="0" borderId="0" xfId="35" applyFill="1"/>
    <xf numFmtId="2" fontId="15" fillId="0" borderId="13" xfId="36" applyNumberFormat="1" applyFont="1" applyFill="1" applyBorder="1" applyAlignment="1">
      <alignment horizontal="center" vertical="center" wrapText="1"/>
    </xf>
    <xf numFmtId="0" fontId="0" fillId="0" borderId="0" xfId="0"/>
    <xf numFmtId="0" fontId="4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66" fillId="0" borderId="0" xfId="35" applyFont="1" applyFill="1"/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64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0" fillId="0" borderId="0" xfId="0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44" fillId="0" borderId="0" xfId="39" applyFont="1"/>
    <xf numFmtId="0" fontId="34" fillId="0" borderId="0" xfId="39" applyFont="1"/>
    <xf numFmtId="0" fontId="54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70" fillId="0" borderId="0" xfId="35" applyFont="1" applyAlignment="1">
      <alignment horizontal="center" vertical="center"/>
    </xf>
    <xf numFmtId="0" fontId="70" fillId="0" borderId="0" xfId="35" applyFont="1" applyFill="1" applyAlignment="1">
      <alignment horizontal="center" vertical="center"/>
    </xf>
    <xf numFmtId="0" fontId="15" fillId="0" borderId="0" xfId="39" applyFont="1" applyFill="1"/>
    <xf numFmtId="0" fontId="35" fillId="30" borderId="0" xfId="39" applyFont="1" applyFill="1" applyAlignment="1">
      <alignment wrapText="1"/>
    </xf>
    <xf numFmtId="2" fontId="15" fillId="0" borderId="13" xfId="36" applyNumberFormat="1" applyFont="1" applyFill="1" applyBorder="1" applyAlignment="1">
      <alignment horizontal="center" vertical="center" wrapText="1"/>
    </xf>
    <xf numFmtId="4" fontId="108" fillId="25" borderId="13" xfId="0" applyNumberFormat="1" applyFont="1" applyFill="1" applyBorder="1" applyAlignment="1">
      <alignment horizontal="center" vertical="center" wrapText="1"/>
    </xf>
    <xf numFmtId="49" fontId="106" fillId="25" borderId="13" xfId="0" applyNumberFormat="1" applyFont="1" applyFill="1" applyBorder="1" applyAlignment="1">
      <alignment horizontal="center" vertical="center" wrapText="1"/>
    </xf>
    <xf numFmtId="4" fontId="107" fillId="25" borderId="13" xfId="0" applyNumberFormat="1" applyFont="1" applyFill="1" applyBorder="1" applyAlignment="1">
      <alignment horizontal="center" vertical="center" wrapText="1"/>
    </xf>
    <xf numFmtId="4" fontId="107" fillId="25" borderId="13" xfId="0" applyNumberFormat="1" applyFont="1" applyFill="1" applyBorder="1" applyAlignment="1">
      <alignment horizontal="center" vertical="center"/>
    </xf>
    <xf numFmtId="0" fontId="0" fillId="0" borderId="0" xfId="0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6" fillId="0" borderId="0" xfId="35" applyFont="1"/>
    <xf numFmtId="0" fontId="64" fillId="0" borderId="0" xfId="36">
      <alignment vertical="top"/>
    </xf>
    <xf numFmtId="0" fontId="43" fillId="0" borderId="0" xfId="0" applyFont="1" applyAlignment="1">
      <alignment horizontal="center" vertical="center"/>
    </xf>
    <xf numFmtId="4" fontId="106" fillId="0" borderId="13" xfId="0" applyNumberFormat="1" applyFont="1" applyBorder="1" applyAlignment="1">
      <alignment horizontal="center" vertical="center" wrapText="1"/>
    </xf>
    <xf numFmtId="0" fontId="0" fillId="0" borderId="0" xfId="0"/>
    <xf numFmtId="4" fontId="46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6" fillId="0" borderId="13" xfId="38" applyNumberFormat="1" applyFont="1" applyFill="1" applyBorder="1" applyAlignment="1">
      <alignment horizontal="center" vertical="center" wrapText="1"/>
    </xf>
    <xf numFmtId="164" fontId="44" fillId="0" borderId="13" xfId="30" applyNumberFormat="1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top" wrapText="1"/>
    </xf>
    <xf numFmtId="49" fontId="43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0" fontId="16" fillId="0" borderId="13" xfId="35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/>
    </xf>
    <xf numFmtId="2" fontId="68" fillId="0" borderId="13" xfId="36" applyNumberFormat="1" applyFont="1" applyBorder="1" applyAlignment="1">
      <alignment horizontal="center" vertical="center" wrapText="1"/>
    </xf>
    <xf numFmtId="0" fontId="110" fillId="0" borderId="13" xfId="35" applyFont="1" applyBorder="1" applyAlignment="1">
      <alignment horizontal="center" vertical="top" wrapText="1"/>
    </xf>
    <xf numFmtId="0" fontId="19" fillId="0" borderId="13" xfId="35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28" borderId="13" xfId="0" applyFont="1" applyFill="1" applyBorder="1" applyAlignment="1">
      <alignment horizontal="center" vertical="center"/>
    </xf>
    <xf numFmtId="2" fontId="16" fillId="28" borderId="13" xfId="36" applyNumberFormat="1" applyFont="1" applyFill="1" applyBorder="1" applyAlignment="1">
      <alignment horizontal="left" vertical="center" wrapText="1"/>
    </xf>
    <xf numFmtId="4" fontId="16" fillId="28" borderId="13" xfId="36" applyNumberFormat="1" applyFont="1" applyFill="1" applyBorder="1" applyAlignment="1">
      <alignment horizontal="center" vertical="center" wrapText="1"/>
    </xf>
    <xf numFmtId="0" fontId="0" fillId="0" borderId="0" xfId="0"/>
    <xf numFmtId="49" fontId="106" fillId="0" borderId="13" xfId="0" applyNumberFormat="1" applyFont="1" applyBorder="1" applyAlignment="1">
      <alignment horizontal="center" vertical="center" wrapText="1"/>
    </xf>
    <xf numFmtId="4" fontId="45" fillId="0" borderId="13" xfId="38" applyNumberFormat="1" applyFont="1" applyFill="1" applyBorder="1" applyAlignment="1">
      <alignment horizontal="center" vertical="center" wrapText="1"/>
    </xf>
    <xf numFmtId="49" fontId="112" fillId="0" borderId="13" xfId="0" applyNumberFormat="1" applyFont="1" applyBorder="1" applyAlignment="1">
      <alignment horizontal="center" vertical="center" wrapText="1"/>
    </xf>
    <xf numFmtId="4" fontId="112" fillId="0" borderId="13" xfId="0" applyNumberFormat="1" applyFont="1" applyBorder="1" applyAlignment="1">
      <alignment horizontal="center" vertical="center" wrapText="1"/>
    </xf>
    <xf numFmtId="0" fontId="0" fillId="0" borderId="0" xfId="0"/>
    <xf numFmtId="0" fontId="11" fillId="0" borderId="0" xfId="35" applyFont="1"/>
    <xf numFmtId="0" fontId="0" fillId="0" borderId="0" xfId="0"/>
    <xf numFmtId="0" fontId="0" fillId="0" borderId="0" xfId="0"/>
    <xf numFmtId="0" fontId="0" fillId="0" borderId="0" xfId="0"/>
    <xf numFmtId="0" fontId="11" fillId="27" borderId="0" xfId="35" applyFont="1" applyFill="1"/>
    <xf numFmtId="0" fontId="44" fillId="0" borderId="13" xfId="0" applyFont="1" applyBorder="1" applyAlignment="1">
      <alignment horizontal="center" vertical="top" wrapText="1"/>
    </xf>
    <xf numFmtId="0" fontId="43" fillId="28" borderId="13" xfId="0" applyFont="1" applyFill="1" applyBorder="1" applyAlignment="1">
      <alignment horizontal="center" vertical="center"/>
    </xf>
    <xf numFmtId="0" fontId="43" fillId="28" borderId="13" xfId="0" applyFont="1" applyFill="1" applyBorder="1" applyAlignment="1">
      <alignment horizontal="left" vertical="center"/>
    </xf>
    <xf numFmtId="4" fontId="43" fillId="28" borderId="13" xfId="0" applyNumberFormat="1" applyFont="1" applyFill="1" applyBorder="1" applyAlignment="1">
      <alignment horizontal="center" vertical="center"/>
    </xf>
    <xf numFmtId="4" fontId="35" fillId="28" borderId="13" xfId="0" applyNumberFormat="1" applyFont="1" applyFill="1" applyBorder="1" applyAlignment="1">
      <alignment horizontal="center" vertical="center"/>
    </xf>
    <xf numFmtId="49" fontId="34" fillId="0" borderId="13" xfId="35" applyNumberFormat="1" applyFont="1" applyFill="1" applyBorder="1" applyAlignment="1">
      <alignment horizontal="center" vertical="center" wrapText="1"/>
    </xf>
    <xf numFmtId="0" fontId="34" fillId="0" borderId="13" xfId="35" applyFont="1" applyFill="1" applyBorder="1" applyAlignment="1">
      <alignment horizontal="center" vertical="center" wrapText="1"/>
    </xf>
    <xf numFmtId="4" fontId="34" fillId="0" borderId="13" xfId="35" applyNumberFormat="1" applyFont="1" applyFill="1" applyBorder="1" applyAlignment="1">
      <alignment horizontal="center" vertical="center"/>
    </xf>
    <xf numFmtId="0" fontId="35" fillId="28" borderId="13" xfId="0" applyFont="1" applyFill="1" applyBorder="1" applyAlignment="1">
      <alignment horizontal="center" vertical="center"/>
    </xf>
    <xf numFmtId="0" fontId="35" fillId="28" borderId="13" xfId="0" applyFont="1" applyFill="1" applyBorder="1" applyAlignment="1">
      <alignment horizontal="left" vertical="center"/>
    </xf>
    <xf numFmtId="0" fontId="0" fillId="0" borderId="0" xfId="0"/>
    <xf numFmtId="4" fontId="35" fillId="28" borderId="13" xfId="0" applyNumberFormat="1" applyFont="1" applyFill="1" applyBorder="1" applyAlignment="1">
      <alignment horizontal="left" vertical="center"/>
    </xf>
    <xf numFmtId="0" fontId="0" fillId="0" borderId="0" xfId="0"/>
    <xf numFmtId="0" fontId="44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top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95" fillId="0" borderId="0" xfId="0" applyFont="1" applyAlignment="1">
      <alignment vertical="center"/>
    </xf>
    <xf numFmtId="49" fontId="112" fillId="0" borderId="13" xfId="0" applyNumberFormat="1" applyFont="1" applyBorder="1" applyAlignment="1">
      <alignment horizontal="left" vertical="center" wrapText="1"/>
    </xf>
    <xf numFmtId="49" fontId="44" fillId="0" borderId="13" xfId="0" applyNumberFormat="1" applyFont="1" applyBorder="1" applyAlignment="1">
      <alignment horizontal="left" vertical="center" wrapText="1"/>
    </xf>
    <xf numFmtId="49" fontId="115" fillId="0" borderId="13" xfId="0" applyNumberFormat="1" applyFont="1" applyBorder="1" applyAlignment="1">
      <alignment horizontal="center" vertical="center" wrapText="1"/>
    </xf>
    <xf numFmtId="49" fontId="115" fillId="0" borderId="13" xfId="0" applyNumberFormat="1" applyFont="1" applyBorder="1" applyAlignment="1">
      <alignment horizontal="left" vertical="center" wrapText="1"/>
    </xf>
    <xf numFmtId="4" fontId="115" fillId="0" borderId="13" xfId="0" applyNumberFormat="1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4" fontId="44" fillId="0" borderId="13" xfId="0" applyNumberFormat="1" applyFont="1" applyBorder="1" applyAlignment="1">
      <alignment horizontal="center" vertical="center" wrapText="1"/>
    </xf>
    <xf numFmtId="0" fontId="0" fillId="0" borderId="0" xfId="0"/>
    <xf numFmtId="4" fontId="115" fillId="0" borderId="21" xfId="0" applyNumberFormat="1" applyFont="1" applyBorder="1" applyAlignment="1">
      <alignment horizontal="center" vertical="center" wrapText="1"/>
    </xf>
    <xf numFmtId="0" fontId="44" fillId="0" borderId="0" xfId="0" applyFont="1"/>
    <xf numFmtId="0" fontId="65" fillId="0" borderId="0" xfId="0" applyFont="1" applyAlignment="1">
      <alignment horizontal="center" vertical="center" wrapText="1"/>
    </xf>
    <xf numFmtId="0" fontId="0" fillId="0" borderId="0" xfId="0"/>
    <xf numFmtId="4" fontId="46" fillId="0" borderId="13" xfId="0" applyNumberFormat="1" applyFont="1" applyFill="1" applyBorder="1" applyAlignment="1">
      <alignment horizontal="center" vertical="center"/>
    </xf>
    <xf numFmtId="4" fontId="45" fillId="0" borderId="13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" fontId="108" fillId="0" borderId="13" xfId="0" applyNumberFormat="1" applyFont="1" applyBorder="1" applyAlignment="1">
      <alignment horizontal="center" vertical="center" wrapText="1"/>
    </xf>
    <xf numFmtId="4" fontId="107" fillId="0" borderId="13" xfId="0" applyNumberFormat="1" applyFont="1" applyBorder="1" applyAlignment="1">
      <alignment horizontal="center" vertical="center" wrapText="1"/>
    </xf>
    <xf numFmtId="4" fontId="107" fillId="0" borderId="13" xfId="0" applyNumberFormat="1" applyFont="1" applyBorder="1" applyAlignment="1">
      <alignment horizontal="center" vertical="center"/>
    </xf>
    <xf numFmtId="164" fontId="112" fillId="0" borderId="13" xfId="30" applyNumberFormat="1" applyFont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4" fontId="117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117" fillId="0" borderId="13" xfId="38" applyNumberFormat="1" applyFont="1" applyFill="1" applyBorder="1" applyAlignment="1">
      <alignment horizontal="center" vertical="center" wrapText="1"/>
    </xf>
    <xf numFmtId="4" fontId="114" fillId="0" borderId="13" xfId="38" applyNumberFormat="1" applyFont="1" applyFill="1" applyBorder="1" applyAlignment="1">
      <alignment horizontal="center" vertical="center" wrapText="1"/>
    </xf>
    <xf numFmtId="4" fontId="117" fillId="0" borderId="13" xfId="0" applyNumberFormat="1" applyFont="1" applyFill="1" applyBorder="1" applyAlignment="1">
      <alignment horizontal="center" vertical="center"/>
    </xf>
    <xf numFmtId="4" fontId="117" fillId="0" borderId="13" xfId="0" applyNumberFormat="1" applyFont="1" applyFill="1" applyBorder="1" applyAlignment="1">
      <alignment horizontal="center" vertical="center" wrapText="1"/>
    </xf>
    <xf numFmtId="4" fontId="112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112" fillId="0" borderId="14" xfId="38" applyFont="1" applyFill="1" applyBorder="1" applyAlignment="1" applyProtection="1">
      <alignment horizontal="center" wrapText="1"/>
      <protection locked="0"/>
    </xf>
    <xf numFmtId="0" fontId="112" fillId="0" borderId="0" xfId="38" applyFont="1" applyFill="1" applyBorder="1" applyAlignment="1" applyProtection="1">
      <alignment horizontal="center" vertical="top" wrapText="1"/>
      <protection locked="0"/>
    </xf>
    <xf numFmtId="4" fontId="46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117" fillId="0" borderId="13" xfId="0" applyNumberFormat="1" applyFont="1" applyFill="1" applyBorder="1" applyAlignment="1">
      <alignment horizontal="center" vertical="center"/>
    </xf>
    <xf numFmtId="49" fontId="112" fillId="0" borderId="13" xfId="0" applyNumberFormat="1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9" fontId="112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4" fontId="45" fillId="0" borderId="13" xfId="38" applyNumberFormat="1" applyFont="1" applyFill="1" applyBorder="1" applyAlignment="1" applyProtection="1">
      <alignment horizontal="center" vertical="center" wrapText="1"/>
      <protection locked="0"/>
    </xf>
    <xf numFmtId="49" fontId="44" fillId="0" borderId="13" xfId="0" applyNumberFormat="1" applyFont="1" applyFill="1" applyBorder="1" applyAlignment="1">
      <alignment horizontal="center" vertical="center" wrapText="1"/>
    </xf>
    <xf numFmtId="0" fontId="44" fillId="0" borderId="0" xfId="38" applyFont="1" applyFill="1" applyBorder="1" applyAlignment="1" applyProtection="1">
      <alignment horizontal="center" wrapText="1"/>
      <protection locked="0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0" fontId="44" fillId="0" borderId="15" xfId="38" applyFont="1" applyFill="1" applyBorder="1" applyAlignment="1" applyProtection="1">
      <alignment horizontal="center" vertical="top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164" fontId="44" fillId="0" borderId="13" xfId="3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0" fontId="44" fillId="0" borderId="13" xfId="38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4" fontId="45" fillId="28" borderId="13" xfId="0" applyNumberFormat="1" applyFont="1" applyFill="1" applyBorder="1" applyAlignment="1">
      <alignment horizontal="center" vertical="center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34" fillId="0" borderId="13" xfId="0" applyNumberFormat="1" applyFont="1" applyFill="1" applyBorder="1" applyAlignment="1">
      <alignment horizontal="center" vertical="center" wrapText="1"/>
    </xf>
    <xf numFmtId="0" fontId="34" fillId="0" borderId="13" xfId="18" applyFont="1" applyBorder="1" applyAlignment="1">
      <alignment horizontal="center" vertical="center" wrapText="1"/>
    </xf>
    <xf numFmtId="4" fontId="34" fillId="0" borderId="13" xfId="0" applyNumberFormat="1" applyFont="1" applyBorder="1" applyAlignment="1">
      <alignment horizontal="center" vertical="center" wrapText="1"/>
    </xf>
    <xf numFmtId="49" fontId="34" fillId="0" borderId="13" xfId="0" applyNumberFormat="1" applyFont="1" applyBorder="1" applyAlignment="1">
      <alignment horizontal="center" vertical="center" wrapText="1"/>
    </xf>
    <xf numFmtId="164" fontId="34" fillId="0" borderId="13" xfId="30" applyNumberFormat="1" applyFont="1" applyBorder="1" applyAlignment="1">
      <alignment horizontal="center" vertical="center"/>
    </xf>
    <xf numFmtId="4" fontId="34" fillId="0" borderId="13" xfId="30" applyNumberFormat="1" applyFont="1" applyBorder="1" applyAlignment="1">
      <alignment horizontal="center" vertical="center"/>
    </xf>
    <xf numFmtId="0" fontId="34" fillId="0" borderId="13" xfId="18" applyFont="1" applyFill="1" applyBorder="1" applyAlignment="1">
      <alignment horizontal="center" vertical="center" wrapText="1"/>
    </xf>
    <xf numFmtId="164" fontId="34" fillId="0" borderId="13" xfId="30" applyNumberFormat="1" applyFont="1" applyFill="1" applyBorder="1" applyAlignment="1">
      <alignment horizontal="center" vertical="center"/>
    </xf>
    <xf numFmtId="4" fontId="34" fillId="0" borderId="13" xfId="30" applyNumberFormat="1" applyFont="1" applyFill="1" applyBorder="1" applyAlignment="1">
      <alignment horizontal="center" vertical="center"/>
    </xf>
    <xf numFmtId="9" fontId="34" fillId="0" borderId="13" xfId="0" applyNumberFormat="1" applyFont="1" applyFill="1" applyBorder="1" applyAlignment="1">
      <alignment horizontal="center" vertical="center" wrapText="1"/>
    </xf>
    <xf numFmtId="4" fontId="34" fillId="0" borderId="13" xfId="0" applyNumberFormat="1" applyFont="1" applyFill="1" applyBorder="1" applyAlignment="1">
      <alignment horizontal="center" vertical="center" wrapText="1"/>
    </xf>
    <xf numFmtId="164" fontId="34" fillId="0" borderId="13" xfId="30" applyNumberFormat="1" applyFont="1" applyFill="1" applyBorder="1" applyAlignment="1">
      <alignment horizontal="center" vertical="center" wrapText="1"/>
    </xf>
    <xf numFmtId="9" fontId="34" fillId="0" borderId="13" xfId="0" applyNumberFormat="1" applyFont="1" applyBorder="1" applyAlignment="1">
      <alignment horizontal="center" vertical="center" wrapText="1"/>
    </xf>
    <xf numFmtId="49" fontId="122" fillId="0" borderId="13" xfId="0" applyNumberFormat="1" applyFont="1" applyFill="1" applyBorder="1" applyAlignment="1">
      <alignment horizontal="center" vertical="center" wrapText="1"/>
    </xf>
    <xf numFmtId="4" fontId="113" fillId="0" borderId="13" xfId="0" applyNumberFormat="1" applyFont="1" applyFill="1" applyBorder="1" applyAlignment="1">
      <alignment horizontal="center" vertical="center" wrapText="1"/>
    </xf>
    <xf numFmtId="4" fontId="123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164" fontId="34" fillId="0" borderId="13" xfId="30" applyNumberFormat="1" applyFont="1" applyBorder="1" applyAlignment="1">
      <alignment horizontal="center" vertical="center" wrapText="1"/>
    </xf>
    <xf numFmtId="0" fontId="0" fillId="0" borderId="0" xfId="0"/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" fontId="45" fillId="0" borderId="13" xfId="0" applyNumberFormat="1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/>
    </xf>
    <xf numFmtId="4" fontId="44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21" xfId="38" applyNumberFormat="1" applyFont="1" applyFill="1" applyBorder="1" applyAlignment="1" applyProtection="1">
      <alignment horizontal="center" vertical="center" wrapText="1"/>
      <protection locked="0"/>
    </xf>
    <xf numFmtId="0" fontId="44" fillId="0" borderId="18" xfId="0" applyFont="1" applyFill="1" applyBorder="1" applyAlignment="1">
      <alignment horizontal="center" vertical="center" wrapText="1"/>
    </xf>
    <xf numFmtId="0" fontId="44" fillId="0" borderId="14" xfId="38" applyFont="1" applyFill="1" applyBorder="1" applyAlignment="1" applyProtection="1">
      <alignment horizontal="center" wrapText="1"/>
      <protection locked="0"/>
    </xf>
    <xf numFmtId="0" fontId="44" fillId="0" borderId="0" xfId="38" applyFont="1" applyFill="1" applyBorder="1" applyAlignment="1" applyProtection="1">
      <alignment horizontal="center" vertical="top" wrapText="1"/>
      <protection locked="0"/>
    </xf>
    <xf numFmtId="0" fontId="125" fillId="0" borderId="0" xfId="0" applyFont="1"/>
    <xf numFmtId="49" fontId="126" fillId="0" borderId="13" xfId="0" applyNumberFormat="1" applyFont="1" applyFill="1" applyBorder="1" applyAlignment="1">
      <alignment horizontal="center" vertical="center" wrapText="1"/>
    </xf>
    <xf numFmtId="49" fontId="109" fillId="0" borderId="13" xfId="0" applyNumberFormat="1" applyFont="1" applyFill="1" applyBorder="1" applyAlignment="1">
      <alignment horizontal="center" vertical="center" wrapText="1"/>
    </xf>
    <xf numFmtId="49" fontId="118" fillId="0" borderId="13" xfId="0" applyNumberFormat="1" applyFont="1" applyFill="1" applyBorder="1" applyAlignment="1">
      <alignment horizontal="center" vertical="center" wrapText="1"/>
    </xf>
    <xf numFmtId="49" fontId="126" fillId="0" borderId="14" xfId="0" applyNumberFormat="1" applyFont="1" applyFill="1" applyBorder="1" applyAlignment="1">
      <alignment horizontal="center" vertical="center" wrapText="1"/>
    </xf>
    <xf numFmtId="0" fontId="34" fillId="0" borderId="13" xfId="100" applyFont="1" applyBorder="1" applyAlignment="1">
      <alignment horizontal="center" vertical="center" wrapText="1"/>
    </xf>
    <xf numFmtId="0" fontId="34" fillId="0" borderId="13" xfId="10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4" fontId="54" fillId="0" borderId="13" xfId="0" applyNumberFormat="1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34" fillId="0" borderId="13" xfId="38" applyFont="1" applyFill="1" applyBorder="1" applyAlignment="1" applyProtection="1">
      <alignment horizontal="center" vertical="center" wrapText="1"/>
      <protection locked="0"/>
    </xf>
    <xf numFmtId="164" fontId="34" fillId="0" borderId="13" xfId="0" applyNumberFormat="1" applyFont="1" applyBorder="1" applyAlignment="1">
      <alignment horizontal="center" vertical="center" wrapText="1"/>
    </xf>
    <xf numFmtId="9" fontId="34" fillId="0" borderId="13" xfId="30" applyNumberFormat="1" applyFont="1" applyBorder="1" applyAlignment="1">
      <alignment horizontal="center" vertical="center"/>
    </xf>
    <xf numFmtId="49" fontId="34" fillId="0" borderId="13" xfId="0" applyNumberFormat="1" applyFont="1" applyFill="1" applyBorder="1" applyAlignment="1">
      <alignment horizontal="center" vertical="center"/>
    </xf>
    <xf numFmtId="49" fontId="124" fillId="0" borderId="13" xfId="0" applyNumberFormat="1" applyFont="1" applyBorder="1" applyAlignment="1">
      <alignment horizontal="center" vertical="center" wrapText="1"/>
    </xf>
    <xf numFmtId="0" fontId="124" fillId="0" borderId="13" xfId="0" applyFont="1" applyBorder="1" applyAlignment="1">
      <alignment horizontal="center" vertical="center" wrapText="1"/>
    </xf>
    <xf numFmtId="0" fontId="124" fillId="0" borderId="13" xfId="45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" fontId="124" fillId="0" borderId="13" xfId="30" applyNumberFormat="1" applyFont="1" applyBorder="1" applyAlignment="1">
      <alignment horizontal="center" vertical="center"/>
    </xf>
    <xf numFmtId="4" fontId="34" fillId="0" borderId="19" xfId="30" applyNumberFormat="1" applyFont="1" applyBorder="1" applyAlignment="1">
      <alignment horizontal="center" vertical="center"/>
    </xf>
    <xf numFmtId="4" fontId="34" fillId="0" borderId="15" xfId="30" applyNumberFormat="1" applyFont="1" applyBorder="1" applyAlignment="1">
      <alignment horizontal="center" vertical="center"/>
    </xf>
    <xf numFmtId="164" fontId="124" fillId="0" borderId="13" xfId="30" applyNumberFormat="1" applyFont="1" applyBorder="1" applyAlignment="1">
      <alignment horizontal="center" vertical="center"/>
    </xf>
    <xf numFmtId="0" fontId="124" fillId="0" borderId="13" xfId="100" applyFont="1" applyBorder="1" applyAlignment="1">
      <alignment horizontal="center" vertical="center" wrapText="1"/>
    </xf>
    <xf numFmtId="49" fontId="34" fillId="0" borderId="13" xfId="18" applyNumberFormat="1" applyFont="1" applyBorder="1" applyAlignment="1">
      <alignment horizontal="center" vertical="center" wrapText="1"/>
    </xf>
    <xf numFmtId="0" fontId="34" fillId="0" borderId="13" xfId="40" applyFont="1" applyBorder="1" applyAlignment="1">
      <alignment horizontal="center" vertical="center" wrapText="1"/>
    </xf>
    <xf numFmtId="0" fontId="34" fillId="0" borderId="13" xfId="84" applyFont="1" applyFill="1" applyBorder="1" applyAlignment="1">
      <alignment horizontal="center" vertical="center" wrapText="1"/>
    </xf>
    <xf numFmtId="49" fontId="34" fillId="0" borderId="13" xfId="18" applyNumberFormat="1" applyFont="1" applyFill="1" applyBorder="1" applyAlignment="1">
      <alignment horizontal="center" vertical="center" wrapText="1"/>
    </xf>
    <xf numFmtId="9" fontId="34" fillId="0" borderId="13" xfId="30" applyNumberFormat="1" applyFont="1" applyFill="1" applyBorder="1" applyAlignment="1">
      <alignment horizontal="center" vertical="center"/>
    </xf>
    <xf numFmtId="0" fontId="35" fillId="0" borderId="13" xfId="35" applyFont="1" applyBorder="1" applyAlignment="1">
      <alignment horizontal="center" vertical="center" wrapText="1"/>
    </xf>
    <xf numFmtId="4" fontId="35" fillId="0" borderId="13" xfId="35" applyNumberFormat="1" applyFont="1" applyBorder="1" applyAlignment="1">
      <alignment horizontal="center" vertical="center" wrapText="1"/>
    </xf>
    <xf numFmtId="0" fontId="0" fillId="0" borderId="0" xfId="0"/>
    <xf numFmtId="49" fontId="44" fillId="0" borderId="13" xfId="0" applyNumberFormat="1" applyFont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0" fontId="66" fillId="0" borderId="0" xfId="35" applyFont="1"/>
    <xf numFmtId="49" fontId="122" fillId="0" borderId="13" xfId="0" applyNumberFormat="1" applyFont="1" applyBorder="1" applyAlignment="1">
      <alignment horizontal="center" vertical="center" wrapText="1"/>
    </xf>
    <xf numFmtId="4" fontId="123" fillId="0" borderId="13" xfId="0" applyNumberFormat="1" applyFont="1" applyBorder="1" applyAlignment="1">
      <alignment horizontal="center" vertical="center" wrapText="1"/>
    </xf>
    <xf numFmtId="4" fontId="113" fillId="0" borderId="13" xfId="0" applyNumberFormat="1" applyFont="1" applyBorder="1" applyAlignment="1">
      <alignment horizontal="center" vertical="center" wrapText="1"/>
    </xf>
    <xf numFmtId="0" fontId="43" fillId="0" borderId="13" xfId="38" applyFont="1" applyFill="1" applyBorder="1" applyAlignment="1" applyProtection="1">
      <alignment horizontal="center" vertical="center" wrapText="1"/>
      <protection locked="0"/>
    </xf>
    <xf numFmtId="49" fontId="109" fillId="0" borderId="13" xfId="0" applyNumberFormat="1" applyFont="1" applyBorder="1" applyAlignment="1">
      <alignment horizontal="center" vertical="center" wrapText="1"/>
    </xf>
    <xf numFmtId="0" fontId="122" fillId="0" borderId="13" xfId="38" applyFont="1" applyFill="1" applyBorder="1" applyAlignment="1" applyProtection="1">
      <alignment horizontal="center" vertical="center" wrapText="1"/>
      <protection locked="0"/>
    </xf>
    <xf numFmtId="49" fontId="111" fillId="0" borderId="13" xfId="0" applyNumberFormat="1" applyFont="1" applyFill="1" applyBorder="1" applyAlignment="1">
      <alignment horizontal="center" vertical="center" wrapText="1"/>
    </xf>
    <xf numFmtId="49" fontId="43" fillId="0" borderId="13" xfId="0" applyNumberFormat="1" applyFont="1" applyFill="1" applyBorder="1" applyAlignment="1">
      <alignment horizontal="center" vertical="center" wrapText="1"/>
    </xf>
    <xf numFmtId="4" fontId="122" fillId="30" borderId="13" xfId="38" applyNumberFormat="1" applyFont="1" applyFill="1" applyBorder="1" applyAlignment="1" applyProtection="1">
      <alignment horizontal="center" vertical="center" wrapText="1"/>
      <protection locked="0"/>
    </xf>
    <xf numFmtId="4" fontId="113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123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3" fillId="31" borderId="13" xfId="38" applyNumberFormat="1" applyFont="1" applyFill="1" applyBorder="1" applyAlignment="1" applyProtection="1">
      <alignment horizontal="center" vertical="center" wrapText="1"/>
      <protection locked="0"/>
    </xf>
    <xf numFmtId="49" fontId="122" fillId="0" borderId="13" xfId="0" applyNumberFormat="1" applyFont="1" applyFill="1" applyBorder="1" applyAlignment="1">
      <alignment horizontal="center" vertical="center"/>
    </xf>
    <xf numFmtId="4" fontId="128" fillId="0" borderId="13" xfId="0" applyNumberFormat="1" applyFont="1" applyFill="1" applyBorder="1" applyAlignment="1">
      <alignment horizontal="center" vertical="center" wrapText="1"/>
    </xf>
    <xf numFmtId="0" fontId="43" fillId="0" borderId="15" xfId="38" applyFont="1" applyFill="1" applyBorder="1" applyAlignment="1" applyProtection="1">
      <alignment horizontal="center" vertical="top" wrapText="1"/>
      <protection locked="0"/>
    </xf>
    <xf numFmtId="0" fontId="109" fillId="0" borderId="15" xfId="38" applyFont="1" applyFill="1" applyBorder="1" applyAlignment="1" applyProtection="1">
      <alignment horizontal="center" vertical="top" wrapText="1"/>
      <protection locked="0"/>
    </xf>
    <xf numFmtId="4" fontId="43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109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109" fillId="0" borderId="13" xfId="0" applyFont="1" applyFill="1" applyBorder="1" applyAlignment="1">
      <alignment horizontal="center" vertical="center" wrapText="1"/>
    </xf>
    <xf numFmtId="4" fontId="113" fillId="0" borderId="13" xfId="0" applyNumberFormat="1" applyFont="1" applyFill="1" applyBorder="1" applyAlignment="1">
      <alignment horizontal="center" vertical="center"/>
    </xf>
    <xf numFmtId="0" fontId="50" fillId="0" borderId="13" xfId="38" applyFont="1" applyFill="1" applyBorder="1" applyAlignment="1" applyProtection="1">
      <alignment horizontal="center" vertical="center" wrapText="1"/>
      <protection locked="0"/>
    </xf>
    <xf numFmtId="0" fontId="124" fillId="0" borderId="13" xfId="38" applyFont="1" applyFill="1" applyBorder="1" applyAlignment="1" applyProtection="1">
      <alignment horizontal="center" vertical="center" wrapText="1"/>
      <protection locked="0"/>
    </xf>
    <xf numFmtId="49" fontId="124" fillId="0" borderId="13" xfId="0" applyNumberFormat="1" applyFont="1" applyFill="1" applyBorder="1" applyAlignment="1">
      <alignment horizontal="center" vertical="center" wrapText="1"/>
    </xf>
    <xf numFmtId="4" fontId="35" fillId="0" borderId="13" xfId="0" applyNumberFormat="1" applyFont="1" applyFill="1" applyBorder="1" applyAlignment="1">
      <alignment horizontal="center" vertical="center" wrapText="1"/>
    </xf>
    <xf numFmtId="4" fontId="124" fillId="0" borderId="13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Fill="1" applyBorder="1" applyAlignment="1">
      <alignment horizontal="center" vertical="center" wrapText="1"/>
    </xf>
    <xf numFmtId="0" fontId="35" fillId="0" borderId="13" xfId="38" applyFont="1" applyFill="1" applyBorder="1" applyAlignment="1" applyProtection="1">
      <alignment horizontal="center" vertical="center" wrapText="1"/>
      <protection locked="0"/>
    </xf>
    <xf numFmtId="49" fontId="50" fillId="0" borderId="13" xfId="0" applyNumberFormat="1" applyFont="1" applyFill="1" applyBorder="1" applyAlignment="1">
      <alignment horizontal="center" vertical="center" wrapText="1"/>
    </xf>
    <xf numFmtId="4" fontId="50" fillId="0" borderId="1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" fontId="15" fillId="0" borderId="13" xfId="94" applyNumberFormat="1" applyFont="1" applyBorder="1" applyAlignment="1">
      <alignment horizontal="center" vertical="center"/>
    </xf>
    <xf numFmtId="4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164" fontId="112" fillId="0" borderId="13" xfId="3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0" fontId="0" fillId="25" borderId="0" xfId="0" applyFill="1"/>
    <xf numFmtId="0" fontId="0" fillId="0" borderId="0" xfId="0" applyFill="1"/>
    <xf numFmtId="0" fontId="0" fillId="0" borderId="0" xfId="0"/>
    <xf numFmtId="4" fontId="45" fillId="0" borderId="13" xfId="0" applyNumberFormat="1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49" fontId="44" fillId="0" borderId="13" xfId="0" applyNumberFormat="1" applyFont="1" applyBorder="1" applyAlignment="1">
      <alignment horizontal="center" vertical="center" wrapText="1"/>
    </xf>
    <xf numFmtId="49" fontId="44" fillId="29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16" fillId="0" borderId="0" xfId="0" applyFont="1" applyAlignment="1"/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/>
    </xf>
    <xf numFmtId="4" fontId="45" fillId="29" borderId="13" xfId="38" applyNumberFormat="1" applyFont="1" applyFill="1" applyBorder="1" applyAlignment="1" applyProtection="1">
      <alignment horizontal="center" vertical="center" wrapText="1"/>
      <protection locked="0"/>
    </xf>
    <xf numFmtId="4" fontId="46" fillId="29" borderId="13" xfId="38" applyNumberFormat="1" applyFont="1" applyFill="1" applyBorder="1" applyAlignment="1" applyProtection="1">
      <alignment horizontal="center" vertical="center" wrapText="1"/>
      <protection locked="0"/>
    </xf>
    <xf numFmtId="4" fontId="45" fillId="29" borderId="13" xfId="0" applyNumberFormat="1" applyFont="1" applyFill="1" applyBorder="1" applyAlignment="1">
      <alignment horizontal="center" vertical="center" wrapText="1"/>
    </xf>
    <xf numFmtId="4" fontId="46" fillId="29" borderId="13" xfId="0" applyNumberFormat="1" applyFont="1" applyFill="1" applyBorder="1" applyAlignment="1">
      <alignment horizontal="center" vertical="center" wrapText="1"/>
    </xf>
    <xf numFmtId="4" fontId="46" fillId="29" borderId="13" xfId="0" applyNumberFormat="1" applyFont="1" applyFill="1" applyBorder="1" applyAlignment="1">
      <alignment horizontal="center" vertical="center"/>
    </xf>
    <xf numFmtId="0" fontId="0" fillId="0" borderId="0" xfId="0"/>
    <xf numFmtId="4" fontId="45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49" fontId="115" fillId="0" borderId="13" xfId="0" applyNumberFormat="1" applyFont="1" applyFill="1" applyBorder="1" applyAlignment="1">
      <alignment horizontal="center" vertical="center" wrapText="1"/>
    </xf>
    <xf numFmtId="49" fontId="115" fillId="0" borderId="13" xfId="0" applyNumberFormat="1" applyFont="1" applyFill="1" applyBorder="1" applyAlignment="1">
      <alignment horizontal="left" vertical="center" wrapText="1"/>
    </xf>
    <xf numFmtId="4" fontId="115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left" vertical="center" wrapText="1"/>
    </xf>
    <xf numFmtId="4" fontId="112" fillId="0" borderId="13" xfId="0" applyNumberFormat="1" applyFont="1" applyFill="1" applyBorder="1" applyAlignment="1">
      <alignment horizontal="center" vertical="center" wrapText="1"/>
    </xf>
    <xf numFmtId="0" fontId="34" fillId="0" borderId="13" xfId="92" applyFont="1" applyFill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>
      <alignment horizontal="center" vertical="center" wrapText="1"/>
    </xf>
    <xf numFmtId="0" fontId="34" fillId="0" borderId="7" xfId="40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130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124" fillId="0" borderId="13" xfId="45" applyFont="1" applyFill="1" applyBorder="1" applyAlignment="1">
      <alignment horizontal="center" vertical="center" wrapText="1"/>
    </xf>
    <xf numFmtId="0" fontId="0" fillId="0" borderId="0" xfId="0"/>
    <xf numFmtId="4" fontId="45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49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4" fontId="131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4" fontId="45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49" fontId="124" fillId="30" borderId="13" xfId="0" applyNumberFormat="1" applyFont="1" applyFill="1" applyBorder="1" applyAlignment="1">
      <alignment horizontal="center" vertical="center" wrapText="1"/>
    </xf>
    <xf numFmtId="0" fontId="124" fillId="30" borderId="13" xfId="45" applyFont="1" applyFill="1" applyBorder="1" applyAlignment="1">
      <alignment horizontal="center" vertical="center" wrapText="1"/>
    </xf>
    <xf numFmtId="164" fontId="34" fillId="30" borderId="13" xfId="30" applyNumberFormat="1" applyFont="1" applyFill="1" applyBorder="1" applyAlignment="1">
      <alignment horizontal="center" vertical="center"/>
    </xf>
    <xf numFmtId="4" fontId="34" fillId="30" borderId="13" xfId="30" applyNumberFormat="1" applyFont="1" applyFill="1" applyBorder="1" applyAlignment="1">
      <alignment horizontal="center" vertical="center"/>
    </xf>
    <xf numFmtId="9" fontId="34" fillId="30" borderId="13" xfId="30" applyNumberFormat="1" applyFont="1" applyFill="1" applyBorder="1" applyAlignment="1">
      <alignment horizontal="center" vertical="center"/>
    </xf>
    <xf numFmtId="4" fontId="124" fillId="30" borderId="13" xfId="30" applyNumberFormat="1" applyFont="1" applyFill="1" applyBorder="1" applyAlignment="1">
      <alignment horizontal="center" vertical="center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" fontId="46" fillId="0" borderId="13" xfId="0" applyNumberFormat="1" applyFont="1" applyBorder="1" applyAlignment="1">
      <alignment horizontal="center" vertical="center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4" fontId="44" fillId="0" borderId="14" xfId="0" applyNumberFormat="1" applyFont="1" applyBorder="1" applyAlignment="1">
      <alignment horizontal="center" vertical="center" wrapText="1"/>
    </xf>
    <xf numFmtId="49" fontId="122" fillId="0" borderId="0" xfId="0" applyNumberFormat="1" applyFont="1" applyFill="1" applyBorder="1" applyAlignment="1">
      <alignment horizontal="center" wrapText="1"/>
    </xf>
    <xf numFmtId="49" fontId="122" fillId="0" borderId="15" xfId="0" applyNumberFormat="1" applyFont="1" applyFill="1" applyBorder="1" applyAlignment="1">
      <alignment horizontal="center" vertical="top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9" fontId="112" fillId="0" borderId="13" xfId="0" applyNumberFormat="1" applyFont="1" applyBorder="1" applyAlignment="1">
      <alignment horizontal="center" vertical="center" wrapText="1"/>
    </xf>
    <xf numFmtId="4" fontId="34" fillId="0" borderId="0" xfId="0" applyNumberFormat="1" applyFont="1" applyBorder="1" applyAlignment="1">
      <alignment horizontal="center" vertical="center" wrapText="1"/>
    </xf>
    <xf numFmtId="49" fontId="44" fillId="32" borderId="18" xfId="0" applyNumberFormat="1" applyFont="1" applyFill="1" applyBorder="1" applyAlignment="1">
      <alignment horizontal="center" vertical="center" wrapText="1"/>
    </xf>
    <xf numFmtId="4" fontId="44" fillId="32" borderId="18" xfId="0" applyNumberFormat="1" applyFont="1" applyFill="1" applyBorder="1" applyAlignment="1">
      <alignment horizontal="center" vertical="center" wrapText="1"/>
    </xf>
    <xf numFmtId="49" fontId="44" fillId="32" borderId="18" xfId="0" applyNumberFormat="1" applyFont="1" applyFill="1" applyBorder="1" applyAlignment="1">
      <alignment horizontal="left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35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0" xfId="35" applyFont="1" applyFill="1"/>
    <xf numFmtId="0" fontId="11" fillId="26" borderId="0" xfId="35" applyFont="1" applyFill="1"/>
    <xf numFmtId="0" fontId="11" fillId="0" borderId="0" xfId="35" applyFont="1" applyFill="1" applyAlignment="1">
      <alignment horizontal="center" vertical="center"/>
    </xf>
    <xf numFmtId="0" fontId="11" fillId="29" borderId="0" xfId="35" applyFont="1" applyFill="1" applyAlignment="1">
      <alignment horizontal="center" vertical="center"/>
    </xf>
    <xf numFmtId="0" fontId="70" fillId="0" borderId="0" xfId="39" applyFont="1" applyAlignment="1">
      <alignment vertical="center"/>
    </xf>
    <xf numFmtId="0" fontId="70" fillId="0" borderId="0" xfId="39" applyFont="1" applyFill="1" applyAlignment="1">
      <alignment vertical="center"/>
    </xf>
    <xf numFmtId="0" fontId="70" fillId="0" borderId="0" xfId="0" applyFont="1" applyFill="1" applyAlignment="1">
      <alignment vertical="center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" fontId="45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Border="1" applyAlignment="1">
      <alignment horizontal="center" vertical="center" wrapText="1"/>
    </xf>
    <xf numFmtId="0" fontId="124" fillId="0" borderId="13" xfId="100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Border="1" applyAlignment="1">
      <alignment horizontal="center" vertical="center" wrapText="1"/>
    </xf>
    <xf numFmtId="0" fontId="19" fillId="0" borderId="22" xfId="39" applyFont="1" applyBorder="1" applyAlignment="1">
      <alignment horizontal="center" vertical="center" wrapText="1"/>
    </xf>
    <xf numFmtId="0" fontId="35" fillId="0" borderId="22" xfId="39" applyFont="1" applyBorder="1" applyAlignment="1">
      <alignment horizontal="center" vertical="center" wrapText="1"/>
    </xf>
    <xf numFmtId="0" fontId="35" fillId="0" borderId="22" xfId="39" applyFont="1" applyBorder="1" applyAlignment="1">
      <alignment horizontal="left" vertical="center" wrapText="1"/>
    </xf>
    <xf numFmtId="4" fontId="36" fillId="0" borderId="22" xfId="39" applyNumberFormat="1" applyFont="1" applyBorder="1" applyAlignment="1">
      <alignment vertical="center" wrapText="1"/>
    </xf>
    <xf numFmtId="0" fontId="34" fillId="0" borderId="22" xfId="39" applyFont="1" applyBorder="1" applyAlignment="1">
      <alignment horizontal="center" vertical="center" wrapText="1"/>
    </xf>
    <xf numFmtId="0" fontId="19" fillId="0" borderId="22" xfId="39" applyFont="1" applyBorder="1" applyAlignment="1">
      <alignment vertical="center" wrapText="1"/>
    </xf>
    <xf numFmtId="4" fontId="21" fillId="0" borderId="22" xfId="39" applyNumberFormat="1" applyFont="1" applyBorder="1" applyAlignment="1">
      <alignment vertical="center" wrapText="1"/>
    </xf>
    <xf numFmtId="4" fontId="37" fillId="0" borderId="22" xfId="39" applyNumberFormat="1" applyFont="1" applyBorder="1" applyAlignment="1">
      <alignment vertical="center" wrapText="1"/>
    </xf>
    <xf numFmtId="0" fontId="40" fillId="0" borderId="22" xfId="39" applyFont="1" applyBorder="1" applyAlignment="1">
      <alignment vertical="center" wrapText="1"/>
    </xf>
    <xf numFmtId="4" fontId="41" fillId="0" borderId="22" xfId="39" applyNumberFormat="1" applyFont="1" applyBorder="1" applyAlignment="1">
      <alignment vertical="center" wrapText="1"/>
    </xf>
    <xf numFmtId="0" fontId="57" fillId="0" borderId="22" xfId="39" applyFont="1" applyBorder="1" applyAlignment="1">
      <alignment horizontal="center" vertical="center" wrapText="1"/>
    </xf>
    <xf numFmtId="0" fontId="57" fillId="0" borderId="22" xfId="39" applyFont="1" applyBorder="1" applyAlignment="1">
      <alignment vertical="center" wrapText="1"/>
    </xf>
    <xf numFmtId="4" fontId="42" fillId="0" borderId="22" xfId="39" applyNumberFormat="1" applyFont="1" applyBorder="1" applyAlignment="1">
      <alignment vertical="center" wrapText="1"/>
    </xf>
    <xf numFmtId="4" fontId="39" fillId="0" borderId="22" xfId="39" applyNumberFormat="1" applyFont="1" applyBorder="1" applyAlignment="1">
      <alignment vertical="center" wrapText="1"/>
    </xf>
    <xf numFmtId="4" fontId="19" fillId="0" borderId="22" xfId="39" applyNumberFormat="1" applyFont="1" applyBorder="1" applyAlignment="1">
      <alignment horizontal="right" vertical="center" wrapText="1"/>
    </xf>
    <xf numFmtId="4" fontId="34" fillId="0" borderId="22" xfId="39" applyNumberFormat="1" applyFont="1" applyBorder="1" applyAlignment="1">
      <alignment horizontal="right" vertical="center" wrapText="1"/>
    </xf>
    <xf numFmtId="0" fontId="57" fillId="0" borderId="22" xfId="37" applyFont="1" applyBorder="1" applyAlignment="1">
      <alignment horizontal="justify" vertical="top" wrapText="1"/>
    </xf>
    <xf numFmtId="4" fontId="34" fillId="0" borderId="22" xfId="39" applyNumberFormat="1" applyFont="1" applyBorder="1" applyAlignment="1">
      <alignment vertical="center" wrapText="1"/>
    </xf>
    <xf numFmtId="0" fontId="59" fillId="0" borderId="22" xfId="39" applyFont="1" applyBorder="1" applyAlignment="1">
      <alignment horizontal="center" vertical="center" wrapText="1"/>
    </xf>
    <xf numFmtId="0" fontId="59" fillId="0" borderId="22" xfId="37" applyFont="1" applyBorder="1" applyAlignment="1">
      <alignment horizontal="justify" vertical="top" wrapText="1"/>
    </xf>
    <xf numFmtId="0" fontId="16" fillId="0" borderId="22" xfId="37" applyFont="1" applyBorder="1" applyAlignment="1">
      <alignment horizontal="justify" vertical="top" wrapText="1"/>
    </xf>
    <xf numFmtId="4" fontId="21" fillId="30" borderId="22" xfId="39" applyNumberFormat="1" applyFont="1" applyFill="1" applyBorder="1" applyAlignment="1">
      <alignment vertical="center" wrapText="1"/>
    </xf>
    <xf numFmtId="4" fontId="16" fillId="0" borderId="22" xfId="39" applyNumberFormat="1" applyFont="1" applyBorder="1" applyAlignment="1">
      <alignment vertical="center" wrapText="1"/>
    </xf>
    <xf numFmtId="0" fontId="19" fillId="0" borderId="22" xfId="37" applyFont="1" applyBorder="1" applyAlignment="1">
      <alignment horizontal="justify" vertical="top" wrapText="1"/>
    </xf>
    <xf numFmtId="0" fontId="11" fillId="0" borderId="22" xfId="37" applyFont="1" applyBorder="1" applyAlignment="1">
      <alignment horizontal="justify" vertical="top" wrapText="1"/>
    </xf>
    <xf numFmtId="4" fontId="42" fillId="30" borderId="22" xfId="39" applyNumberFormat="1" applyFont="1" applyFill="1" applyBorder="1" applyAlignment="1">
      <alignment vertical="center" wrapText="1"/>
    </xf>
    <xf numFmtId="0" fontId="19" fillId="30" borderId="22" xfId="39" applyFont="1" applyFill="1" applyBorder="1" applyAlignment="1">
      <alignment horizontal="center" vertical="center" wrapText="1"/>
    </xf>
    <xf numFmtId="0" fontId="19" fillId="30" borderId="22" xfId="39" applyFont="1" applyFill="1" applyBorder="1" applyAlignment="1">
      <alignment vertical="center" wrapText="1"/>
    </xf>
    <xf numFmtId="0" fontId="35" fillId="0" borderId="22" xfId="39" applyFont="1" applyBorder="1" applyAlignment="1">
      <alignment vertical="center" wrapText="1"/>
    </xf>
    <xf numFmtId="0" fontId="36" fillId="0" borderId="22" xfId="37" applyFont="1" applyBorder="1" applyAlignment="1">
      <alignment horizontal="justify" vertical="top" wrapText="1"/>
    </xf>
    <xf numFmtId="0" fontId="39" fillId="0" borderId="22" xfId="37" applyFont="1" applyBorder="1" applyAlignment="1">
      <alignment horizontal="justify" vertical="top" wrapText="1"/>
    </xf>
    <xf numFmtId="0" fontId="58" fillId="0" borderId="22" xfId="37" applyFont="1" applyBorder="1" applyAlignment="1">
      <alignment horizontal="justify" vertical="top" wrapText="1"/>
    </xf>
    <xf numFmtId="0" fontId="34" fillId="30" borderId="22" xfId="39" applyFont="1" applyFill="1" applyBorder="1" applyAlignment="1">
      <alignment horizontal="center" vertical="center" wrapText="1"/>
    </xf>
    <xf numFmtId="0" fontId="39" fillId="30" borderId="22" xfId="37" applyFont="1" applyFill="1" applyBorder="1" applyAlignment="1">
      <alignment horizontal="justify" vertical="top" wrapText="1"/>
    </xf>
    <xf numFmtId="4" fontId="37" fillId="30" borderId="22" xfId="39" applyNumberFormat="1" applyFont="1" applyFill="1" applyBorder="1" applyAlignment="1">
      <alignment vertical="center" wrapText="1"/>
    </xf>
    <xf numFmtId="0" fontId="35" fillId="30" borderId="22" xfId="39" applyFont="1" applyFill="1" applyBorder="1" applyAlignment="1">
      <alignment horizontal="center" vertical="center" wrapText="1"/>
    </xf>
    <xf numFmtId="0" fontId="35" fillId="30" borderId="22" xfId="39" applyFont="1" applyFill="1" applyBorder="1" applyAlignment="1">
      <alignment horizontal="left" vertical="center" wrapText="1"/>
    </xf>
    <xf numFmtId="4" fontId="36" fillId="30" borderId="22" xfId="39" applyNumberFormat="1" applyFont="1" applyFill="1" applyBorder="1" applyAlignment="1">
      <alignment vertical="center" wrapText="1"/>
    </xf>
    <xf numFmtId="0" fontId="59" fillId="30" borderId="22" xfId="37" applyFont="1" applyFill="1" applyBorder="1" applyAlignment="1">
      <alignment horizontal="justify" vertical="top" wrapText="1"/>
    </xf>
    <xf numFmtId="0" fontId="40" fillId="0" borderId="22" xfId="39" applyFont="1" applyBorder="1" applyAlignment="1">
      <alignment horizontal="center" vertical="center" wrapText="1"/>
    </xf>
    <xf numFmtId="0" fontId="41" fillId="0" borderId="22" xfId="37" applyFont="1" applyBorder="1" applyAlignment="1">
      <alignment horizontal="justify" vertical="top" wrapText="1"/>
    </xf>
    <xf numFmtId="4" fontId="40" fillId="30" borderId="22" xfId="39" applyNumberFormat="1" applyFont="1" applyFill="1" applyBorder="1" applyAlignment="1">
      <alignment vertical="center" wrapText="1"/>
    </xf>
    <xf numFmtId="0" fontId="39" fillId="0" borderId="22" xfId="37" applyFont="1" applyBorder="1" applyAlignment="1">
      <alignment vertical="top" wrapText="1"/>
    </xf>
    <xf numFmtId="4" fontId="11" fillId="30" borderId="22" xfId="39" applyNumberFormat="1" applyFill="1" applyBorder="1" applyAlignment="1">
      <alignment vertical="center" wrapText="1"/>
    </xf>
    <xf numFmtId="0" fontId="50" fillId="0" borderId="22" xfId="39" applyFont="1" applyBorder="1" applyAlignment="1">
      <alignment horizontal="center" vertical="center" wrapText="1"/>
    </xf>
    <xf numFmtId="0" fontId="59" fillId="0" borderId="22" xfId="39" applyFont="1" applyBorder="1" applyAlignment="1">
      <alignment vertical="center" wrapText="1"/>
    </xf>
    <xf numFmtId="4" fontId="38" fillId="0" borderId="22" xfId="39" applyNumberFormat="1" applyFont="1" applyBorder="1" applyAlignment="1">
      <alignment vertical="center" wrapText="1"/>
    </xf>
    <xf numFmtId="0" fontId="40" fillId="30" borderId="22" xfId="39" applyFont="1" applyFill="1" applyBorder="1" applyAlignment="1">
      <alignment vertical="center" wrapText="1"/>
    </xf>
    <xf numFmtId="0" fontId="11" fillId="0" borderId="22" xfId="39" applyBorder="1" applyAlignment="1">
      <alignment vertical="center" wrapText="1"/>
    </xf>
    <xf numFmtId="0" fontId="58" fillId="0" borderId="22" xfId="37" applyFont="1" applyBorder="1" applyAlignment="1">
      <alignment vertical="top" wrapText="1"/>
    </xf>
    <xf numFmtId="4" fontId="60" fillId="0" borderId="22" xfId="39" applyNumberFormat="1" applyFont="1" applyBorder="1" applyAlignment="1">
      <alignment vertical="center" wrapText="1"/>
    </xf>
    <xf numFmtId="4" fontId="35" fillId="0" borderId="22" xfId="39" applyNumberFormat="1" applyFont="1" applyBorder="1" applyAlignment="1">
      <alignment horizontal="right" vertical="center" wrapText="1"/>
    </xf>
    <xf numFmtId="4" fontId="11" fillId="0" borderId="22" xfId="39" applyNumberFormat="1" applyBorder="1" applyAlignment="1">
      <alignment horizontal="right" vertical="center" wrapText="1"/>
    </xf>
    <xf numFmtId="0" fontId="57" fillId="0" borderId="22" xfId="39" applyFont="1" applyBorder="1" applyAlignment="1">
      <alignment wrapText="1"/>
    </xf>
    <xf numFmtId="0" fontId="57" fillId="0" borderId="22" xfId="0" applyFont="1" applyBorder="1" applyAlignment="1">
      <alignment horizontal="justify" vertical="center"/>
    </xf>
    <xf numFmtId="0" fontId="61" fillId="0" borderId="22" xfId="37" applyFont="1" applyBorder="1" applyAlignment="1">
      <alignment horizontal="justify" vertical="top" wrapText="1"/>
    </xf>
    <xf numFmtId="0" fontId="62" fillId="0" borderId="22" xfId="37" applyFont="1" applyBorder="1" applyAlignment="1">
      <alignment horizontal="justify" vertical="top" wrapText="1"/>
    </xf>
    <xf numFmtId="0" fontId="34" fillId="0" borderId="22" xfId="39" applyFont="1" applyBorder="1" applyAlignment="1">
      <alignment vertical="center" wrapText="1"/>
    </xf>
    <xf numFmtId="4" fontId="41" fillId="30" borderId="22" xfId="39" applyNumberFormat="1" applyFont="1" applyFill="1" applyBorder="1" applyAlignment="1">
      <alignment vertical="center" wrapText="1"/>
    </xf>
    <xf numFmtId="0" fontId="63" fillId="0" borderId="22" xfId="37" applyFont="1" applyBorder="1" applyAlignment="1">
      <alignment horizontal="justify" vertical="top" wrapText="1"/>
    </xf>
    <xf numFmtId="0" fontId="17" fillId="0" borderId="22" xfId="37" applyFont="1" applyBorder="1" applyAlignment="1">
      <alignment horizontal="justify" vertical="top" wrapText="1"/>
    </xf>
    <xf numFmtId="4" fontId="85" fillId="0" borderId="22" xfId="39" applyNumberFormat="1" applyFont="1" applyBorder="1" applyAlignment="1">
      <alignment vertical="center" wrapText="1"/>
    </xf>
    <xf numFmtId="4" fontId="16" fillId="0" borderId="22" xfId="39" applyNumberFormat="1" applyFont="1" applyBorder="1" applyAlignment="1">
      <alignment horizontal="right" vertical="center" wrapText="1"/>
    </xf>
    <xf numFmtId="0" fontId="11" fillId="0" borderId="22" xfId="39" applyBorder="1" applyAlignment="1">
      <alignment horizontal="center" vertical="center" wrapText="1"/>
    </xf>
    <xf numFmtId="0" fontId="56" fillId="0" borderId="22" xfId="39" applyFont="1" applyBorder="1" applyAlignment="1">
      <alignment vertical="center" wrapText="1"/>
    </xf>
    <xf numFmtId="0" fontId="58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top" wrapText="1"/>
    </xf>
    <xf numFmtId="4" fontId="19" fillId="0" borderId="22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49" fontId="44" fillId="0" borderId="13" xfId="0" applyNumberFormat="1" applyFont="1" applyBorder="1" applyAlignment="1">
      <alignment horizontal="center" vertical="center" wrapText="1"/>
    </xf>
    <xf numFmtId="0" fontId="34" fillId="29" borderId="13" xfId="92" applyFont="1" applyFill="1" applyBorder="1" applyAlignment="1">
      <alignment horizontal="center" vertical="center" wrapText="1"/>
    </xf>
    <xf numFmtId="0" fontId="34" fillId="0" borderId="13" xfId="40" applyFont="1" applyFill="1" applyBorder="1" applyAlignment="1">
      <alignment horizontal="center" vertical="center" wrapText="1"/>
    </xf>
    <xf numFmtId="0" fontId="133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82" fillId="0" borderId="0" xfId="0" applyFont="1" applyFill="1" applyAlignment="1">
      <alignment horizontal="left" vertical="center"/>
    </xf>
    <xf numFmtId="0" fontId="84" fillId="0" borderId="0" xfId="0" applyFont="1" applyFill="1" applyAlignment="1">
      <alignment horizontal="left" vertical="center"/>
    </xf>
    <xf numFmtId="4" fontId="43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3" fillId="0" borderId="0" xfId="0" applyNumberFormat="1" applyFont="1" applyAlignment="1">
      <alignment vertical="center"/>
    </xf>
    <xf numFmtId="4" fontId="4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0" applyFont="1"/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8" fillId="0" borderId="0" xfId="35" applyFont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 wrapText="1"/>
    </xf>
    <xf numFmtId="4" fontId="19" fillId="0" borderId="22" xfId="0" applyNumberFormat="1" applyFont="1" applyFill="1" applyBorder="1" applyAlignment="1">
      <alignment horizontal="center" vertical="center" wrapText="1"/>
    </xf>
    <xf numFmtId="0" fontId="90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4" fontId="40" fillId="0" borderId="22" xfId="0" applyNumberFormat="1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 wrapText="1"/>
    </xf>
    <xf numFmtId="4" fontId="19" fillId="33" borderId="22" xfId="0" applyNumberFormat="1" applyFont="1" applyFill="1" applyBorder="1" applyAlignment="1">
      <alignment horizontal="center" vertical="center" wrapText="1"/>
    </xf>
    <xf numFmtId="4" fontId="90" fillId="0" borderId="22" xfId="0" applyNumberFormat="1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9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" fontId="19" fillId="0" borderId="22" xfId="0" applyNumberFormat="1" applyFont="1" applyBorder="1" applyAlignment="1">
      <alignment horizontal="left" vertical="center" wrapText="1"/>
    </xf>
    <xf numFmtId="4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90" fillId="0" borderId="22" xfId="0" applyFont="1" applyBorder="1" applyAlignment="1">
      <alignment horizontal="left" vertical="center" wrapText="1"/>
    </xf>
    <xf numFmtId="0" fontId="90" fillId="0" borderId="22" xfId="0" applyFont="1" applyFill="1" applyBorder="1" applyAlignment="1">
      <alignment horizontal="left" vertical="center" wrapText="1"/>
    </xf>
    <xf numFmtId="0" fontId="0" fillId="0" borderId="0" xfId="0"/>
    <xf numFmtId="0" fontId="44" fillId="0" borderId="0" xfId="0" applyFont="1"/>
    <xf numFmtId="0" fontId="133" fillId="0" borderId="0" xfId="0" applyFont="1" applyAlignment="1">
      <alignment horizontal="justify" vertical="center"/>
    </xf>
    <xf numFmtId="0" fontId="134" fillId="0" borderId="0" xfId="0" applyFont="1" applyAlignment="1">
      <alignment horizontal="justify" vertical="center"/>
    </xf>
    <xf numFmtId="0" fontId="86" fillId="0" borderId="0" xfId="0" applyFont="1" applyAlignment="1">
      <alignment horizontal="right" vertical="center"/>
    </xf>
    <xf numFmtId="0" fontId="47" fillId="0" borderId="0" xfId="0" applyFont="1"/>
    <xf numFmtId="0" fontId="13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0" fillId="0" borderId="0" xfId="0"/>
    <xf numFmtId="4" fontId="46" fillId="0" borderId="13" xfId="0" applyNumberFormat="1" applyFont="1" applyFill="1" applyBorder="1" applyAlignment="1">
      <alignment horizontal="center" vertical="center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0" fontId="34" fillId="0" borderId="24" xfId="40" applyFont="1" applyBorder="1" applyAlignment="1">
      <alignment horizontal="center" vertical="center" wrapText="1"/>
    </xf>
    <xf numFmtId="0" fontId="0" fillId="0" borderId="0" xfId="0"/>
    <xf numFmtId="4" fontId="46" fillId="0" borderId="13" xfId="0" applyNumberFormat="1" applyFont="1" applyFill="1" applyBorder="1" applyAlignment="1">
      <alignment horizontal="center" vertical="center"/>
    </xf>
    <xf numFmtId="4" fontId="44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2" fontId="70" fillId="0" borderId="13" xfId="36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2" fontId="15" fillId="0" borderId="13" xfId="36" applyNumberFormat="1" applyFont="1" applyFill="1" applyBorder="1" applyAlignment="1">
      <alignment horizontal="center" vertical="center" wrapText="1"/>
    </xf>
    <xf numFmtId="0" fontId="0" fillId="0" borderId="0" xfId="0"/>
    <xf numFmtId="0" fontId="56" fillId="0" borderId="0" xfId="39" applyFont="1" applyAlignment="1">
      <alignment horizontal="center" vertical="center"/>
    </xf>
    <xf numFmtId="0" fontId="16" fillId="0" borderId="22" xfId="39" applyFont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4" fontId="46" fillId="0" borderId="13" xfId="0" applyNumberFormat="1" applyFont="1" applyFill="1" applyBorder="1" applyAlignment="1">
      <alignment horizontal="center" vertical="center"/>
    </xf>
    <xf numFmtId="49" fontId="44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2" fontId="15" fillId="0" borderId="13" xfId="36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33" fillId="0" borderId="0" xfId="0" applyFont="1" applyAlignment="1">
      <alignment horizontal="justify" vertical="center"/>
    </xf>
    <xf numFmtId="49" fontId="109" fillId="35" borderId="13" xfId="0" applyNumberFormat="1" applyFont="1" applyFill="1" applyBorder="1" applyAlignment="1">
      <alignment horizontal="center" vertical="center" wrapText="1"/>
    </xf>
    <xf numFmtId="0" fontId="109" fillId="35" borderId="13" xfId="38" applyFont="1" applyFill="1" applyBorder="1" applyAlignment="1" applyProtection="1">
      <alignment horizontal="center" vertical="center" wrapText="1"/>
      <protection locked="0"/>
    </xf>
    <xf numFmtId="4" fontId="109" fillId="35" borderId="13" xfId="38" applyNumberFormat="1" applyFont="1" applyFill="1" applyBorder="1" applyAlignment="1" applyProtection="1">
      <alignment horizontal="center" vertical="center" wrapText="1"/>
      <protection locked="0"/>
    </xf>
    <xf numFmtId="4" fontId="109" fillId="35" borderId="13" xfId="0" applyNumberFormat="1" applyFont="1" applyFill="1" applyBorder="1" applyAlignment="1">
      <alignment horizontal="center" vertical="center" wrapText="1"/>
    </xf>
    <xf numFmtId="49" fontId="43" fillId="36" borderId="13" xfId="0" applyNumberFormat="1" applyFont="1" applyFill="1" applyBorder="1" applyAlignment="1">
      <alignment horizontal="center" vertical="center" wrapText="1"/>
    </xf>
    <xf numFmtId="0" fontId="43" fillId="36" borderId="13" xfId="38" applyFont="1" applyFill="1" applyBorder="1" applyAlignment="1" applyProtection="1">
      <alignment horizontal="center" vertical="center" wrapText="1"/>
      <protection locked="0"/>
    </xf>
    <xf numFmtId="4" fontId="43" fillId="36" borderId="13" xfId="38" applyNumberFormat="1" applyFont="1" applyFill="1" applyBorder="1" applyAlignment="1" applyProtection="1">
      <alignment horizontal="center" vertical="center" wrapText="1"/>
      <protection locked="0"/>
    </xf>
    <xf numFmtId="4" fontId="43" fillId="36" borderId="13" xfId="0" applyNumberFormat="1" applyFont="1" applyFill="1" applyBorder="1" applyAlignment="1">
      <alignment horizontal="center" vertical="center" wrapText="1"/>
    </xf>
    <xf numFmtId="49" fontId="50" fillId="35" borderId="13" xfId="0" applyNumberFormat="1" applyFont="1" applyFill="1" applyBorder="1" applyAlignment="1">
      <alignment horizontal="center" vertical="center" wrapText="1"/>
    </xf>
    <xf numFmtId="0" fontId="50" fillId="35" borderId="13" xfId="38" applyFont="1" applyFill="1" applyBorder="1" applyAlignment="1" applyProtection="1">
      <alignment horizontal="center" vertical="center" wrapText="1"/>
      <protection locked="0"/>
    </xf>
    <xf numFmtId="4" fontId="50" fillId="35" borderId="13" xfId="38" applyNumberFormat="1" applyFont="1" applyFill="1" applyBorder="1" applyAlignment="1" applyProtection="1">
      <alignment horizontal="center" vertical="center" wrapText="1"/>
      <protection locked="0"/>
    </xf>
    <xf numFmtId="4" fontId="50" fillId="35" borderId="13" xfId="0" applyNumberFormat="1" applyFont="1" applyFill="1" applyBorder="1" applyAlignment="1">
      <alignment horizontal="center" vertical="center" wrapText="1"/>
    </xf>
    <xf numFmtId="49" fontId="35" fillId="36" borderId="13" xfId="0" applyNumberFormat="1" applyFont="1" applyFill="1" applyBorder="1" applyAlignment="1">
      <alignment horizontal="center" vertical="center" wrapText="1"/>
    </xf>
    <xf numFmtId="0" fontId="35" fillId="36" borderId="13" xfId="38" applyFont="1" applyFill="1" applyBorder="1" applyAlignment="1" applyProtection="1">
      <alignment horizontal="center" vertical="center" wrapText="1"/>
      <protection locked="0"/>
    </xf>
    <xf numFmtId="4" fontId="35" fillId="36" borderId="13" xfId="38" applyNumberFormat="1" applyFont="1" applyFill="1" applyBorder="1" applyAlignment="1" applyProtection="1">
      <alignment horizontal="center" vertical="center" wrapText="1"/>
      <protection locked="0"/>
    </xf>
    <xf numFmtId="4" fontId="34" fillId="34" borderId="13" xfId="0" applyNumberFormat="1" applyFont="1" applyFill="1" applyBorder="1" applyAlignment="1">
      <alignment horizontal="center" vertical="center" wrapText="1"/>
    </xf>
    <xf numFmtId="164" fontId="34" fillId="34" borderId="13" xfId="30" applyNumberFormat="1" applyFont="1" applyFill="1" applyBorder="1" applyAlignment="1">
      <alignment horizontal="center" vertical="center"/>
    </xf>
    <xf numFmtId="9" fontId="34" fillId="34" borderId="13" xfId="0" applyNumberFormat="1" applyFont="1" applyFill="1" applyBorder="1" applyAlignment="1">
      <alignment horizontal="center" vertical="center" wrapText="1"/>
    </xf>
    <xf numFmtId="4" fontId="124" fillId="34" borderId="13" xfId="30" applyNumberFormat="1" applyFont="1" applyFill="1" applyBorder="1" applyAlignment="1">
      <alignment horizontal="center" vertical="center"/>
    </xf>
    <xf numFmtId="4" fontId="124" fillId="0" borderId="13" xfId="30" applyNumberFormat="1" applyFont="1" applyFill="1" applyBorder="1" applyAlignment="1">
      <alignment horizontal="center" vertical="center"/>
    </xf>
    <xf numFmtId="164" fontId="124" fillId="0" borderId="13" xfId="30" applyNumberFormat="1" applyFont="1" applyFill="1" applyBorder="1" applyAlignment="1">
      <alignment horizontal="center" vertical="center"/>
    </xf>
    <xf numFmtId="0" fontId="124" fillId="0" borderId="13" xfId="0" applyFont="1" applyFill="1" applyBorder="1" applyAlignment="1">
      <alignment horizontal="center" vertical="center" wrapText="1"/>
    </xf>
    <xf numFmtId="9" fontId="124" fillId="0" borderId="13" xfId="0" applyNumberFormat="1" applyFont="1" applyFill="1" applyBorder="1" applyAlignment="1">
      <alignment horizontal="center" vertical="center" wrapText="1"/>
    </xf>
    <xf numFmtId="9" fontId="124" fillId="0" borderId="13" xfId="0" applyNumberFormat="1" applyFont="1" applyBorder="1" applyAlignment="1">
      <alignment horizontal="center" vertical="center" wrapText="1"/>
    </xf>
    <xf numFmtId="4" fontId="124" fillId="0" borderId="19" xfId="30" applyNumberFormat="1" applyFont="1" applyBorder="1" applyAlignment="1">
      <alignment horizontal="center" vertical="center"/>
    </xf>
    <xf numFmtId="9" fontId="124" fillId="0" borderId="13" xfId="30" applyNumberFormat="1" applyFont="1" applyFill="1" applyBorder="1" applyAlignment="1">
      <alignment horizontal="center" vertical="center"/>
    </xf>
    <xf numFmtId="9" fontId="124" fillId="0" borderId="13" xfId="30" applyNumberFormat="1" applyFont="1" applyBorder="1" applyAlignment="1">
      <alignment horizontal="center" vertical="center"/>
    </xf>
    <xf numFmtId="164" fontId="124" fillId="30" borderId="13" xfId="30" applyNumberFormat="1" applyFont="1" applyFill="1" applyBorder="1" applyAlignment="1">
      <alignment horizontal="center" vertical="center"/>
    </xf>
    <xf numFmtId="9" fontId="124" fillId="30" borderId="13" xfId="30" applyNumberFormat="1" applyFont="1" applyFill="1" applyBorder="1" applyAlignment="1">
      <alignment horizontal="center" vertical="center"/>
    </xf>
    <xf numFmtId="164" fontId="37" fillId="0" borderId="13" xfId="30" applyNumberFormat="1" applyFont="1" applyBorder="1" applyAlignment="1">
      <alignment horizontal="center" vertical="center"/>
    </xf>
    <xf numFmtId="4" fontId="37" fillId="0" borderId="13" xfId="30" applyNumberFormat="1" applyFont="1" applyBorder="1" applyAlignment="1">
      <alignment horizontal="center" vertical="center"/>
    </xf>
    <xf numFmtId="0" fontId="20" fillId="0" borderId="0" xfId="39" applyFont="1" applyAlignment="1">
      <alignment vertical="center"/>
    </xf>
    <xf numFmtId="0" fontId="15" fillId="0" borderId="0" xfId="0" applyFont="1" applyAlignment="1">
      <alignment horizontal="justify" vertical="center"/>
    </xf>
    <xf numFmtId="4" fontId="35" fillId="36" borderId="13" xfId="0" applyNumberFormat="1" applyFont="1" applyFill="1" applyBorder="1" applyAlignment="1">
      <alignment horizontal="center" vertical="center" wrapText="1"/>
    </xf>
    <xf numFmtId="49" fontId="44" fillId="36" borderId="18" xfId="0" applyNumberFormat="1" applyFont="1" applyFill="1" applyBorder="1" applyAlignment="1">
      <alignment horizontal="center" vertical="center" wrapText="1"/>
    </xf>
    <xf numFmtId="4" fontId="44" fillId="36" borderId="18" xfId="0" applyNumberFormat="1" applyFont="1" applyFill="1" applyBorder="1" applyAlignment="1">
      <alignment horizontal="center" vertical="center" wrapText="1"/>
    </xf>
    <xf numFmtId="164" fontId="131" fillId="0" borderId="13" xfId="30" applyNumberFormat="1" applyFont="1" applyBorder="1" applyAlignment="1">
      <alignment horizontal="center" vertical="center" wrapText="1"/>
    </xf>
    <xf numFmtId="49" fontId="140" fillId="0" borderId="13" xfId="0" applyNumberFormat="1" applyFont="1" applyBorder="1" applyAlignment="1">
      <alignment horizontal="center" vertical="center" wrapText="1"/>
    </xf>
    <xf numFmtId="4" fontId="140" fillId="0" borderId="21" xfId="0" applyNumberFormat="1" applyFont="1" applyBorder="1" applyAlignment="1">
      <alignment horizontal="center" vertical="center" wrapText="1"/>
    </xf>
    <xf numFmtId="0" fontId="34" fillId="0" borderId="13" xfId="84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6" fillId="0" borderId="0" xfId="39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2" xfId="39" applyFont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65" fillId="0" borderId="0" xfId="0" applyFont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  <xf numFmtId="0" fontId="99" fillId="0" borderId="0" xfId="0" applyFont="1" applyAlignment="1">
      <alignment horizontal="center" vertical="top"/>
    </xf>
    <xf numFmtId="0" fontId="58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32" borderId="22" xfId="0" applyFont="1" applyFill="1" applyBorder="1" applyAlignment="1">
      <alignment horizontal="left" vertical="center" wrapText="1"/>
    </xf>
    <xf numFmtId="0" fontId="0" fillId="32" borderId="22" xfId="0" applyFill="1" applyBorder="1" applyAlignment="1">
      <alignment wrapText="1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4" fontId="112" fillId="0" borderId="14" xfId="0" applyNumberFormat="1" applyFont="1" applyFill="1" applyBorder="1" applyAlignment="1">
      <alignment horizontal="center" vertical="center" wrapText="1"/>
    </xf>
    <xf numFmtId="4" fontId="112" fillId="0" borderId="15" xfId="0" applyNumberFormat="1" applyFont="1" applyFill="1" applyBorder="1" applyAlignment="1">
      <alignment horizontal="center" vertical="center" wrapText="1"/>
    </xf>
    <xf numFmtId="4" fontId="117" fillId="0" borderId="14" xfId="0" applyNumberFormat="1" applyFont="1" applyFill="1" applyBorder="1" applyAlignment="1">
      <alignment horizontal="center" vertical="center"/>
    </xf>
    <xf numFmtId="4" fontId="117" fillId="0" borderId="15" xfId="0" applyNumberFormat="1" applyFont="1" applyFill="1" applyBorder="1" applyAlignment="1">
      <alignment horizontal="center" vertical="center"/>
    </xf>
    <xf numFmtId="4" fontId="111" fillId="0" borderId="14" xfId="0" applyNumberFormat="1" applyFont="1" applyFill="1" applyBorder="1" applyAlignment="1">
      <alignment horizontal="center" vertical="center" wrapText="1"/>
    </xf>
    <xf numFmtId="4" fontId="111" fillId="0" borderId="15" xfId="0" applyNumberFormat="1" applyFont="1" applyFill="1" applyBorder="1" applyAlignment="1">
      <alignment horizontal="center" vertical="center" wrapText="1"/>
    </xf>
    <xf numFmtId="4" fontId="45" fillId="0" borderId="13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Fill="1" applyBorder="1" applyAlignment="1">
      <alignment horizontal="center" vertical="center" wrapText="1"/>
    </xf>
    <xf numFmtId="49" fontId="112" fillId="0" borderId="13" xfId="0" applyNumberFormat="1" applyFont="1" applyFill="1" applyBorder="1" applyAlignment="1">
      <alignment horizontal="center" vertical="center" wrapText="1"/>
    </xf>
    <xf numFmtId="0" fontId="119" fillId="0" borderId="13" xfId="0" applyFont="1" applyFill="1" applyBorder="1" applyAlignment="1">
      <alignment horizontal="center" vertical="center" wrapText="1"/>
    </xf>
    <xf numFmtId="4" fontId="114" fillId="0" borderId="13" xfId="0" applyNumberFormat="1" applyFont="1" applyFill="1" applyBorder="1" applyAlignment="1">
      <alignment horizontal="center" vertical="center" wrapText="1"/>
    </xf>
    <xf numFmtId="4" fontId="114" fillId="0" borderId="14" xfId="0" applyNumberFormat="1" applyFont="1" applyFill="1" applyBorder="1" applyAlignment="1">
      <alignment horizontal="center" vertical="center" wrapText="1"/>
    </xf>
    <xf numFmtId="4" fontId="114" fillId="0" borderId="15" xfId="0" applyNumberFormat="1" applyFont="1" applyFill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 wrapText="1"/>
    </xf>
    <xf numFmtId="49" fontId="122" fillId="0" borderId="1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43" fillId="0" borderId="13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43" fillId="0" borderId="13" xfId="0" applyFont="1" applyBorder="1" applyAlignment="1">
      <alignment horizontal="center" vertical="top" wrapText="1"/>
    </xf>
    <xf numFmtId="0" fontId="96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4" fontId="123" fillId="0" borderId="14" xfId="0" applyNumberFormat="1" applyFont="1" applyFill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4" fontId="45" fillId="0" borderId="13" xfId="0" applyNumberFormat="1" applyFont="1" applyBorder="1" applyAlignment="1">
      <alignment horizontal="center" vertical="center" wrapText="1"/>
    </xf>
    <xf numFmtId="49" fontId="44" fillId="0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45" fillId="0" borderId="14" xfId="0" applyNumberFormat="1" applyFont="1" applyFill="1" applyBorder="1" applyAlignment="1">
      <alignment horizontal="center" vertical="center" wrapText="1"/>
    </xf>
    <xf numFmtId="0" fontId="120" fillId="0" borderId="13" xfId="0" applyFont="1" applyFill="1" applyBorder="1" applyAlignment="1">
      <alignment horizontal="center" vertical="center" wrapText="1"/>
    </xf>
    <xf numFmtId="4" fontId="43" fillId="0" borderId="13" xfId="0" applyNumberFormat="1" applyFont="1" applyFill="1" applyBorder="1" applyAlignment="1">
      <alignment horizontal="center" vertical="center" wrapText="1"/>
    </xf>
    <xf numFmtId="4" fontId="46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43" fillId="0" borderId="13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/>
    </xf>
    <xf numFmtId="4" fontId="46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04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/>
    </xf>
    <xf numFmtId="0" fontId="105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6" fillId="0" borderId="0" xfId="35" applyFont="1"/>
    <xf numFmtId="0" fontId="19" fillId="0" borderId="13" xfId="35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/>
    </xf>
    <xf numFmtId="0" fontId="110" fillId="0" borderId="13" xfId="35" applyFont="1" applyBorder="1" applyAlignment="1">
      <alignment horizontal="center" vertical="top" wrapText="1"/>
    </xf>
    <xf numFmtId="0" fontId="17" fillId="0" borderId="0" xfId="3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Alignment="1">
      <alignment horizontal="center" vertical="center" wrapText="1"/>
    </xf>
    <xf numFmtId="0" fontId="135" fillId="0" borderId="0" xfId="0" applyFont="1" applyAlignment="1">
      <alignment horizontal="justify" vertical="center"/>
    </xf>
    <xf numFmtId="0" fontId="0" fillId="0" borderId="0" xfId="0" applyAlignment="1"/>
    <xf numFmtId="49" fontId="115" fillId="0" borderId="18" xfId="0" applyNumberFormat="1" applyFont="1" applyBorder="1" applyAlignment="1">
      <alignment horizontal="left" vertical="center" wrapText="1"/>
    </xf>
    <xf numFmtId="0" fontId="116" fillId="0" borderId="21" xfId="0" applyFont="1" applyBorder="1" applyAlignment="1">
      <alignment horizontal="left" vertical="center" wrapText="1"/>
    </xf>
    <xf numFmtId="49" fontId="44" fillId="36" borderId="18" xfId="0" applyNumberFormat="1" applyFont="1" applyFill="1" applyBorder="1" applyAlignment="1">
      <alignment horizontal="center" vertical="center" wrapText="1"/>
    </xf>
    <xf numFmtId="0" fontId="0" fillId="36" borderId="20" xfId="0" applyFont="1" applyFill="1" applyBorder="1" applyAlignment="1">
      <alignment horizontal="center" vertical="center" wrapText="1"/>
    </xf>
    <xf numFmtId="0" fontId="0" fillId="36" borderId="21" xfId="0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44" fillId="0" borderId="18" xfId="0" applyNumberFormat="1" applyFont="1" applyBorder="1" applyAlignment="1">
      <alignment horizontal="center" vertical="center" wrapText="1"/>
    </xf>
    <xf numFmtId="49" fontId="140" fillId="0" borderId="18" xfId="0" applyNumberFormat="1" applyFont="1" applyBorder="1" applyAlignment="1">
      <alignment horizontal="left" vertical="center" wrapText="1"/>
    </xf>
    <xf numFmtId="0" fontId="141" fillId="0" borderId="21" xfId="0" applyFont="1" applyBorder="1" applyAlignment="1">
      <alignment horizontal="left" vertical="center" wrapText="1"/>
    </xf>
    <xf numFmtId="49" fontId="112" fillId="0" borderId="18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49" fontId="140" fillId="0" borderId="21" xfId="0" applyNumberFormat="1" applyFont="1" applyBorder="1" applyAlignment="1">
      <alignment horizontal="left" vertical="center" wrapText="1"/>
    </xf>
    <xf numFmtId="49" fontId="44" fillId="32" borderId="18" xfId="0" applyNumberFormat="1" applyFont="1" applyFill="1" applyBorder="1" applyAlignment="1">
      <alignment horizontal="center" vertical="center" wrapText="1"/>
    </xf>
    <xf numFmtId="0" fontId="0" fillId="32" borderId="20" xfId="0" applyFont="1" applyFill="1" applyBorder="1" applyAlignment="1">
      <alignment horizontal="center" vertical="center" wrapText="1"/>
    </xf>
    <xf numFmtId="0" fontId="0" fillId="32" borderId="21" xfId="0" applyFont="1" applyFill="1" applyBorder="1" applyAlignment="1">
      <alignment horizontal="center" vertical="center" wrapText="1"/>
    </xf>
    <xf numFmtId="49" fontId="44" fillId="36" borderId="18" xfId="0" applyNumberFormat="1" applyFont="1" applyFill="1" applyBorder="1" applyAlignment="1">
      <alignment horizontal="left" vertical="center" wrapText="1"/>
    </xf>
    <xf numFmtId="49" fontId="44" fillId="36" borderId="21" xfId="0" applyNumberFormat="1" applyFont="1" applyFill="1" applyBorder="1" applyAlignment="1">
      <alignment horizontal="left" vertical="center" wrapText="1"/>
    </xf>
    <xf numFmtId="0" fontId="134" fillId="0" borderId="0" xfId="0" applyFont="1" applyAlignment="1">
      <alignment horizontal="justify" vertical="center"/>
    </xf>
    <xf numFmtId="0" fontId="47" fillId="0" borderId="0" xfId="0" applyFont="1" applyAlignment="1"/>
    <xf numFmtId="164" fontId="34" fillId="0" borderId="14" xfId="3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4" fillId="0" borderId="14" xfId="18" applyFont="1" applyFill="1" applyBorder="1" applyAlignment="1">
      <alignment horizontal="center" vertical="center" wrapText="1"/>
    </xf>
    <xf numFmtId="0" fontId="15" fillId="0" borderId="0" xfId="35" applyFont="1" applyAlignment="1">
      <alignment horizontal="center" vertical="center"/>
    </xf>
    <xf numFmtId="0" fontId="48" fillId="0" borderId="0" xfId="35" applyFont="1" applyAlignment="1">
      <alignment horizontal="center" vertical="center" wrapText="1"/>
    </xf>
    <xf numFmtId="0" fontId="132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34" fillId="0" borderId="14" xfId="0" applyNumberFormat="1" applyFont="1" applyFill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4" fontId="44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/>
    <xf numFmtId="0" fontId="47" fillId="0" borderId="15" xfId="0" applyFont="1" applyBorder="1" applyAlignment="1">
      <alignment horizontal="center" vertical="center" wrapText="1"/>
    </xf>
    <xf numFmtId="4" fontId="44" fillId="0" borderId="15" xfId="0" applyNumberFormat="1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 wrapText="1"/>
    </xf>
    <xf numFmtId="49" fontId="44" fillId="0" borderId="15" xfId="0" applyNumberFormat="1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112" fillId="0" borderId="13" xfId="0" applyNumberFormat="1" applyFont="1" applyBorder="1" applyAlignment="1">
      <alignment horizontal="center" vertical="center" wrapText="1"/>
    </xf>
    <xf numFmtId="0" fontId="120" fillId="0" borderId="13" xfId="0" applyFont="1" applyBorder="1" applyAlignment="1">
      <alignment horizontal="center" vertical="center" wrapText="1"/>
    </xf>
    <xf numFmtId="4" fontId="112" fillId="0" borderId="14" xfId="0" applyNumberFormat="1" applyFont="1" applyBorder="1" applyAlignment="1">
      <alignment horizontal="center" vertical="center" wrapText="1"/>
    </xf>
    <xf numFmtId="0" fontId="120" fillId="0" borderId="15" xfId="0" applyFont="1" applyBorder="1" applyAlignment="1">
      <alignment horizontal="center" vertical="center" wrapText="1"/>
    </xf>
    <xf numFmtId="4" fontId="47" fillId="0" borderId="13" xfId="0" applyNumberFormat="1" applyFont="1" applyBorder="1" applyAlignment="1">
      <alignment horizontal="center" vertical="center" wrapText="1"/>
    </xf>
    <xf numFmtId="4" fontId="44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3" xfId="38" applyNumberFormat="1" applyFont="1" applyFill="1" applyBorder="1" applyAlignment="1">
      <alignment horizontal="center" vertical="center" wrapText="1"/>
    </xf>
    <xf numFmtId="2" fontId="70" fillId="0" borderId="13" xfId="36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68" fillId="0" borderId="0" xfId="0" applyFont="1" applyAlignment="1">
      <alignment horizontal="center" vertical="center"/>
    </xf>
    <xf numFmtId="0" fontId="68" fillId="0" borderId="0" xfId="36" applyFont="1" applyAlignment="1">
      <alignment horizontal="center" vertical="center"/>
    </xf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8" fillId="0" borderId="13" xfId="36" applyNumberFormat="1" applyFont="1" applyFill="1" applyBorder="1" applyAlignment="1">
      <alignment horizontal="center" vertical="center" wrapText="1"/>
    </xf>
    <xf numFmtId="2" fontId="70" fillId="0" borderId="17" xfId="36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2" fontId="68" fillId="28" borderId="13" xfId="36" applyNumberFormat="1" applyFont="1" applyFill="1" applyBorder="1" applyAlignment="1">
      <alignment horizontal="left" vertical="center" wrapText="1"/>
    </xf>
    <xf numFmtId="0" fontId="0" fillId="28" borderId="13" xfId="0" applyFont="1" applyFill="1" applyBorder="1" applyAlignment="1">
      <alignment horizontal="left"/>
    </xf>
    <xf numFmtId="2" fontId="70" fillId="0" borderId="0" xfId="36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2" fontId="15" fillId="0" borderId="13" xfId="36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15" fillId="0" borderId="13" xfId="36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136" fillId="0" borderId="0" xfId="0" applyFont="1" applyAlignment="1">
      <alignment horizontal="justify" vertical="center"/>
    </xf>
    <xf numFmtId="0" fontId="137" fillId="0" borderId="0" xfId="0" applyFont="1" applyAlignment="1"/>
    <xf numFmtId="0" fontId="69" fillId="0" borderId="0" xfId="0" applyFont="1" applyAlignment="1">
      <alignment horizontal="center" vertical="center"/>
    </xf>
    <xf numFmtId="2" fontId="16" fillId="0" borderId="13" xfId="36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2" fontId="68" fillId="0" borderId="13" xfId="36" applyNumberFormat="1" applyFont="1" applyBorder="1" applyAlignment="1">
      <alignment horizontal="center" vertical="center"/>
    </xf>
    <xf numFmtId="0" fontId="0" fillId="28" borderId="13" xfId="0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8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3" fillId="0" borderId="0" xfId="0" applyFont="1" applyAlignment="1">
      <alignment horizontal="justify" vertical="center"/>
    </xf>
    <xf numFmtId="0" fontId="69" fillId="0" borderId="0" xfId="0" applyFont="1" applyAlignment="1"/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CFAFE7"/>
      <color rgb="FFFFFF99"/>
      <color rgb="FF66FF99"/>
      <color rgb="FFA86ED4"/>
      <color rgb="FFFFFFCC"/>
      <color rgb="FF99FF99"/>
      <color rgb="FF000099"/>
      <color rgb="FF3366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showZeros="0" view="pageBreakPreview" zoomScale="110" zoomScaleSheetLayoutView="110" workbookViewId="0">
      <selection activeCell="D2" sqref="D2:G2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3" width="21" style="11" customWidth="1"/>
    <col min="4" max="4" width="18.85546875" style="11" customWidth="1"/>
    <col min="5" max="5" width="15.7109375" style="11" customWidth="1"/>
    <col min="6" max="6" width="14.5703125" style="11" customWidth="1"/>
    <col min="7" max="252" width="7.85546875" style="11" customWidth="1"/>
    <col min="253" max="16384" width="6.85546875" style="11"/>
  </cols>
  <sheetData>
    <row r="1" spans="1:7" ht="15.75" x14ac:dyDescent="0.2">
      <c r="D1" s="732" t="s">
        <v>62</v>
      </c>
      <c r="E1" s="733"/>
      <c r="F1" s="733"/>
      <c r="G1" s="733"/>
    </row>
    <row r="2" spans="1:7" ht="15.75" x14ac:dyDescent="0.2">
      <c r="C2" s="12"/>
      <c r="D2" s="732" t="s">
        <v>1386</v>
      </c>
      <c r="E2" s="734"/>
      <c r="F2" s="734"/>
      <c r="G2" s="734"/>
    </row>
    <row r="3" spans="1:7" ht="6" customHeight="1" x14ac:dyDescent="0.2">
      <c r="C3" s="12"/>
      <c r="D3" s="732"/>
      <c r="E3" s="734"/>
      <c r="F3" s="734"/>
      <c r="G3" s="734"/>
    </row>
    <row r="4" spans="1:7" ht="12.75" customHeight="1" x14ac:dyDescent="0.2">
      <c r="A4" s="735"/>
      <c r="B4" s="735"/>
      <c r="C4" s="735"/>
      <c r="D4" s="735"/>
      <c r="E4" s="735"/>
    </row>
    <row r="5" spans="1:7" ht="20.25" x14ac:dyDescent="0.2">
      <c r="A5" s="735" t="s">
        <v>616</v>
      </c>
      <c r="B5" s="736"/>
      <c r="C5" s="736"/>
      <c r="D5" s="736"/>
      <c r="E5" s="736"/>
      <c r="F5" s="736"/>
    </row>
    <row r="6" spans="1:7" ht="20.25" x14ac:dyDescent="0.2">
      <c r="A6" s="676"/>
      <c r="B6" s="73" t="s">
        <v>633</v>
      </c>
      <c r="C6" s="676"/>
      <c r="D6" s="676"/>
      <c r="E6" s="676"/>
    </row>
    <row r="7" spans="1:7" ht="13.5" thickBot="1" x14ac:dyDescent="0.25">
      <c r="B7" s="722"/>
      <c r="C7" s="722"/>
      <c r="D7" s="722"/>
      <c r="E7" s="722"/>
      <c r="F7" s="722" t="s">
        <v>63</v>
      </c>
    </row>
    <row r="8" spans="1:7" ht="17.25" thickTop="1" thickBot="1" x14ac:dyDescent="0.25">
      <c r="A8" s="737" t="s">
        <v>64</v>
      </c>
      <c r="B8" s="737" t="s">
        <v>65</v>
      </c>
      <c r="C8" s="737" t="s">
        <v>412</v>
      </c>
      <c r="D8" s="737" t="s">
        <v>12</v>
      </c>
      <c r="E8" s="737" t="s">
        <v>57</v>
      </c>
      <c r="F8" s="737"/>
      <c r="G8" s="13"/>
    </row>
    <row r="9" spans="1:7" ht="39.75" thickTop="1" thickBot="1" x14ac:dyDescent="0.3">
      <c r="A9" s="737"/>
      <c r="B9" s="737"/>
      <c r="C9" s="737"/>
      <c r="D9" s="737"/>
      <c r="E9" s="677" t="s">
        <v>412</v>
      </c>
      <c r="F9" s="536" t="s">
        <v>456</v>
      </c>
      <c r="G9" s="14"/>
    </row>
    <row r="10" spans="1:7" ht="17.25" thickTop="1" thickBot="1" x14ac:dyDescent="0.3">
      <c r="A10" s="677">
        <v>1</v>
      </c>
      <c r="B10" s="677">
        <v>2</v>
      </c>
      <c r="C10" s="677">
        <v>3</v>
      </c>
      <c r="D10" s="677">
        <v>4</v>
      </c>
      <c r="E10" s="677">
        <v>5</v>
      </c>
      <c r="F10" s="536">
        <v>6</v>
      </c>
      <c r="G10" s="14"/>
    </row>
    <row r="11" spans="1:7" ht="15.75" thickTop="1" thickBot="1" x14ac:dyDescent="0.25">
      <c r="A11" s="537">
        <v>10000000</v>
      </c>
      <c r="B11" s="538" t="s">
        <v>66</v>
      </c>
      <c r="C11" s="539">
        <f>SUM(D11,E11)</f>
        <v>2276535678</v>
      </c>
      <c r="D11" s="539">
        <f>SUM(D12,D25,D31,D51,D20)</f>
        <v>2275904778</v>
      </c>
      <c r="E11" s="539">
        <f>SUM(E12:E50)</f>
        <v>630900</v>
      </c>
      <c r="F11" s="539"/>
      <c r="G11" s="15"/>
    </row>
    <row r="12" spans="1:7" ht="27" thickTop="1" thickBot="1" x14ac:dyDescent="0.25">
      <c r="A12" s="540">
        <v>11000000</v>
      </c>
      <c r="B12" s="541" t="s">
        <v>67</v>
      </c>
      <c r="C12" s="542">
        <f t="shared" ref="C12:C92" si="0">SUM(D12,E12)</f>
        <v>1534000028</v>
      </c>
      <c r="D12" s="542">
        <f>SUM(D13,D18)</f>
        <v>1534000028</v>
      </c>
      <c r="E12" s="543"/>
      <c r="F12" s="543"/>
      <c r="G12" s="16"/>
    </row>
    <row r="13" spans="1:7" ht="15.75" thickTop="1" thickBot="1" x14ac:dyDescent="0.25">
      <c r="A13" s="537">
        <v>11010000</v>
      </c>
      <c r="B13" s="544" t="s">
        <v>68</v>
      </c>
      <c r="C13" s="542">
        <f t="shared" si="0"/>
        <v>1533000028</v>
      </c>
      <c r="D13" s="545">
        <f>SUM(D14:D17)</f>
        <v>1533000028</v>
      </c>
      <c r="E13" s="539"/>
      <c r="F13" s="539"/>
      <c r="G13" s="16"/>
    </row>
    <row r="14" spans="1:7" ht="37.5" thickTop="1" thickBot="1" x14ac:dyDescent="0.25">
      <c r="A14" s="546">
        <v>11010100</v>
      </c>
      <c r="B14" s="547" t="s">
        <v>69</v>
      </c>
      <c r="C14" s="542">
        <f t="shared" si="0"/>
        <v>1274804070</v>
      </c>
      <c r="D14" s="548">
        <v>1274804070</v>
      </c>
      <c r="E14" s="549"/>
      <c r="F14" s="549"/>
      <c r="G14" s="16"/>
    </row>
    <row r="15" spans="1:7" ht="61.5" thickTop="1" thickBot="1" x14ac:dyDescent="0.25">
      <c r="A15" s="546">
        <v>11010200</v>
      </c>
      <c r="B15" s="547" t="s">
        <v>70</v>
      </c>
      <c r="C15" s="542">
        <f t="shared" si="0"/>
        <v>202378000</v>
      </c>
      <c r="D15" s="548">
        <v>202378000</v>
      </c>
      <c r="E15" s="549"/>
      <c r="F15" s="549"/>
      <c r="G15" s="16"/>
    </row>
    <row r="16" spans="1:7" ht="37.5" thickTop="1" thickBot="1" x14ac:dyDescent="0.25">
      <c r="A16" s="546">
        <v>11010400</v>
      </c>
      <c r="B16" s="547" t="s">
        <v>71</v>
      </c>
      <c r="C16" s="542">
        <f t="shared" si="0"/>
        <v>33686300</v>
      </c>
      <c r="D16" s="548">
        <v>33686300</v>
      </c>
      <c r="E16" s="549"/>
      <c r="F16" s="549"/>
      <c r="G16" s="16"/>
    </row>
    <row r="17" spans="1:7" ht="37.5" thickTop="1" thickBot="1" x14ac:dyDescent="0.3">
      <c r="A17" s="546">
        <v>11010500</v>
      </c>
      <c r="B17" s="547" t="s">
        <v>72</v>
      </c>
      <c r="C17" s="542">
        <f t="shared" si="0"/>
        <v>22131658</v>
      </c>
      <c r="D17" s="548">
        <v>22131658</v>
      </c>
      <c r="E17" s="549"/>
      <c r="F17" s="549"/>
      <c r="G17" s="14"/>
    </row>
    <row r="18" spans="1:7" ht="16.5" thickTop="1" thickBot="1" x14ac:dyDescent="0.25">
      <c r="A18" s="540">
        <v>11020000</v>
      </c>
      <c r="B18" s="544" t="s">
        <v>73</v>
      </c>
      <c r="C18" s="542">
        <f t="shared" si="0"/>
        <v>1000000</v>
      </c>
      <c r="D18" s="550">
        <v>1000000</v>
      </c>
      <c r="E18" s="551"/>
      <c r="F18" s="551"/>
      <c r="G18" s="15"/>
    </row>
    <row r="19" spans="1:7" ht="25.5" thickTop="1" thickBot="1" x14ac:dyDescent="0.3">
      <c r="A19" s="546">
        <v>11020200</v>
      </c>
      <c r="B19" s="552" t="s">
        <v>74</v>
      </c>
      <c r="C19" s="542">
        <f t="shared" si="0"/>
        <v>1000000</v>
      </c>
      <c r="D19" s="548">
        <v>1000000</v>
      </c>
      <c r="E19" s="553"/>
      <c r="F19" s="543"/>
      <c r="G19" s="14"/>
    </row>
    <row r="20" spans="1:7" ht="25.5" thickTop="1" thickBot="1" x14ac:dyDescent="0.3">
      <c r="A20" s="554">
        <v>13000000</v>
      </c>
      <c r="B20" s="555" t="s">
        <v>617</v>
      </c>
      <c r="C20" s="542">
        <f>D20+E20</f>
        <v>1053000</v>
      </c>
      <c r="D20" s="542">
        <f>SUM(D21,D23)</f>
        <v>1053000</v>
      </c>
      <c r="E20" s="553"/>
      <c r="F20" s="543"/>
      <c r="G20" s="14"/>
    </row>
    <row r="21" spans="1:7" ht="25.5" thickTop="1" thickBot="1" x14ac:dyDescent="0.3">
      <c r="A21" s="546">
        <v>13010000</v>
      </c>
      <c r="B21" s="552" t="s">
        <v>618</v>
      </c>
      <c r="C21" s="542">
        <f t="shared" ref="C21:C25" si="1">D21+E21</f>
        <v>1052400</v>
      </c>
      <c r="D21" s="548">
        <f>SUM(D22)</f>
        <v>1052400</v>
      </c>
      <c r="E21" s="553"/>
      <c r="F21" s="543"/>
      <c r="G21" s="14"/>
    </row>
    <row r="22" spans="1:7" ht="49.5" thickTop="1" thickBot="1" x14ac:dyDescent="0.3">
      <c r="A22" s="546">
        <v>13010200</v>
      </c>
      <c r="B22" s="552" t="s">
        <v>619</v>
      </c>
      <c r="C22" s="542">
        <f t="shared" si="1"/>
        <v>1052400</v>
      </c>
      <c r="D22" s="548">
        <v>1052400</v>
      </c>
      <c r="E22" s="553"/>
      <c r="F22" s="543"/>
      <c r="G22" s="14"/>
    </row>
    <row r="23" spans="1:7" ht="16.5" thickTop="1" thickBot="1" x14ac:dyDescent="0.3">
      <c r="A23" s="546">
        <v>13030000</v>
      </c>
      <c r="B23" s="552" t="s">
        <v>620</v>
      </c>
      <c r="C23" s="542">
        <f t="shared" si="1"/>
        <v>600</v>
      </c>
      <c r="D23" s="548">
        <f>SUM(D24)</f>
        <v>600</v>
      </c>
      <c r="E23" s="553"/>
      <c r="F23" s="543"/>
      <c r="G23" s="14"/>
    </row>
    <row r="24" spans="1:7" ht="37.5" thickTop="1" thickBot="1" x14ac:dyDescent="0.3">
      <c r="A24" s="546">
        <v>13030100</v>
      </c>
      <c r="B24" s="552" t="s">
        <v>621</v>
      </c>
      <c r="C24" s="542">
        <f t="shared" si="1"/>
        <v>600</v>
      </c>
      <c r="D24" s="548">
        <v>600</v>
      </c>
      <c r="E24" s="553"/>
      <c r="F24" s="543"/>
      <c r="G24" s="14"/>
    </row>
    <row r="25" spans="1:7" ht="33" thickTop="1" thickBot="1" x14ac:dyDescent="0.3">
      <c r="A25" s="677">
        <v>14000000</v>
      </c>
      <c r="B25" s="556" t="s">
        <v>624</v>
      </c>
      <c r="C25" s="542">
        <f t="shared" si="1"/>
        <v>162376900</v>
      </c>
      <c r="D25" s="557">
        <f>SUM(D26,D28,D30)</f>
        <v>162376900</v>
      </c>
      <c r="E25" s="558"/>
      <c r="F25" s="543"/>
      <c r="G25" s="14"/>
    </row>
    <row r="26" spans="1:7" ht="30" customHeight="1" thickTop="1" thickBot="1" x14ac:dyDescent="0.3">
      <c r="A26" s="536">
        <v>14020000</v>
      </c>
      <c r="B26" s="559" t="s">
        <v>776</v>
      </c>
      <c r="C26" s="542">
        <f>SUM(D26,E26)</f>
        <v>17500000</v>
      </c>
      <c r="D26" s="557">
        <f>SUM(D27,E27)</f>
        <v>17500000</v>
      </c>
      <c r="E26" s="558"/>
      <c r="F26" s="543"/>
      <c r="G26" s="14"/>
    </row>
    <row r="27" spans="1:7" ht="17.25" thickTop="1" thickBot="1" x14ac:dyDescent="0.3">
      <c r="A27" s="599">
        <v>14021900</v>
      </c>
      <c r="B27" s="560" t="s">
        <v>775</v>
      </c>
      <c r="C27" s="548">
        <f>SUM(D27,E27)</f>
        <v>17500000</v>
      </c>
      <c r="D27" s="561">
        <v>17500000</v>
      </c>
      <c r="E27" s="558"/>
      <c r="F27" s="543"/>
      <c r="G27" s="14"/>
    </row>
    <row r="28" spans="1:7" ht="39.75" thickTop="1" thickBot="1" x14ac:dyDescent="0.3">
      <c r="A28" s="536">
        <v>14030000</v>
      </c>
      <c r="B28" s="559" t="s">
        <v>777</v>
      </c>
      <c r="C28" s="542">
        <f>SUM(D28,E28)</f>
        <v>65500000</v>
      </c>
      <c r="D28" s="557">
        <f>SUM(D29,E29)</f>
        <v>65500000</v>
      </c>
      <c r="E28" s="558"/>
      <c r="F28" s="543"/>
      <c r="G28" s="14"/>
    </row>
    <row r="29" spans="1:7" ht="17.25" thickTop="1" thickBot="1" x14ac:dyDescent="0.3">
      <c r="A29" s="599">
        <v>14031900</v>
      </c>
      <c r="B29" s="560" t="s">
        <v>775</v>
      </c>
      <c r="C29" s="548">
        <f>SUM(D29,E29)</f>
        <v>65500000</v>
      </c>
      <c r="D29" s="561">
        <v>65500000</v>
      </c>
      <c r="E29" s="558"/>
      <c r="F29" s="543"/>
      <c r="G29" s="14"/>
    </row>
    <row r="30" spans="1:7" ht="39.75" thickTop="1" thickBot="1" x14ac:dyDescent="0.25">
      <c r="A30" s="562">
        <v>14040000</v>
      </c>
      <c r="B30" s="563" t="s">
        <v>75</v>
      </c>
      <c r="C30" s="557">
        <f>SUM(D30,E30)</f>
        <v>79376900</v>
      </c>
      <c r="D30" s="557">
        <v>79376900</v>
      </c>
      <c r="E30" s="561"/>
      <c r="F30" s="548"/>
      <c r="G30" s="17"/>
    </row>
    <row r="31" spans="1:7" ht="16.5" thickTop="1" thickBot="1" x14ac:dyDescent="0.3">
      <c r="A31" s="537">
        <v>18000000</v>
      </c>
      <c r="B31" s="564" t="s">
        <v>76</v>
      </c>
      <c r="C31" s="542">
        <f t="shared" si="0"/>
        <v>578474850</v>
      </c>
      <c r="D31" s="542">
        <f>SUM(D32,D43,D46)</f>
        <v>578474850</v>
      </c>
      <c r="E31" s="539"/>
      <c r="F31" s="539"/>
      <c r="G31" s="14"/>
    </row>
    <row r="32" spans="1:7" ht="16.5" thickTop="1" thickBot="1" x14ac:dyDescent="0.3">
      <c r="A32" s="540">
        <v>18010000</v>
      </c>
      <c r="B32" s="565" t="s">
        <v>77</v>
      </c>
      <c r="C32" s="542">
        <f t="shared" si="0"/>
        <v>208416150</v>
      </c>
      <c r="D32" s="545">
        <f>SUM(D33:D42)</f>
        <v>208416150</v>
      </c>
      <c r="E32" s="543"/>
      <c r="F32" s="543"/>
      <c r="G32" s="14"/>
    </row>
    <row r="33" spans="1:7" ht="37.5" thickTop="1" thickBot="1" x14ac:dyDescent="0.3">
      <c r="A33" s="540">
        <v>18010100</v>
      </c>
      <c r="B33" s="566" t="s">
        <v>78</v>
      </c>
      <c r="C33" s="542">
        <f t="shared" si="0"/>
        <v>253400</v>
      </c>
      <c r="D33" s="548">
        <v>253400</v>
      </c>
      <c r="E33" s="543"/>
      <c r="F33" s="543"/>
      <c r="G33" s="14"/>
    </row>
    <row r="34" spans="1:7" ht="37.5" thickTop="1" thickBot="1" x14ac:dyDescent="0.3">
      <c r="A34" s="540">
        <v>18010200</v>
      </c>
      <c r="B34" s="566" t="s">
        <v>79</v>
      </c>
      <c r="C34" s="542">
        <f t="shared" si="0"/>
        <v>14364650</v>
      </c>
      <c r="D34" s="548">
        <v>14364650</v>
      </c>
      <c r="E34" s="543"/>
      <c r="F34" s="543"/>
      <c r="G34" s="14"/>
    </row>
    <row r="35" spans="1:7" ht="37.5" thickTop="1" thickBot="1" x14ac:dyDescent="0.3">
      <c r="A35" s="540">
        <v>18010300</v>
      </c>
      <c r="B35" s="566" t="s">
        <v>80</v>
      </c>
      <c r="C35" s="542">
        <f t="shared" si="0"/>
        <v>2316000</v>
      </c>
      <c r="D35" s="548">
        <v>2316000</v>
      </c>
      <c r="E35" s="543"/>
      <c r="F35" s="543"/>
      <c r="G35" s="14"/>
    </row>
    <row r="36" spans="1:7" ht="37.5" thickTop="1" thickBot="1" x14ac:dyDescent="0.3">
      <c r="A36" s="540">
        <v>18010400</v>
      </c>
      <c r="B36" s="566" t="s">
        <v>81</v>
      </c>
      <c r="C36" s="542">
        <f t="shared" si="0"/>
        <v>12860800</v>
      </c>
      <c r="D36" s="548">
        <v>12860800</v>
      </c>
      <c r="E36" s="543"/>
      <c r="F36" s="543"/>
      <c r="G36" s="14"/>
    </row>
    <row r="37" spans="1:7" ht="16.5" thickTop="1" thickBot="1" x14ac:dyDescent="0.3">
      <c r="A37" s="540">
        <v>18010500</v>
      </c>
      <c r="B37" s="552" t="s">
        <v>82</v>
      </c>
      <c r="C37" s="542">
        <f t="shared" si="0"/>
        <v>38400000</v>
      </c>
      <c r="D37" s="548">
        <v>38400000</v>
      </c>
      <c r="E37" s="543"/>
      <c r="F37" s="543"/>
      <c r="G37" s="14"/>
    </row>
    <row r="38" spans="1:7" ht="16.5" thickTop="1" thickBot="1" x14ac:dyDescent="0.3">
      <c r="A38" s="540">
        <v>18010600</v>
      </c>
      <c r="B38" s="566" t="s">
        <v>83</v>
      </c>
      <c r="C38" s="542">
        <f t="shared" si="0"/>
        <v>107104000</v>
      </c>
      <c r="D38" s="548">
        <v>107104000</v>
      </c>
      <c r="E38" s="543"/>
      <c r="F38" s="543"/>
      <c r="G38" s="14"/>
    </row>
    <row r="39" spans="1:7" ht="16.5" thickTop="1" thickBot="1" x14ac:dyDescent="0.3">
      <c r="A39" s="540">
        <v>18010700</v>
      </c>
      <c r="B39" s="566" t="s">
        <v>84</v>
      </c>
      <c r="C39" s="542">
        <f t="shared" si="0"/>
        <v>2433200</v>
      </c>
      <c r="D39" s="548">
        <v>2433200</v>
      </c>
      <c r="E39" s="543"/>
      <c r="F39" s="543"/>
      <c r="G39" s="14"/>
    </row>
    <row r="40" spans="1:7" ht="16.5" thickTop="1" thickBot="1" x14ac:dyDescent="0.3">
      <c r="A40" s="540">
        <v>18010900</v>
      </c>
      <c r="B40" s="566" t="s">
        <v>85</v>
      </c>
      <c r="C40" s="542">
        <f t="shared" si="0"/>
        <v>29984100</v>
      </c>
      <c r="D40" s="548">
        <v>29984100</v>
      </c>
      <c r="E40" s="543"/>
      <c r="F40" s="543"/>
      <c r="G40" s="14"/>
    </row>
    <row r="41" spans="1:7" ht="16.5" thickTop="1" thickBot="1" x14ac:dyDescent="0.25">
      <c r="A41" s="540">
        <v>18011000</v>
      </c>
      <c r="B41" s="566" t="s">
        <v>86</v>
      </c>
      <c r="C41" s="542">
        <f t="shared" si="0"/>
        <v>400000</v>
      </c>
      <c r="D41" s="548">
        <v>400000</v>
      </c>
      <c r="E41" s="543"/>
      <c r="F41" s="543"/>
      <c r="G41" s="15"/>
    </row>
    <row r="42" spans="1:7" ht="16.5" thickTop="1" thickBot="1" x14ac:dyDescent="0.3">
      <c r="A42" s="540">
        <v>18011100</v>
      </c>
      <c r="B42" s="566" t="s">
        <v>87</v>
      </c>
      <c r="C42" s="542">
        <f t="shared" si="0"/>
        <v>300000</v>
      </c>
      <c r="D42" s="548">
        <v>300000</v>
      </c>
      <c r="E42" s="543"/>
      <c r="F42" s="543"/>
      <c r="G42" s="14"/>
    </row>
    <row r="43" spans="1:7" ht="16.5" thickTop="1" thickBot="1" x14ac:dyDescent="0.3">
      <c r="A43" s="537">
        <v>18030000</v>
      </c>
      <c r="B43" s="567" t="s">
        <v>88</v>
      </c>
      <c r="C43" s="542">
        <f t="shared" si="0"/>
        <v>620000</v>
      </c>
      <c r="D43" s="542">
        <f>SUM(D44:D45)</f>
        <v>620000</v>
      </c>
      <c r="E43" s="539"/>
      <c r="F43" s="539"/>
      <c r="G43" s="14"/>
    </row>
    <row r="44" spans="1:7" ht="16.5" thickTop="1" thickBot="1" x14ac:dyDescent="0.3">
      <c r="A44" s="540">
        <v>18030100</v>
      </c>
      <c r="B44" s="566" t="s">
        <v>89</v>
      </c>
      <c r="C44" s="542">
        <f t="shared" si="0"/>
        <v>385000</v>
      </c>
      <c r="D44" s="548">
        <v>385000</v>
      </c>
      <c r="E44" s="543"/>
      <c r="F44" s="543"/>
      <c r="G44" s="14"/>
    </row>
    <row r="45" spans="1:7" ht="16.5" thickTop="1" thickBot="1" x14ac:dyDescent="0.3">
      <c r="A45" s="540">
        <v>18030200</v>
      </c>
      <c r="B45" s="566" t="s">
        <v>90</v>
      </c>
      <c r="C45" s="542">
        <f t="shared" si="0"/>
        <v>235000</v>
      </c>
      <c r="D45" s="548">
        <v>235000</v>
      </c>
      <c r="E45" s="543"/>
      <c r="F45" s="543"/>
      <c r="G45" s="14"/>
    </row>
    <row r="46" spans="1:7" ht="16.5" thickTop="1" thickBot="1" x14ac:dyDescent="0.3">
      <c r="A46" s="537">
        <v>18050000</v>
      </c>
      <c r="B46" s="565" t="s">
        <v>91</v>
      </c>
      <c r="C46" s="542">
        <f t="shared" si="0"/>
        <v>369438700</v>
      </c>
      <c r="D46" s="542">
        <f>SUM(D47:D49)</f>
        <v>369438700</v>
      </c>
      <c r="E46" s="543"/>
      <c r="F46" s="543"/>
      <c r="G46" s="14"/>
    </row>
    <row r="47" spans="1:7" ht="25.5" thickTop="1" thickBot="1" x14ac:dyDescent="0.3">
      <c r="A47" s="540">
        <v>18050300</v>
      </c>
      <c r="B47" s="547" t="s">
        <v>92</v>
      </c>
      <c r="C47" s="542">
        <f t="shared" si="0"/>
        <v>65570000</v>
      </c>
      <c r="D47" s="548">
        <v>65570000</v>
      </c>
      <c r="E47" s="543"/>
      <c r="F47" s="543"/>
      <c r="G47" s="14"/>
    </row>
    <row r="48" spans="1:7" ht="16.5" thickTop="1" thickBot="1" x14ac:dyDescent="0.25">
      <c r="A48" s="540">
        <v>18050400</v>
      </c>
      <c r="B48" s="566" t="s">
        <v>93</v>
      </c>
      <c r="C48" s="542">
        <f t="shared" si="0"/>
        <v>299857530</v>
      </c>
      <c r="D48" s="548">
        <v>299857530</v>
      </c>
      <c r="E48" s="543"/>
      <c r="F48" s="543"/>
      <c r="G48" s="15"/>
    </row>
    <row r="49" spans="1:7" ht="61.5" thickTop="1" thickBot="1" x14ac:dyDescent="0.25">
      <c r="A49" s="568">
        <v>18050500</v>
      </c>
      <c r="B49" s="569" t="s">
        <v>632</v>
      </c>
      <c r="C49" s="557">
        <f t="shared" si="0"/>
        <v>4011170</v>
      </c>
      <c r="D49" s="561">
        <v>4011170</v>
      </c>
      <c r="E49" s="570"/>
      <c r="F49" s="570"/>
      <c r="G49" s="132"/>
    </row>
    <row r="50" spans="1:7" ht="16.5" thickTop="1" thickBot="1" x14ac:dyDescent="0.25">
      <c r="A50" s="537">
        <v>19000000</v>
      </c>
      <c r="B50" s="565" t="s">
        <v>625</v>
      </c>
      <c r="C50" s="539">
        <f t="shared" si="0"/>
        <v>630900</v>
      </c>
      <c r="D50" s="539"/>
      <c r="E50" s="539">
        <f>SUM(E52:E54)</f>
        <v>630900</v>
      </c>
      <c r="F50" s="543"/>
      <c r="G50" s="15"/>
    </row>
    <row r="51" spans="1:7" ht="16.5" thickTop="1" thickBot="1" x14ac:dyDescent="0.3">
      <c r="A51" s="537">
        <v>1901000</v>
      </c>
      <c r="B51" s="564" t="s">
        <v>94</v>
      </c>
      <c r="C51" s="542">
        <f>SUM(D51,E51)</f>
        <v>630900</v>
      </c>
      <c r="D51" s="542">
        <f>SUM(D52:D54)</f>
        <v>0</v>
      </c>
      <c r="E51" s="539">
        <f>SUM(E52:E54)</f>
        <v>630900</v>
      </c>
      <c r="F51" s="539"/>
      <c r="G51" s="14"/>
    </row>
    <row r="52" spans="1:7" ht="49.5" thickTop="1" thickBot="1" x14ac:dyDescent="0.3">
      <c r="A52" s="540">
        <v>19010100</v>
      </c>
      <c r="B52" s="547" t="s">
        <v>626</v>
      </c>
      <c r="C52" s="542">
        <f t="shared" si="0"/>
        <v>255750</v>
      </c>
      <c r="D52" s="548"/>
      <c r="E52" s="543">
        <v>255750</v>
      </c>
      <c r="F52" s="543"/>
      <c r="G52" s="14"/>
    </row>
    <row r="53" spans="1:7" ht="25.5" thickTop="1" thickBot="1" x14ac:dyDescent="0.25">
      <c r="A53" s="540">
        <v>19010200</v>
      </c>
      <c r="B53" s="547" t="s">
        <v>95</v>
      </c>
      <c r="C53" s="542">
        <f t="shared" si="0"/>
        <v>120000</v>
      </c>
      <c r="D53" s="548"/>
      <c r="E53" s="543">
        <v>120000</v>
      </c>
      <c r="F53" s="543"/>
      <c r="G53" s="17"/>
    </row>
    <row r="54" spans="1:7" ht="37.5" thickTop="1" thickBot="1" x14ac:dyDescent="0.3">
      <c r="A54" s="540">
        <v>19010300</v>
      </c>
      <c r="B54" s="547" t="s">
        <v>96</v>
      </c>
      <c r="C54" s="542">
        <f t="shared" si="0"/>
        <v>255150</v>
      </c>
      <c r="D54" s="548"/>
      <c r="E54" s="543">
        <v>255150</v>
      </c>
      <c r="F54" s="543"/>
      <c r="G54" s="14"/>
    </row>
    <row r="55" spans="1:7" ht="16.5" thickTop="1" thickBot="1" x14ac:dyDescent="0.3">
      <c r="A55" s="537">
        <v>20000000</v>
      </c>
      <c r="B55" s="538" t="s">
        <v>97</v>
      </c>
      <c r="C55" s="539">
        <f>SUM(D55,E55)</f>
        <v>211503035</v>
      </c>
      <c r="D55" s="539">
        <f>SUM(D56,D64,D74)</f>
        <v>49227964</v>
      </c>
      <c r="E55" s="539">
        <f>SUM(E56:E74)+E79</f>
        <v>162275071</v>
      </c>
      <c r="F55" s="539">
        <f>SUM(F58,F64,F74,F71)</f>
        <v>5000012</v>
      </c>
      <c r="G55" s="14"/>
    </row>
    <row r="56" spans="1:7" ht="30" thickTop="1" thickBot="1" x14ac:dyDescent="0.3">
      <c r="A56" s="571">
        <v>21000000</v>
      </c>
      <c r="B56" s="572" t="s">
        <v>627</v>
      </c>
      <c r="C56" s="573">
        <f t="shared" si="0"/>
        <v>13876004</v>
      </c>
      <c r="D56" s="573">
        <f>SUM(D57,D60,D59)</f>
        <v>13876004</v>
      </c>
      <c r="E56" s="539"/>
      <c r="F56" s="539"/>
      <c r="G56" s="14"/>
    </row>
    <row r="57" spans="1:7" ht="49.5" thickTop="1" thickBot="1" x14ac:dyDescent="0.3">
      <c r="A57" s="571">
        <v>21010000</v>
      </c>
      <c r="B57" s="574" t="s">
        <v>628</v>
      </c>
      <c r="C57" s="573">
        <f t="shared" si="0"/>
        <v>568800</v>
      </c>
      <c r="D57" s="561">
        <v>568800</v>
      </c>
      <c r="E57" s="539"/>
      <c r="F57" s="539"/>
      <c r="G57" s="14"/>
    </row>
    <row r="58" spans="1:7" ht="49.5" thickTop="1" thickBot="1" x14ac:dyDescent="0.3">
      <c r="A58" s="540">
        <v>21010300</v>
      </c>
      <c r="B58" s="555" t="s">
        <v>98</v>
      </c>
      <c r="C58" s="542">
        <f t="shared" si="0"/>
        <v>568800</v>
      </c>
      <c r="D58" s="548">
        <v>568800</v>
      </c>
      <c r="E58" s="543"/>
      <c r="F58" s="543"/>
      <c r="G58" s="14"/>
    </row>
    <row r="59" spans="1:7" ht="16.5" thickTop="1" thickBot="1" x14ac:dyDescent="0.3">
      <c r="A59" s="540">
        <v>21050000</v>
      </c>
      <c r="B59" s="555" t="s">
        <v>99</v>
      </c>
      <c r="C59" s="542">
        <f t="shared" si="0"/>
        <v>2500000</v>
      </c>
      <c r="D59" s="561">
        <v>2500000</v>
      </c>
      <c r="E59" s="543"/>
      <c r="F59" s="543"/>
      <c r="G59" s="14"/>
    </row>
    <row r="60" spans="1:7" ht="28.5" thickTop="1" thickBot="1" x14ac:dyDescent="0.25">
      <c r="A60" s="575">
        <v>21800000</v>
      </c>
      <c r="B60" s="576" t="s">
        <v>100</v>
      </c>
      <c r="C60" s="542">
        <f>SUM(D60,E60)</f>
        <v>10807204</v>
      </c>
      <c r="D60" s="577">
        <f>SUM(D61:D63)</f>
        <v>10807204</v>
      </c>
      <c r="E60" s="545"/>
      <c r="F60" s="545"/>
      <c r="G60" s="17"/>
    </row>
    <row r="61" spans="1:7" ht="16.5" thickTop="1" thickBot="1" x14ac:dyDescent="0.3">
      <c r="A61" s="546">
        <v>21081100</v>
      </c>
      <c r="B61" s="578" t="s">
        <v>101</v>
      </c>
      <c r="C61" s="542">
        <f>SUM(D61,E61)</f>
        <v>507204</v>
      </c>
      <c r="D61" s="579">
        <v>507204</v>
      </c>
      <c r="E61" s="543"/>
      <c r="F61" s="543"/>
      <c r="G61" s="14"/>
    </row>
    <row r="62" spans="1:7" ht="37.5" thickTop="1" thickBot="1" x14ac:dyDescent="0.3">
      <c r="A62" s="540">
        <v>21081500</v>
      </c>
      <c r="B62" s="547" t="s">
        <v>102</v>
      </c>
      <c r="C62" s="542">
        <f>SUM(D62,E62)</f>
        <v>800000</v>
      </c>
      <c r="D62" s="579">
        <v>800000</v>
      </c>
      <c r="E62" s="543"/>
      <c r="F62" s="543"/>
      <c r="G62" s="14"/>
    </row>
    <row r="63" spans="1:7" ht="16.5" thickTop="1" thickBot="1" x14ac:dyDescent="0.3">
      <c r="A63" s="580">
        <v>21081700</v>
      </c>
      <c r="B63" s="581" t="s">
        <v>403</v>
      </c>
      <c r="C63" s="545">
        <f>SUM(D63,E63)</f>
        <v>9500000</v>
      </c>
      <c r="D63" s="577">
        <v>9500000</v>
      </c>
      <c r="E63" s="582"/>
      <c r="F63" s="582"/>
      <c r="G63" s="46"/>
    </row>
    <row r="64" spans="1:7" ht="28.5" thickTop="1" thickBot="1" x14ac:dyDescent="0.3">
      <c r="A64" s="537">
        <v>22000000</v>
      </c>
      <c r="B64" s="544" t="s">
        <v>103</v>
      </c>
      <c r="C64" s="542">
        <f t="shared" si="0"/>
        <v>28391960</v>
      </c>
      <c r="D64" s="561">
        <f>SUM(D65,D69,D71)</f>
        <v>28391960</v>
      </c>
      <c r="E64" s="543"/>
      <c r="F64" s="543"/>
      <c r="G64" s="14"/>
    </row>
    <row r="65" spans="1:7" ht="16.5" thickTop="1" thickBot="1" x14ac:dyDescent="0.3">
      <c r="A65" s="571">
        <v>22010000</v>
      </c>
      <c r="B65" s="583" t="s">
        <v>629</v>
      </c>
      <c r="C65" s="557">
        <f t="shared" si="0"/>
        <v>19380100</v>
      </c>
      <c r="D65" s="561">
        <f>SUM(D66:D68)</f>
        <v>19380100</v>
      </c>
      <c r="E65" s="543"/>
      <c r="F65" s="543"/>
      <c r="G65" s="14"/>
    </row>
    <row r="66" spans="1:7" ht="39.75" thickTop="1" thickBot="1" x14ac:dyDescent="0.3">
      <c r="A66" s="540">
        <v>22010300</v>
      </c>
      <c r="B66" s="584" t="s">
        <v>164</v>
      </c>
      <c r="C66" s="542">
        <f t="shared" si="0"/>
        <v>1000000</v>
      </c>
      <c r="D66" s="561">
        <v>1000000</v>
      </c>
      <c r="E66" s="543"/>
      <c r="F66" s="543"/>
      <c r="G66" s="14"/>
    </row>
    <row r="67" spans="1:7" ht="16.5" thickTop="1" thickBot="1" x14ac:dyDescent="0.3">
      <c r="A67" s="540">
        <v>22012500</v>
      </c>
      <c r="B67" s="547" t="s">
        <v>105</v>
      </c>
      <c r="C67" s="542">
        <f t="shared" si="0"/>
        <v>16852400</v>
      </c>
      <c r="D67" s="561">
        <v>16852400</v>
      </c>
      <c r="E67" s="543"/>
      <c r="F67" s="548"/>
      <c r="G67" s="14"/>
    </row>
    <row r="68" spans="1:7" ht="27" thickTop="1" thickBot="1" x14ac:dyDescent="0.3">
      <c r="A68" s="540">
        <v>22012600</v>
      </c>
      <c r="B68" s="584" t="s">
        <v>104</v>
      </c>
      <c r="C68" s="542">
        <f>SUM(D68,E68)</f>
        <v>1527700</v>
      </c>
      <c r="D68" s="561">
        <v>1527700</v>
      </c>
      <c r="E68" s="543"/>
      <c r="F68" s="543"/>
      <c r="G68" s="14"/>
    </row>
    <row r="69" spans="1:7" ht="39.75" thickTop="1" thickBot="1" x14ac:dyDescent="0.3">
      <c r="A69" s="537">
        <v>2208000</v>
      </c>
      <c r="B69" s="584" t="s">
        <v>630</v>
      </c>
      <c r="C69" s="542">
        <f t="shared" si="0"/>
        <v>8500000</v>
      </c>
      <c r="D69" s="561">
        <v>8500000</v>
      </c>
      <c r="E69" s="543"/>
      <c r="F69" s="543"/>
      <c r="G69" s="14"/>
    </row>
    <row r="70" spans="1:7" ht="37.5" thickTop="1" thickBot="1" x14ac:dyDescent="0.3">
      <c r="A70" s="546">
        <v>22080400</v>
      </c>
      <c r="B70" s="578" t="s">
        <v>106</v>
      </c>
      <c r="C70" s="542">
        <f t="shared" si="0"/>
        <v>8500000</v>
      </c>
      <c r="D70" s="548">
        <v>8500000</v>
      </c>
      <c r="E70" s="543"/>
      <c r="F70" s="543"/>
      <c r="G70" s="14"/>
    </row>
    <row r="71" spans="1:7" ht="16.5" thickTop="1" thickBot="1" x14ac:dyDescent="0.3">
      <c r="A71" s="554">
        <v>22090000</v>
      </c>
      <c r="B71" s="585" t="s">
        <v>107</v>
      </c>
      <c r="C71" s="542">
        <f t="shared" si="0"/>
        <v>511860</v>
      </c>
      <c r="D71" s="542">
        <f>SUM(D72:D73)</f>
        <v>511860</v>
      </c>
      <c r="E71" s="586"/>
      <c r="F71" s="586"/>
      <c r="G71" s="14"/>
    </row>
    <row r="72" spans="1:7" ht="37.5" thickTop="1" thickBot="1" x14ac:dyDescent="0.3">
      <c r="A72" s="546">
        <v>22090100</v>
      </c>
      <c r="B72" s="566" t="s">
        <v>108</v>
      </c>
      <c r="C72" s="542">
        <f t="shared" si="0"/>
        <v>400260</v>
      </c>
      <c r="D72" s="548">
        <v>400260</v>
      </c>
      <c r="E72" s="543"/>
      <c r="F72" s="543"/>
      <c r="G72" s="14"/>
    </row>
    <row r="73" spans="1:7" ht="37.5" thickTop="1" thickBot="1" x14ac:dyDescent="0.25">
      <c r="A73" s="546">
        <v>22090400</v>
      </c>
      <c r="B73" s="566" t="s">
        <v>109</v>
      </c>
      <c r="C73" s="542">
        <f t="shared" si="0"/>
        <v>111600</v>
      </c>
      <c r="D73" s="548">
        <v>111600</v>
      </c>
      <c r="E73" s="543"/>
      <c r="F73" s="543"/>
      <c r="G73" s="16"/>
    </row>
    <row r="74" spans="1:7" ht="16.5" thickTop="1" thickBot="1" x14ac:dyDescent="0.3">
      <c r="A74" s="537">
        <v>24000000</v>
      </c>
      <c r="B74" s="585" t="s">
        <v>110</v>
      </c>
      <c r="C74" s="539">
        <f t="shared" si="0"/>
        <v>11960012</v>
      </c>
      <c r="D74" s="587">
        <f>D75+D76+D78</f>
        <v>6960000</v>
      </c>
      <c r="E74" s="587">
        <f>E75+E78+E77</f>
        <v>5000012</v>
      </c>
      <c r="F74" s="539">
        <f>SUM(F78+E77)</f>
        <v>5000012</v>
      </c>
      <c r="G74" s="14"/>
    </row>
    <row r="75" spans="1:7" ht="16.5" thickTop="1" thickBot="1" x14ac:dyDescent="0.3">
      <c r="A75" s="546">
        <v>24060300</v>
      </c>
      <c r="B75" s="547" t="s">
        <v>111</v>
      </c>
      <c r="C75" s="542">
        <f t="shared" si="0"/>
        <v>4500000</v>
      </c>
      <c r="D75" s="588">
        <v>4500000</v>
      </c>
      <c r="E75" s="588"/>
      <c r="F75" s="588"/>
      <c r="G75" s="14"/>
    </row>
    <row r="76" spans="1:7" ht="62.25" thickTop="1" thickBot="1" x14ac:dyDescent="0.3">
      <c r="A76" s="546">
        <v>24062200</v>
      </c>
      <c r="B76" s="589" t="s">
        <v>404</v>
      </c>
      <c r="C76" s="542">
        <f t="shared" si="0"/>
        <v>2460000</v>
      </c>
      <c r="D76" s="588">
        <v>2460000</v>
      </c>
      <c r="E76" s="588"/>
      <c r="F76" s="588"/>
      <c r="G76" s="14"/>
    </row>
    <row r="77" spans="1:7" ht="25.5" thickTop="1" thickBot="1" x14ac:dyDescent="0.3">
      <c r="A77" s="546">
        <v>24110700</v>
      </c>
      <c r="B77" s="590" t="s">
        <v>722</v>
      </c>
      <c r="C77" s="542">
        <v>12</v>
      </c>
      <c r="D77" s="588"/>
      <c r="E77" s="588">
        <v>12</v>
      </c>
      <c r="F77" s="588">
        <v>12</v>
      </c>
      <c r="G77" s="14"/>
    </row>
    <row r="78" spans="1:7" ht="25.5" thickTop="1" thickBot="1" x14ac:dyDescent="0.25">
      <c r="A78" s="546">
        <v>24170000</v>
      </c>
      <c r="B78" s="552" t="s">
        <v>112</v>
      </c>
      <c r="C78" s="542">
        <f>SUM(D78,E78)</f>
        <v>5000000</v>
      </c>
      <c r="D78" s="588"/>
      <c r="E78" s="588">
        <v>5000000</v>
      </c>
      <c r="F78" s="588">
        <v>5000000</v>
      </c>
      <c r="G78" s="15"/>
    </row>
    <row r="79" spans="1:7" ht="16.5" thickTop="1" thickBot="1" x14ac:dyDescent="0.3">
      <c r="A79" s="537">
        <v>25000000</v>
      </c>
      <c r="B79" s="541" t="s">
        <v>113</v>
      </c>
      <c r="C79" s="542">
        <f>SUM(D79,E79)</f>
        <v>157275059</v>
      </c>
      <c r="D79" s="550">
        <f>SUM(D80:D84,)</f>
        <v>0</v>
      </c>
      <c r="E79" s="550">
        <f>SUM(E80)</f>
        <v>157275059</v>
      </c>
      <c r="F79" s="550"/>
      <c r="G79" s="14"/>
    </row>
    <row r="80" spans="1:7" ht="39.75" thickTop="1" thickBot="1" x14ac:dyDescent="0.3">
      <c r="A80" s="540">
        <v>25010000</v>
      </c>
      <c r="B80" s="591" t="s">
        <v>114</v>
      </c>
      <c r="C80" s="542">
        <f>SUM(D80,E80)</f>
        <v>157275059</v>
      </c>
      <c r="D80" s="588">
        <v>0</v>
      </c>
      <c r="E80" s="588">
        <f>SUM(E81:E84)</f>
        <v>157275059</v>
      </c>
      <c r="F80" s="588"/>
      <c r="G80" s="14"/>
    </row>
    <row r="81" spans="1:7" ht="27" thickTop="1" thickBot="1" x14ac:dyDescent="0.3">
      <c r="A81" s="540">
        <v>25010100</v>
      </c>
      <c r="B81" s="592" t="s">
        <v>115</v>
      </c>
      <c r="C81" s="542">
        <f>SUM(D81,E81)</f>
        <v>144438629</v>
      </c>
      <c r="D81" s="588"/>
      <c r="E81" s="588">
        <v>144438629</v>
      </c>
      <c r="F81" s="588"/>
      <c r="G81" s="14"/>
    </row>
    <row r="82" spans="1:7" ht="27" thickTop="1" thickBot="1" x14ac:dyDescent="0.3">
      <c r="A82" s="540">
        <v>25010200</v>
      </c>
      <c r="B82" s="592" t="s">
        <v>116</v>
      </c>
      <c r="C82" s="542">
        <f t="shared" si="0"/>
        <v>10585664</v>
      </c>
      <c r="D82" s="588"/>
      <c r="E82" s="588">
        <v>10585664</v>
      </c>
      <c r="F82" s="588"/>
      <c r="G82" s="14"/>
    </row>
    <row r="83" spans="1:7" ht="16.5" thickTop="1" thickBot="1" x14ac:dyDescent="0.3">
      <c r="A83" s="540">
        <v>25010300</v>
      </c>
      <c r="B83" s="592" t="s">
        <v>117</v>
      </c>
      <c r="C83" s="542">
        <f t="shared" si="0"/>
        <v>2197266</v>
      </c>
      <c r="D83" s="588"/>
      <c r="E83" s="588">
        <v>2197266</v>
      </c>
      <c r="F83" s="588"/>
      <c r="G83" s="14"/>
    </row>
    <row r="84" spans="1:7" ht="39.75" thickTop="1" thickBot="1" x14ac:dyDescent="0.3">
      <c r="A84" s="540">
        <v>25010400</v>
      </c>
      <c r="B84" s="592" t="s">
        <v>118</v>
      </c>
      <c r="C84" s="542">
        <f t="shared" si="0"/>
        <v>53500</v>
      </c>
      <c r="D84" s="588"/>
      <c r="E84" s="588">
        <v>53500</v>
      </c>
      <c r="F84" s="588"/>
      <c r="G84" s="14"/>
    </row>
    <row r="85" spans="1:7" ht="15.75" thickTop="1" thickBot="1" x14ac:dyDescent="0.25">
      <c r="A85" s="537">
        <v>30000000</v>
      </c>
      <c r="B85" s="538" t="s">
        <v>119</v>
      </c>
      <c r="C85" s="539">
        <f t="shared" si="0"/>
        <v>16447343</v>
      </c>
      <c r="D85" s="587">
        <f>SUM(D86)</f>
        <v>25000</v>
      </c>
      <c r="E85" s="587">
        <f>SUM(E86,E90)</f>
        <v>16422343</v>
      </c>
      <c r="F85" s="587">
        <f>SUM(F89:F90)</f>
        <v>16422343</v>
      </c>
      <c r="G85" s="16"/>
    </row>
    <row r="86" spans="1:7" ht="31.5" thickTop="1" thickBot="1" x14ac:dyDescent="0.3">
      <c r="A86" s="540">
        <v>31000000</v>
      </c>
      <c r="B86" s="593" t="s">
        <v>120</v>
      </c>
      <c r="C86" s="542">
        <f t="shared" si="0"/>
        <v>3710000</v>
      </c>
      <c r="D86" s="545">
        <f>D87</f>
        <v>25000</v>
      </c>
      <c r="E86" s="545">
        <f>SUM(E89)</f>
        <v>3685000</v>
      </c>
      <c r="F86" s="594">
        <v>3685000</v>
      </c>
      <c r="G86" s="14"/>
    </row>
    <row r="87" spans="1:7" ht="49.5" thickTop="1" thickBot="1" x14ac:dyDescent="0.3">
      <c r="A87" s="540">
        <v>3101000</v>
      </c>
      <c r="B87" s="547" t="s">
        <v>631</v>
      </c>
      <c r="C87" s="542">
        <f t="shared" si="0"/>
        <v>25000</v>
      </c>
      <c r="D87" s="588">
        <v>25000</v>
      </c>
      <c r="E87" s="545"/>
      <c r="F87" s="545"/>
      <c r="G87" s="14"/>
    </row>
    <row r="88" spans="1:7" ht="61.5" thickTop="1" thickBot="1" x14ac:dyDescent="0.3">
      <c r="A88" s="546">
        <v>31010200</v>
      </c>
      <c r="B88" s="552" t="s">
        <v>121</v>
      </c>
      <c r="C88" s="542">
        <f>SUM(D88,E88)</f>
        <v>25000</v>
      </c>
      <c r="D88" s="588">
        <v>25000</v>
      </c>
      <c r="E88" s="588"/>
      <c r="F88" s="588"/>
      <c r="G88" s="14"/>
    </row>
    <row r="89" spans="1:7" ht="37.5" thickTop="1" thickBot="1" x14ac:dyDescent="0.3">
      <c r="A89" s="546">
        <v>31030000</v>
      </c>
      <c r="B89" s="595" t="s">
        <v>122</v>
      </c>
      <c r="C89" s="542">
        <f t="shared" si="0"/>
        <v>3685000</v>
      </c>
      <c r="D89" s="548"/>
      <c r="E89" s="548">
        <v>3685000</v>
      </c>
      <c r="F89" s="548">
        <v>3685000</v>
      </c>
      <c r="G89" s="14"/>
    </row>
    <row r="90" spans="1:7" ht="31.5" thickTop="1" thickBot="1" x14ac:dyDescent="0.3">
      <c r="A90" s="540">
        <v>33000000</v>
      </c>
      <c r="B90" s="593" t="s">
        <v>123</v>
      </c>
      <c r="C90" s="542">
        <f t="shared" si="0"/>
        <v>12737343</v>
      </c>
      <c r="D90" s="545"/>
      <c r="E90" s="545">
        <f>SUM(E91)</f>
        <v>12737343</v>
      </c>
      <c r="F90" s="545">
        <f>SUM(F91)</f>
        <v>12737343</v>
      </c>
      <c r="G90" s="14"/>
    </row>
    <row r="91" spans="1:7" ht="16.5" thickTop="1" thickBot="1" x14ac:dyDescent="0.3">
      <c r="A91" s="540">
        <v>33010000</v>
      </c>
      <c r="B91" s="593" t="s">
        <v>124</v>
      </c>
      <c r="C91" s="542">
        <f t="shared" si="0"/>
        <v>12737343</v>
      </c>
      <c r="D91" s="548"/>
      <c r="E91" s="548">
        <f>SUM(E92,E93)</f>
        <v>12737343</v>
      </c>
      <c r="F91" s="548">
        <f>SUM(F92,F93)</f>
        <v>12737343</v>
      </c>
      <c r="G91" s="14"/>
    </row>
    <row r="92" spans="1:7" ht="49.5" thickTop="1" thickBot="1" x14ac:dyDescent="0.3">
      <c r="A92" s="540">
        <v>33010100</v>
      </c>
      <c r="B92" s="595" t="s">
        <v>370</v>
      </c>
      <c r="C92" s="542">
        <f t="shared" si="0"/>
        <v>11477846</v>
      </c>
      <c r="D92" s="548"/>
      <c r="E92" s="548">
        <v>11477846</v>
      </c>
      <c r="F92" s="548">
        <v>11477846</v>
      </c>
      <c r="G92" s="14"/>
    </row>
    <row r="93" spans="1:7" ht="49.5" thickTop="1" thickBot="1" x14ac:dyDescent="0.3">
      <c r="A93" s="540">
        <v>33010200</v>
      </c>
      <c r="B93" s="595" t="s">
        <v>125</v>
      </c>
      <c r="C93" s="542">
        <f t="shared" ref="C93" si="2">SUM(D93,E93)</f>
        <v>1259497</v>
      </c>
      <c r="D93" s="548"/>
      <c r="E93" s="548">
        <v>1259497</v>
      </c>
      <c r="F93" s="548">
        <v>1259497</v>
      </c>
      <c r="G93" s="14"/>
    </row>
    <row r="94" spans="1:7" ht="20.25" thickTop="1" thickBot="1" x14ac:dyDescent="0.3">
      <c r="A94" s="537">
        <v>50000000</v>
      </c>
      <c r="B94" s="596" t="s">
        <v>534</v>
      </c>
      <c r="C94" s="542">
        <f>SUM(D94,E94)</f>
        <v>6501200</v>
      </c>
      <c r="D94" s="548"/>
      <c r="E94" s="542">
        <f>SUM(E95)</f>
        <v>6501200</v>
      </c>
      <c r="F94" s="548"/>
      <c r="G94" s="14"/>
    </row>
    <row r="95" spans="1:7" ht="52.5" thickTop="1" thickBot="1" x14ac:dyDescent="0.3">
      <c r="A95" s="537">
        <v>50110000</v>
      </c>
      <c r="B95" s="559" t="s">
        <v>126</v>
      </c>
      <c r="C95" s="542">
        <f>SUM(D95,E95)</f>
        <v>6501200</v>
      </c>
      <c r="D95" s="548"/>
      <c r="E95" s="542">
        <v>6501200</v>
      </c>
      <c r="F95" s="548"/>
      <c r="G95" s="14"/>
    </row>
    <row r="96" spans="1:7" ht="33" thickTop="1" thickBot="1" x14ac:dyDescent="0.25">
      <c r="A96" s="537"/>
      <c r="B96" s="556" t="s">
        <v>535</v>
      </c>
      <c r="C96" s="597">
        <f>SUM(D96,E96)</f>
        <v>2510987256</v>
      </c>
      <c r="D96" s="598">
        <f>D11+D55+D85</f>
        <v>2325157742</v>
      </c>
      <c r="E96" s="598">
        <f>E11+E55+E85+E95</f>
        <v>185829514</v>
      </c>
      <c r="F96" s="598">
        <f>F11+F55+F79+F85</f>
        <v>21422355</v>
      </c>
      <c r="G96" s="15"/>
    </row>
    <row r="97" spans="1:7" ht="17.25" thickTop="1" thickBot="1" x14ac:dyDescent="0.25">
      <c r="A97" s="537">
        <v>40000000</v>
      </c>
      <c r="B97" s="556" t="s">
        <v>457</v>
      </c>
      <c r="C97" s="597">
        <f>SUM(D97,E97)</f>
        <v>802507556.82000005</v>
      </c>
      <c r="D97" s="598">
        <f>SUM(D100,D98)</f>
        <v>780807556.82000005</v>
      </c>
      <c r="E97" s="598">
        <f>SUM(E100,E98)</f>
        <v>21700000</v>
      </c>
      <c r="F97" s="598">
        <f>SUM(F100,F98)</f>
        <v>20000000</v>
      </c>
      <c r="G97" s="15"/>
    </row>
    <row r="98" spans="1:7" ht="27" thickTop="1" thickBot="1" x14ac:dyDescent="0.25">
      <c r="A98" s="536">
        <v>41040000</v>
      </c>
      <c r="B98" s="559" t="s">
        <v>372</v>
      </c>
      <c r="C98" s="597">
        <f t="shared" ref="C98:C99" si="3">SUM(D98,E98)</f>
        <v>12117934</v>
      </c>
      <c r="D98" s="598">
        <f>SUM(D99)</f>
        <v>12117934</v>
      </c>
      <c r="E98" s="587"/>
      <c r="F98" s="587"/>
      <c r="G98" s="15"/>
    </row>
    <row r="99" spans="1:7" ht="65.25" thickTop="1" thickBot="1" x14ac:dyDescent="0.25">
      <c r="A99" s="540">
        <v>41040200</v>
      </c>
      <c r="B99" s="560" t="s">
        <v>371</v>
      </c>
      <c r="C99" s="597">
        <f t="shared" si="3"/>
        <v>12117934</v>
      </c>
      <c r="D99" s="598">
        <v>12117934</v>
      </c>
      <c r="E99" s="587"/>
      <c r="F99" s="587"/>
      <c r="G99" s="15"/>
    </row>
    <row r="100" spans="1:7" ht="15.75" thickTop="1" thickBot="1" x14ac:dyDescent="0.25">
      <c r="A100" s="537">
        <v>41000000</v>
      </c>
      <c r="B100" s="564" t="s">
        <v>127</v>
      </c>
      <c r="C100" s="539">
        <f>SUM(D100,CE4997)</f>
        <v>768689622.82000005</v>
      </c>
      <c r="D100" s="587">
        <f>SUM(D101,D107)</f>
        <v>768689622.82000005</v>
      </c>
      <c r="E100" s="587">
        <f>SUM(E101,E107)</f>
        <v>21700000</v>
      </c>
      <c r="F100" s="587">
        <f>SUM(F101,F107)</f>
        <v>20000000</v>
      </c>
      <c r="G100" s="15"/>
    </row>
    <row r="101" spans="1:7" ht="27" thickTop="1" thickBot="1" x14ac:dyDescent="0.3">
      <c r="A101" s="536">
        <v>41030000</v>
      </c>
      <c r="B101" s="541" t="s">
        <v>472</v>
      </c>
      <c r="C101" s="542">
        <f>SUM(D101)</f>
        <v>720933995</v>
      </c>
      <c r="D101" s="550">
        <f>SUM(D102:D106)</f>
        <v>720933995</v>
      </c>
      <c r="E101" s="550">
        <f>SUM(E103:E106)</f>
        <v>0</v>
      </c>
      <c r="F101" s="551"/>
      <c r="G101" s="14"/>
    </row>
    <row r="102" spans="1:7" ht="52.5" thickTop="1" thickBot="1" x14ac:dyDescent="0.3">
      <c r="A102" s="536">
        <v>41032300</v>
      </c>
      <c r="B102" s="584" t="s">
        <v>1298</v>
      </c>
      <c r="C102" s="542">
        <v>25000000</v>
      </c>
      <c r="D102" s="550">
        <v>25000000</v>
      </c>
      <c r="E102" s="550"/>
      <c r="F102" s="551"/>
      <c r="G102" s="14"/>
    </row>
    <row r="103" spans="1:7" ht="27" thickTop="1" thickBot="1" x14ac:dyDescent="0.3">
      <c r="A103" s="540">
        <v>41033900</v>
      </c>
      <c r="B103" s="584" t="s">
        <v>128</v>
      </c>
      <c r="C103" s="539">
        <f>SUM(D103)</f>
        <v>623112400</v>
      </c>
      <c r="D103" s="543">
        <v>623112400</v>
      </c>
      <c r="E103" s="551"/>
      <c r="F103" s="551"/>
      <c r="G103" s="14"/>
    </row>
    <row r="104" spans="1:7" ht="52.5" thickTop="1" thickBot="1" x14ac:dyDescent="0.3">
      <c r="A104" s="540">
        <v>41035500</v>
      </c>
      <c r="B104" s="584" t="s">
        <v>1300</v>
      </c>
      <c r="C104" s="539">
        <v>250000</v>
      </c>
      <c r="D104" s="543">
        <v>250000</v>
      </c>
      <c r="E104" s="551"/>
      <c r="F104" s="551"/>
      <c r="G104" s="14"/>
    </row>
    <row r="105" spans="1:7" ht="65.25" thickTop="1" thickBot="1" x14ac:dyDescent="0.3">
      <c r="A105" s="540">
        <v>41035600</v>
      </c>
      <c r="B105" s="584" t="s">
        <v>1345</v>
      </c>
      <c r="C105" s="539">
        <v>2571595</v>
      </c>
      <c r="D105" s="543">
        <v>2571595</v>
      </c>
      <c r="E105" s="551"/>
      <c r="F105" s="551"/>
      <c r="G105" s="14"/>
    </row>
    <row r="106" spans="1:7" ht="42.75" customHeight="1" thickTop="1" thickBot="1" x14ac:dyDescent="0.3">
      <c r="A106" s="540">
        <v>41035700</v>
      </c>
      <c r="B106" s="584" t="s">
        <v>1285</v>
      </c>
      <c r="C106" s="539">
        <f>SUM(D106)</f>
        <v>70000000</v>
      </c>
      <c r="D106" s="543">
        <v>70000000</v>
      </c>
      <c r="E106" s="551"/>
      <c r="F106" s="551"/>
      <c r="G106" s="14"/>
    </row>
    <row r="107" spans="1:7" ht="36.75" customHeight="1" thickTop="1" thickBot="1" x14ac:dyDescent="0.3">
      <c r="A107" s="536">
        <v>41050000</v>
      </c>
      <c r="B107" s="541" t="s">
        <v>519</v>
      </c>
      <c r="C107" s="542">
        <f t="shared" ref="C107:C120" si="4">SUM(D107,E107)</f>
        <v>69455627.819999993</v>
      </c>
      <c r="D107" s="542">
        <f>SUM(D108:D115)</f>
        <v>47755627.82</v>
      </c>
      <c r="E107" s="542">
        <f>SUM(E108:E115)</f>
        <v>21700000</v>
      </c>
      <c r="F107" s="542">
        <f>SUM(F108:F115)</f>
        <v>20000000</v>
      </c>
      <c r="G107" s="14"/>
    </row>
    <row r="108" spans="1:7" ht="39.75" thickTop="1" thickBot="1" x14ac:dyDescent="0.3">
      <c r="A108" s="540">
        <v>41051000</v>
      </c>
      <c r="B108" s="584" t="s">
        <v>520</v>
      </c>
      <c r="C108" s="542">
        <f t="shared" si="4"/>
        <v>7340558</v>
      </c>
      <c r="D108" s="543">
        <v>7340558</v>
      </c>
      <c r="E108" s="551"/>
      <c r="F108" s="551"/>
      <c r="G108" s="14"/>
    </row>
    <row r="109" spans="1:7" ht="52.5" thickTop="1" thickBot="1" x14ac:dyDescent="0.3">
      <c r="A109" s="540">
        <v>41051200</v>
      </c>
      <c r="B109" s="584" t="s">
        <v>773</v>
      </c>
      <c r="C109" s="542">
        <f>SUM(D109,E109)</f>
        <v>7118182</v>
      </c>
      <c r="D109" s="543">
        <v>7118182</v>
      </c>
      <c r="E109" s="551"/>
      <c r="F109" s="551"/>
      <c r="G109" s="14"/>
    </row>
    <row r="110" spans="1:7" ht="65.25" thickTop="1" thickBot="1" x14ac:dyDescent="0.3">
      <c r="A110" s="540">
        <v>41051400</v>
      </c>
      <c r="B110" s="584" t="s">
        <v>1303</v>
      </c>
      <c r="C110" s="542">
        <v>6063695</v>
      </c>
      <c r="D110" s="543">
        <v>6063695</v>
      </c>
      <c r="E110" s="551"/>
      <c r="F110" s="551"/>
      <c r="G110" s="14"/>
    </row>
    <row r="111" spans="1:7" ht="65.25" thickTop="1" thickBot="1" x14ac:dyDescent="0.3">
      <c r="A111" s="540">
        <v>41051700</v>
      </c>
      <c r="B111" s="584" t="s">
        <v>1224</v>
      </c>
      <c r="C111" s="542">
        <f>SUM(D111,E111)</f>
        <v>1648625</v>
      </c>
      <c r="D111" s="543">
        <v>1648625</v>
      </c>
      <c r="E111" s="551"/>
      <c r="F111" s="551"/>
      <c r="G111" s="14"/>
    </row>
    <row r="112" spans="1:7" ht="90.75" thickTop="1" thickBot="1" x14ac:dyDescent="0.3">
      <c r="A112" s="540">
        <v>41056600</v>
      </c>
      <c r="B112" s="584" t="s">
        <v>1370</v>
      </c>
      <c r="C112" s="542">
        <f>SUM(D112,E112)</f>
        <v>10623233.82</v>
      </c>
      <c r="D112" s="543">
        <v>10623233.82</v>
      </c>
      <c r="E112" s="551"/>
      <c r="F112" s="551"/>
      <c r="G112" s="14"/>
    </row>
    <row r="113" spans="1:7" ht="52.5" thickTop="1" thickBot="1" x14ac:dyDescent="0.25">
      <c r="A113" s="540">
        <v>41055000</v>
      </c>
      <c r="B113" s="584" t="s">
        <v>770</v>
      </c>
      <c r="C113" s="542">
        <f t="shared" si="4"/>
        <v>14254000</v>
      </c>
      <c r="D113" s="543">
        <v>14254000</v>
      </c>
      <c r="E113" s="551"/>
      <c r="F113" s="551"/>
      <c r="G113" s="15"/>
    </row>
    <row r="114" spans="1:7" ht="27" thickTop="1" thickBot="1" x14ac:dyDescent="0.25">
      <c r="A114" s="540">
        <v>41053600</v>
      </c>
      <c r="B114" s="584" t="s">
        <v>1226</v>
      </c>
      <c r="C114" s="542">
        <f t="shared" si="4"/>
        <v>1700000</v>
      </c>
      <c r="D114" s="543"/>
      <c r="E114" s="551">
        <v>1700000</v>
      </c>
      <c r="F114" s="551"/>
      <c r="G114" s="15"/>
    </row>
    <row r="115" spans="1:7" ht="27" thickTop="1" thickBot="1" x14ac:dyDescent="0.25">
      <c r="A115" s="540">
        <v>41053900</v>
      </c>
      <c r="B115" s="584" t="s">
        <v>1097</v>
      </c>
      <c r="C115" s="542">
        <f t="shared" si="4"/>
        <v>20707334</v>
      </c>
      <c r="D115" s="539">
        <f>SUM(D116:D119)</f>
        <v>707334</v>
      </c>
      <c r="E115" s="539">
        <f>SUM(E116:E119)</f>
        <v>20000000</v>
      </c>
      <c r="F115" s="539">
        <f>SUM(F116:F119)</f>
        <v>20000000</v>
      </c>
      <c r="G115" s="15"/>
    </row>
    <row r="116" spans="1:7" ht="16.5" thickTop="1" thickBot="1" x14ac:dyDescent="0.25">
      <c r="A116" s="540"/>
      <c r="B116" s="584" t="s">
        <v>1227</v>
      </c>
      <c r="C116" s="542">
        <f t="shared" si="4"/>
        <v>20000000</v>
      </c>
      <c r="D116" s="543"/>
      <c r="E116" s="551">
        <v>20000000</v>
      </c>
      <c r="F116" s="551">
        <v>20000000</v>
      </c>
      <c r="G116" s="15"/>
    </row>
    <row r="117" spans="1:7" ht="39.75" thickTop="1" thickBot="1" x14ac:dyDescent="0.25">
      <c r="A117" s="540"/>
      <c r="B117" s="584" t="s">
        <v>1098</v>
      </c>
      <c r="C117" s="542">
        <f t="shared" si="4"/>
        <v>206796</v>
      </c>
      <c r="D117" s="543">
        <v>206796</v>
      </c>
      <c r="E117" s="551"/>
      <c r="F117" s="551"/>
      <c r="G117" s="15"/>
    </row>
    <row r="118" spans="1:7" ht="52.5" thickTop="1" thickBot="1" x14ac:dyDescent="0.25">
      <c r="A118" s="540"/>
      <c r="B118" s="584" t="s">
        <v>1099</v>
      </c>
      <c r="C118" s="542">
        <f t="shared" si="4"/>
        <v>147491</v>
      </c>
      <c r="D118" s="543">
        <v>147491</v>
      </c>
      <c r="E118" s="551"/>
      <c r="F118" s="551"/>
      <c r="G118" s="15"/>
    </row>
    <row r="119" spans="1:7" ht="27" thickTop="1" thickBot="1" x14ac:dyDescent="0.25">
      <c r="A119" s="540"/>
      <c r="B119" s="584" t="s">
        <v>1100</v>
      </c>
      <c r="C119" s="542">
        <f t="shared" si="4"/>
        <v>353047</v>
      </c>
      <c r="D119" s="543">
        <v>353047</v>
      </c>
      <c r="E119" s="551"/>
      <c r="F119" s="551"/>
      <c r="G119" s="15"/>
    </row>
    <row r="120" spans="1:7" ht="41.25" customHeight="1" thickTop="1" thickBot="1" x14ac:dyDescent="0.3">
      <c r="A120" s="599"/>
      <c r="B120" s="600" t="s">
        <v>771</v>
      </c>
      <c r="C120" s="539">
        <f t="shared" si="4"/>
        <v>3313494812.8200002</v>
      </c>
      <c r="D120" s="587">
        <f>SUM(D96,D97)</f>
        <v>3105965298.8200002</v>
      </c>
      <c r="E120" s="587">
        <f>SUM(E96,E100)</f>
        <v>207529514</v>
      </c>
      <c r="F120" s="587">
        <f>SUM(F96,F100)</f>
        <v>41422355</v>
      </c>
      <c r="G120" s="18"/>
    </row>
    <row r="121" spans="1:7" ht="13.5" thickTop="1" x14ac:dyDescent="0.2"/>
    <row r="122" spans="1:7" ht="15.75" x14ac:dyDescent="0.25">
      <c r="B122" s="62"/>
      <c r="E122" s="62"/>
    </row>
    <row r="123" spans="1:7" ht="15.75" x14ac:dyDescent="0.2">
      <c r="B123" s="690" t="s">
        <v>1376</v>
      </c>
      <c r="C123" s="675"/>
      <c r="D123" s="675"/>
      <c r="E123" s="612" t="s">
        <v>1377</v>
      </c>
      <c r="F123" s="690"/>
    </row>
    <row r="124" spans="1:7" ht="15.75" x14ac:dyDescent="0.25">
      <c r="B124" s="62"/>
      <c r="E124" s="62"/>
    </row>
    <row r="125" spans="1:7" ht="15.75" x14ac:dyDescent="0.25">
      <c r="A125" s="18"/>
      <c r="B125" s="62" t="s">
        <v>609</v>
      </c>
      <c r="C125" s="62"/>
      <c r="D125" s="62"/>
      <c r="E125" s="62" t="s">
        <v>610</v>
      </c>
      <c r="F125" s="18"/>
    </row>
  </sheetData>
  <mergeCells count="10">
    <mergeCell ref="A8:A9"/>
    <mergeCell ref="B8:B9"/>
    <mergeCell ref="C8:C9"/>
    <mergeCell ref="D8:D9"/>
    <mergeCell ref="E8:F8"/>
    <mergeCell ref="D1:G1"/>
    <mergeCell ref="D2:G2"/>
    <mergeCell ref="D3:G3"/>
    <mergeCell ref="A4:E4"/>
    <mergeCell ref="A5:F5"/>
  </mergeCells>
  <hyperlinks>
    <hyperlink ref="B86" location="_ftn1" display="_ftn1"/>
    <hyperlink ref="B85" location="_ftn1" display="_ftn1"/>
    <hyperlink ref="B73" location="_ftn1" display="_ftn1"/>
    <hyperlink ref="B16" location="_ftn1" display="_ftn1"/>
    <hyperlink ref="B15" location="_ftn1" display="_ftn1"/>
    <hyperlink ref="B53" location="_ftn1" display="_ftn1"/>
    <hyperlink ref="B90" location="_ftn1" display="_ftn1"/>
    <hyperlink ref="B91" location="_ftn1" display="_ftn1"/>
    <hyperlink ref="B60" location="_ftn1" display="_ftn1"/>
    <hyperlink ref="B61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75" max="5" man="1"/>
    <brk id="10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view="pageBreakPreview" zoomScaleSheetLayoutView="100" workbookViewId="0">
      <selection activeCell="F3" sqref="F3"/>
    </sheetView>
  </sheetViews>
  <sheetFormatPr defaultColWidth="9.140625" defaultRowHeight="12.75" x14ac:dyDescent="0.2"/>
  <cols>
    <col min="1" max="1" width="9.7109375" style="65" customWidth="1"/>
    <col min="2" max="3" width="22.140625" style="65" customWidth="1"/>
    <col min="4" max="4" width="14.140625" style="65" customWidth="1"/>
    <col min="5" max="5" width="14" style="65" customWidth="1"/>
    <col min="6" max="6" width="15.42578125" style="65" customWidth="1"/>
    <col min="7" max="7" width="8.140625" style="65" customWidth="1"/>
    <col min="8" max="16384" width="9.140625" style="65"/>
  </cols>
  <sheetData>
    <row r="1" spans="1:11" x14ac:dyDescent="0.2">
      <c r="F1" s="19" t="s">
        <v>129</v>
      </c>
    </row>
    <row r="2" spans="1:11" x14ac:dyDescent="0.2">
      <c r="F2" s="19" t="s">
        <v>1387</v>
      </c>
    </row>
    <row r="3" spans="1:11" x14ac:dyDescent="0.2">
      <c r="F3" s="19" t="s">
        <v>1388</v>
      </c>
    </row>
    <row r="5" spans="1:11" ht="18.75" x14ac:dyDescent="0.2">
      <c r="A5" s="741" t="s">
        <v>688</v>
      </c>
      <c r="B5" s="741"/>
      <c r="C5" s="741"/>
      <c r="D5" s="741"/>
      <c r="E5" s="741"/>
      <c r="F5" s="741"/>
    </row>
    <row r="6" spans="1:11" ht="18.75" x14ac:dyDescent="0.2">
      <c r="A6" s="741" t="s">
        <v>689</v>
      </c>
      <c r="B6" s="741"/>
      <c r="C6" s="741"/>
      <c r="D6" s="741"/>
      <c r="E6" s="741"/>
      <c r="F6" s="741"/>
    </row>
    <row r="7" spans="1:11" ht="18.75" x14ac:dyDescent="0.2">
      <c r="A7" s="213"/>
      <c r="B7" s="213"/>
      <c r="C7" s="213"/>
      <c r="D7" s="213"/>
      <c r="E7" s="213"/>
      <c r="F7" s="213"/>
    </row>
    <row r="8" spans="1:11" x14ac:dyDescent="0.2">
      <c r="A8" s="742">
        <v>22564000000</v>
      </c>
      <c r="B8" s="743"/>
      <c r="C8" s="736"/>
      <c r="D8" s="736"/>
      <c r="E8" s="736"/>
      <c r="F8" s="736"/>
    </row>
    <row r="9" spans="1:11" ht="15" customHeight="1" x14ac:dyDescent="0.2">
      <c r="A9" s="744" t="s">
        <v>537</v>
      </c>
      <c r="B9" s="745"/>
      <c r="C9" s="736"/>
      <c r="D9" s="736"/>
      <c r="E9" s="736"/>
      <c r="F9" s="736"/>
    </row>
    <row r="10" spans="1:11" ht="13.5" thickBot="1" x14ac:dyDescent="0.25">
      <c r="A10" s="79"/>
      <c r="B10" s="79"/>
      <c r="F10" s="63" t="s">
        <v>433</v>
      </c>
    </row>
    <row r="11" spans="1:11" ht="14.25" thickTop="1" thickBot="1" x14ac:dyDescent="0.25">
      <c r="A11" s="746" t="s">
        <v>64</v>
      </c>
      <c r="B11" s="746" t="s">
        <v>407</v>
      </c>
      <c r="C11" s="746" t="s">
        <v>412</v>
      </c>
      <c r="D11" s="746" t="s">
        <v>12</v>
      </c>
      <c r="E11" s="746" t="s">
        <v>57</v>
      </c>
      <c r="F11" s="746"/>
    </row>
    <row r="12" spans="1:11" ht="35.450000000000003" customHeight="1" thickTop="1" thickBot="1" x14ac:dyDescent="0.25">
      <c r="A12" s="746"/>
      <c r="B12" s="746"/>
      <c r="C12" s="746"/>
      <c r="D12" s="747"/>
      <c r="E12" s="601" t="s">
        <v>413</v>
      </c>
      <c r="F12" s="601" t="s">
        <v>414</v>
      </c>
    </row>
    <row r="13" spans="1:11" ht="14.25" thickTop="1" thickBot="1" x14ac:dyDescent="0.25">
      <c r="A13" s="602">
        <v>1</v>
      </c>
      <c r="B13" s="602">
        <v>2</v>
      </c>
      <c r="C13" s="602">
        <v>3</v>
      </c>
      <c r="D13" s="602">
        <v>4</v>
      </c>
      <c r="E13" s="602">
        <v>5</v>
      </c>
      <c r="F13" s="602">
        <v>6</v>
      </c>
    </row>
    <row r="14" spans="1:11" ht="23.25" customHeight="1" thickTop="1" thickBot="1" x14ac:dyDescent="0.25">
      <c r="A14" s="748" t="s">
        <v>408</v>
      </c>
      <c r="B14" s="748"/>
      <c r="C14" s="749"/>
      <c r="D14" s="749"/>
      <c r="E14" s="749"/>
      <c r="F14" s="749"/>
    </row>
    <row r="15" spans="1:11" ht="14.25" thickTop="1" thickBot="1" x14ac:dyDescent="0.25">
      <c r="A15" s="603" t="s">
        <v>130</v>
      </c>
      <c r="B15" s="640" t="s">
        <v>131</v>
      </c>
      <c r="C15" s="629">
        <f>C16+C20</f>
        <v>147526641.19</v>
      </c>
      <c r="D15" s="629">
        <f>D16+D20</f>
        <v>-360467592.34000063</v>
      </c>
      <c r="E15" s="629">
        <f>E16+E20</f>
        <v>507994233.53000063</v>
      </c>
      <c r="F15" s="629">
        <f>F16+F20</f>
        <v>505733270.76000065</v>
      </c>
      <c r="G15" s="66"/>
      <c r="H15" s="66"/>
      <c r="I15" s="66"/>
      <c r="J15" s="66"/>
      <c r="K15" s="66"/>
    </row>
    <row r="16" spans="1:11" ht="42" thickTop="1" thickBot="1" x14ac:dyDescent="0.25">
      <c r="A16" s="631">
        <v>202000</v>
      </c>
      <c r="B16" s="633" t="s">
        <v>1276</v>
      </c>
      <c r="C16" s="632">
        <f t="shared" ref="C16:C17" si="0">SUM(D16,E16)</f>
        <v>58888889</v>
      </c>
      <c r="D16" s="632">
        <f t="shared" ref="D16" si="1">D17</f>
        <v>0</v>
      </c>
      <c r="E16" s="632">
        <f>E17</f>
        <v>58888889</v>
      </c>
      <c r="F16" s="632">
        <f t="shared" ref="F16" si="2">F17</f>
        <v>58888889</v>
      </c>
      <c r="G16" s="66"/>
      <c r="H16" s="66"/>
      <c r="I16" s="66"/>
      <c r="J16" s="66"/>
      <c r="K16" s="66"/>
    </row>
    <row r="17" spans="1:11" ht="27" thickTop="1" thickBot="1" x14ac:dyDescent="0.25">
      <c r="A17" s="606">
        <v>202200</v>
      </c>
      <c r="B17" s="627" t="s">
        <v>1278</v>
      </c>
      <c r="C17" s="629">
        <f t="shared" si="0"/>
        <v>58888889</v>
      </c>
      <c r="D17" s="629">
        <f>SUM(D18:D19)</f>
        <v>0</v>
      </c>
      <c r="E17" s="629">
        <f>SUM(E18:E19)</f>
        <v>58888889</v>
      </c>
      <c r="F17" s="629">
        <f>SUM(F18:F19)</f>
        <v>58888889</v>
      </c>
      <c r="G17" s="66"/>
      <c r="H17" s="66"/>
      <c r="I17" s="66"/>
      <c r="J17" s="66"/>
      <c r="K17" s="66"/>
    </row>
    <row r="18" spans="1:11" ht="14.25" thickTop="1" thickBot="1" x14ac:dyDescent="0.25">
      <c r="A18" s="604">
        <v>202210</v>
      </c>
      <c r="B18" s="605" t="s">
        <v>1277</v>
      </c>
      <c r="C18" s="628">
        <f>SUM(D18,E18)</f>
        <v>60000000</v>
      </c>
      <c r="D18" s="629"/>
      <c r="E18" s="628">
        <v>60000000</v>
      </c>
      <c r="F18" s="628">
        <v>60000000</v>
      </c>
      <c r="G18" s="66"/>
      <c r="H18" s="66"/>
      <c r="I18" s="66"/>
      <c r="J18" s="66"/>
      <c r="K18" s="66"/>
    </row>
    <row r="19" spans="1:11" ht="14.25" thickTop="1" thickBot="1" x14ac:dyDescent="0.25">
      <c r="A19" s="604">
        <v>202220</v>
      </c>
      <c r="B19" s="605" t="s">
        <v>387</v>
      </c>
      <c r="C19" s="628">
        <f>SUM(D19,E19)</f>
        <v>-1111111</v>
      </c>
      <c r="D19" s="629"/>
      <c r="E19" s="628">
        <v>-1111111</v>
      </c>
      <c r="F19" s="628">
        <v>-1111111</v>
      </c>
      <c r="G19" s="66"/>
      <c r="H19" s="66"/>
      <c r="I19" s="66"/>
      <c r="J19" s="66"/>
      <c r="K19" s="66"/>
    </row>
    <row r="20" spans="1:11" ht="42" thickTop="1" thickBot="1" x14ac:dyDescent="0.25">
      <c r="A20" s="631">
        <v>208000</v>
      </c>
      <c r="B20" s="641" t="s">
        <v>1280</v>
      </c>
      <c r="C20" s="632">
        <f>C21+C24+C22</f>
        <v>88637752.189999998</v>
      </c>
      <c r="D20" s="632">
        <f>D21+D24+D22</f>
        <v>-360467592.34000063</v>
      </c>
      <c r="E20" s="632">
        <f>E21+E24+E22</f>
        <v>449105344.53000063</v>
      </c>
      <c r="F20" s="632">
        <f>F21+F24+F22</f>
        <v>446844381.76000065</v>
      </c>
      <c r="G20" s="66"/>
      <c r="H20" s="66"/>
      <c r="I20" s="66"/>
      <c r="J20" s="66"/>
      <c r="K20" s="66"/>
    </row>
    <row r="21" spans="1:11" ht="15.75" customHeight="1" thickTop="1" thickBot="1" x14ac:dyDescent="0.25">
      <c r="A21" s="631" t="s">
        <v>132</v>
      </c>
      <c r="B21" s="633" t="s">
        <v>133</v>
      </c>
      <c r="C21" s="632">
        <f>SUM(D21,E21)</f>
        <v>88637752.189999998</v>
      </c>
      <c r="D21" s="632">
        <v>82427581.670000002</v>
      </c>
      <c r="E21" s="632">
        <v>6210170.5199999996</v>
      </c>
      <c r="F21" s="632">
        <f>2956716.87+992490.88</f>
        <v>3949207.75</v>
      </c>
      <c r="G21" s="66"/>
      <c r="H21" s="66"/>
      <c r="I21" s="66"/>
      <c r="J21" s="66"/>
      <c r="K21" s="66"/>
    </row>
    <row r="22" spans="1:11" ht="15" hidden="1" thickTop="1" thickBot="1" x14ac:dyDescent="0.25">
      <c r="A22" s="637">
        <v>208300</v>
      </c>
      <c r="B22" s="642" t="s">
        <v>1283</v>
      </c>
      <c r="C22" s="632">
        <f>SUM(D22,E22)</f>
        <v>0</v>
      </c>
      <c r="D22" s="632">
        <f>D23</f>
        <v>0</v>
      </c>
      <c r="E22" s="632">
        <f>E23</f>
        <v>0</v>
      </c>
      <c r="F22" s="632">
        <f>F23</f>
        <v>0</v>
      </c>
      <c r="G22" s="66"/>
      <c r="H22" s="66"/>
      <c r="I22" s="66"/>
      <c r="J22" s="66"/>
      <c r="K22" s="66"/>
    </row>
    <row r="23" spans="1:11" ht="52.5" hidden="1" thickTop="1" thickBot="1" x14ac:dyDescent="0.25">
      <c r="A23" s="639">
        <v>208330</v>
      </c>
      <c r="B23" s="643" t="s">
        <v>1284</v>
      </c>
      <c r="C23" s="632">
        <f>SUM(D23,E23)</f>
        <v>0</v>
      </c>
      <c r="D23" s="628"/>
      <c r="E23" s="628">
        <f>-D23</f>
        <v>0</v>
      </c>
      <c r="F23" s="628">
        <f>E23</f>
        <v>0</v>
      </c>
      <c r="G23" s="66"/>
      <c r="H23" s="66"/>
      <c r="I23" s="66"/>
      <c r="J23" s="66"/>
      <c r="K23" s="66"/>
    </row>
    <row r="24" spans="1:11" ht="55.5" thickTop="1" thickBot="1" x14ac:dyDescent="0.25">
      <c r="A24" s="631">
        <v>208400</v>
      </c>
      <c r="B24" s="633" t="s">
        <v>134</v>
      </c>
      <c r="C24" s="632">
        <f>SUM(D24,E24)</f>
        <v>0</v>
      </c>
      <c r="D24" s="632">
        <f>'d3'!E323-'d1'!D120+'d4'!N17-D21</f>
        <v>-442895174.01000065</v>
      </c>
      <c r="E24" s="632">
        <f>-D24</f>
        <v>442895174.01000065</v>
      </c>
      <c r="F24" s="632">
        <f>E24</f>
        <v>442895174.01000065</v>
      </c>
      <c r="G24" s="66"/>
      <c r="H24" s="66"/>
      <c r="I24" s="66"/>
      <c r="J24" s="66"/>
      <c r="K24" s="66"/>
    </row>
    <row r="25" spans="1:11" ht="14.25" thickTop="1" thickBot="1" x14ac:dyDescent="0.25">
      <c r="A25" s="606">
        <v>300000</v>
      </c>
      <c r="B25" s="627" t="s">
        <v>384</v>
      </c>
      <c r="C25" s="629">
        <f>C26</f>
        <v>13786494.58</v>
      </c>
      <c r="D25" s="629">
        <f>D26</f>
        <v>0</v>
      </c>
      <c r="E25" s="629">
        <f>E26</f>
        <v>13786494.58</v>
      </c>
      <c r="F25" s="629">
        <f>F26</f>
        <v>13786494.58</v>
      </c>
      <c r="G25" s="66"/>
      <c r="H25" s="66"/>
      <c r="I25" s="66"/>
      <c r="J25" s="66"/>
      <c r="K25" s="66"/>
    </row>
    <row r="26" spans="1:11" ht="42" thickTop="1" thickBot="1" x14ac:dyDescent="0.25">
      <c r="A26" s="631">
        <v>301000</v>
      </c>
      <c r="B26" s="633" t="s">
        <v>385</v>
      </c>
      <c r="C26" s="632">
        <f>C27+C28</f>
        <v>13786494.58</v>
      </c>
      <c r="D26" s="632">
        <f>D27+D28</f>
        <v>0</v>
      </c>
      <c r="E26" s="632">
        <f>E27+E28</f>
        <v>13786494.58</v>
      </c>
      <c r="F26" s="632">
        <f>F27+F28</f>
        <v>13786494.58</v>
      </c>
      <c r="G26" s="66"/>
      <c r="H26" s="66"/>
      <c r="I26" s="66"/>
      <c r="J26" s="66"/>
      <c r="K26" s="66"/>
    </row>
    <row r="27" spans="1:11" ht="14.25" thickTop="1" thickBot="1" x14ac:dyDescent="0.25">
      <c r="A27" s="604">
        <v>301100</v>
      </c>
      <c r="B27" s="605" t="s">
        <v>386</v>
      </c>
      <c r="C27" s="628">
        <f>SUM(D27,E27)</f>
        <v>16535522.58</v>
      </c>
      <c r="D27" s="628"/>
      <c r="E27" s="628">
        <f>(16535522.58)</f>
        <v>16535522.58</v>
      </c>
      <c r="F27" s="628">
        <f>(16535522.58)</f>
        <v>16535522.58</v>
      </c>
      <c r="G27" s="66"/>
      <c r="H27" s="66"/>
      <c r="I27" s="66"/>
      <c r="J27" s="66"/>
      <c r="K27" s="66"/>
    </row>
    <row r="28" spans="1:11" ht="14.25" thickTop="1" thickBot="1" x14ac:dyDescent="0.25">
      <c r="A28" s="604">
        <v>301200</v>
      </c>
      <c r="B28" s="605" t="s">
        <v>387</v>
      </c>
      <c r="C28" s="628">
        <f>SUM(D28,E28)</f>
        <v>-2749028</v>
      </c>
      <c r="D28" s="628"/>
      <c r="E28" s="628">
        <v>-2749028</v>
      </c>
      <c r="F28" s="628">
        <v>-2749028</v>
      </c>
      <c r="G28" s="66"/>
      <c r="H28" s="66"/>
      <c r="I28" s="66"/>
      <c r="J28" s="66"/>
      <c r="K28" s="66"/>
    </row>
    <row r="29" spans="1:11" ht="31.5" customHeight="1" thickTop="1" thickBot="1" x14ac:dyDescent="0.25">
      <c r="A29" s="634" t="s">
        <v>410</v>
      </c>
      <c r="B29" s="644" t="s">
        <v>409</v>
      </c>
      <c r="C29" s="635">
        <f>C15+C25</f>
        <v>161313135.77000001</v>
      </c>
      <c r="D29" s="635">
        <f>D15+D25</f>
        <v>-360467592.34000063</v>
      </c>
      <c r="E29" s="635">
        <f>E15+E25</f>
        <v>521780728.11000061</v>
      </c>
      <c r="F29" s="635">
        <f>F15+F25</f>
        <v>519519765.34000063</v>
      </c>
      <c r="G29" s="66"/>
      <c r="H29" s="66"/>
      <c r="I29" s="66"/>
      <c r="J29" s="66"/>
      <c r="K29" s="66"/>
    </row>
    <row r="30" spans="1:11" ht="35.450000000000003" customHeight="1" thickTop="1" thickBot="1" x14ac:dyDescent="0.25">
      <c r="A30" s="748" t="s">
        <v>411</v>
      </c>
      <c r="B30" s="748"/>
      <c r="C30" s="749"/>
      <c r="D30" s="749"/>
      <c r="E30" s="749"/>
      <c r="F30" s="749"/>
      <c r="G30" s="66"/>
      <c r="H30" s="66"/>
      <c r="I30" s="66"/>
      <c r="J30" s="66"/>
      <c r="K30" s="66"/>
    </row>
    <row r="31" spans="1:11" ht="27" thickTop="1" thickBot="1" x14ac:dyDescent="0.25">
      <c r="A31" s="606">
        <v>400000</v>
      </c>
      <c r="B31" s="627" t="s">
        <v>135</v>
      </c>
      <c r="C31" s="629">
        <f>C32+C37</f>
        <v>72675383.579999998</v>
      </c>
      <c r="D31" s="629">
        <f>D32+D37</f>
        <v>0</v>
      </c>
      <c r="E31" s="629">
        <f>E32+E37</f>
        <v>72675383.579999998</v>
      </c>
      <c r="F31" s="629">
        <f>F32+F37</f>
        <v>72675383.579999998</v>
      </c>
      <c r="G31" s="66"/>
      <c r="H31" s="66"/>
      <c r="I31" s="66"/>
      <c r="J31" s="66"/>
      <c r="K31" s="66"/>
    </row>
    <row r="32" spans="1:11" ht="15" thickTop="1" thickBot="1" x14ac:dyDescent="0.25">
      <c r="A32" s="631">
        <v>401000</v>
      </c>
      <c r="B32" s="633" t="s">
        <v>136</v>
      </c>
      <c r="C32" s="632">
        <f>C33+C35</f>
        <v>76535522.579999998</v>
      </c>
      <c r="D32" s="632">
        <f>D33+D35</f>
        <v>0</v>
      </c>
      <c r="E32" s="632">
        <f>E33+E35</f>
        <v>76535522.579999998</v>
      </c>
      <c r="F32" s="632">
        <f>F33+F35</f>
        <v>76535522.579999998</v>
      </c>
      <c r="G32" s="66"/>
      <c r="H32" s="66"/>
      <c r="I32" s="66"/>
      <c r="J32" s="66"/>
      <c r="K32" s="66"/>
    </row>
    <row r="33" spans="1:11" ht="14.25" thickTop="1" thickBot="1" x14ac:dyDescent="0.25">
      <c r="A33" s="630">
        <v>401100</v>
      </c>
      <c r="B33" s="645" t="s">
        <v>1279</v>
      </c>
      <c r="C33" s="636">
        <f>C34</f>
        <v>60000000</v>
      </c>
      <c r="D33" s="636">
        <f>D34</f>
        <v>0</v>
      </c>
      <c r="E33" s="636">
        <f>E34</f>
        <v>60000000</v>
      </c>
      <c r="F33" s="636">
        <f>F34</f>
        <v>60000000</v>
      </c>
      <c r="G33" s="66"/>
      <c r="H33" s="66"/>
      <c r="I33" s="66"/>
      <c r="J33" s="66"/>
      <c r="K33" s="66"/>
    </row>
    <row r="34" spans="1:11" ht="27" thickTop="1" thickBot="1" x14ac:dyDescent="0.25">
      <c r="A34" s="604">
        <v>401101</v>
      </c>
      <c r="B34" s="605" t="s">
        <v>1261</v>
      </c>
      <c r="C34" s="628">
        <f>SUM(D34,E34)</f>
        <v>60000000</v>
      </c>
      <c r="D34" s="629"/>
      <c r="E34" s="628">
        <v>60000000</v>
      </c>
      <c r="F34" s="628">
        <v>60000000</v>
      </c>
      <c r="G34" s="66"/>
      <c r="H34" s="66"/>
      <c r="I34" s="66"/>
      <c r="J34" s="66"/>
      <c r="K34" s="66"/>
    </row>
    <row r="35" spans="1:11" s="2" customFormat="1" ht="14.25" thickTop="1" thickBot="1" x14ac:dyDescent="0.25">
      <c r="A35" s="630">
        <v>401200</v>
      </c>
      <c r="B35" s="645" t="s">
        <v>388</v>
      </c>
      <c r="C35" s="636">
        <f>SUM(D35,E35)</f>
        <v>16535522.58</v>
      </c>
      <c r="D35" s="636"/>
      <c r="E35" s="636">
        <f>E36</f>
        <v>16535522.58</v>
      </c>
      <c r="F35" s="636">
        <f>F36</f>
        <v>16535522.58</v>
      </c>
      <c r="G35" s="44"/>
      <c r="H35" s="44"/>
      <c r="I35" s="44"/>
      <c r="J35" s="44"/>
      <c r="K35" s="44"/>
    </row>
    <row r="36" spans="1:11" ht="27" thickTop="1" thickBot="1" x14ac:dyDescent="0.25">
      <c r="A36" s="604">
        <v>401201</v>
      </c>
      <c r="B36" s="605" t="s">
        <v>1261</v>
      </c>
      <c r="C36" s="628">
        <f>SUM(D36,E36)</f>
        <v>16535522.58</v>
      </c>
      <c r="D36" s="629"/>
      <c r="E36" s="628">
        <f>(16535522.58)</f>
        <v>16535522.58</v>
      </c>
      <c r="F36" s="628">
        <f>(16535522.58)</f>
        <v>16535522.58</v>
      </c>
      <c r="G36" s="66"/>
      <c r="H36" s="66"/>
      <c r="I36" s="66"/>
      <c r="J36" s="66"/>
      <c r="K36" s="66"/>
    </row>
    <row r="37" spans="1:11" s="2" customFormat="1" ht="15" thickTop="1" thickBot="1" x14ac:dyDescent="0.25">
      <c r="A37" s="637">
        <v>402000</v>
      </c>
      <c r="B37" s="642" t="s">
        <v>389</v>
      </c>
      <c r="C37" s="632">
        <f>C40+C38</f>
        <v>-3860139</v>
      </c>
      <c r="D37" s="632">
        <f>D40+D38</f>
        <v>0</v>
      </c>
      <c r="E37" s="632">
        <f>E40+E38</f>
        <v>-3860139</v>
      </c>
      <c r="F37" s="632">
        <f>F40+F38</f>
        <v>-3860139</v>
      </c>
      <c r="G37" s="44"/>
      <c r="H37" s="44"/>
      <c r="I37" s="44"/>
      <c r="J37" s="44"/>
      <c r="K37" s="44"/>
    </row>
    <row r="38" spans="1:11" s="2" customFormat="1" ht="27" thickTop="1" thickBot="1" x14ac:dyDescent="0.25">
      <c r="A38" s="638">
        <v>402100</v>
      </c>
      <c r="B38" s="646" t="s">
        <v>1366</v>
      </c>
      <c r="C38" s="636">
        <f>C39</f>
        <v>-1111111</v>
      </c>
      <c r="D38" s="636">
        <f>D39</f>
        <v>0</v>
      </c>
      <c r="E38" s="636">
        <f>E39</f>
        <v>-1111111</v>
      </c>
      <c r="F38" s="636">
        <f>F39</f>
        <v>-1111111</v>
      </c>
      <c r="G38" s="44"/>
      <c r="H38" s="44"/>
      <c r="I38" s="44"/>
      <c r="J38" s="44"/>
      <c r="K38" s="44"/>
    </row>
    <row r="39" spans="1:11" s="2" customFormat="1" ht="27" thickTop="1" thickBot="1" x14ac:dyDescent="0.25">
      <c r="A39" s="639">
        <v>402101</v>
      </c>
      <c r="B39" s="643" t="s">
        <v>1261</v>
      </c>
      <c r="C39" s="628">
        <f>SUM(D39,E39)</f>
        <v>-1111111</v>
      </c>
      <c r="D39" s="629"/>
      <c r="E39" s="628">
        <v>-1111111</v>
      </c>
      <c r="F39" s="628">
        <v>-1111111</v>
      </c>
      <c r="G39" s="44"/>
      <c r="H39" s="44"/>
      <c r="I39" s="44"/>
      <c r="J39" s="44"/>
      <c r="K39" s="44"/>
    </row>
    <row r="40" spans="1:11" s="2" customFormat="1" ht="14.25" thickTop="1" thickBot="1" x14ac:dyDescent="0.25">
      <c r="A40" s="638">
        <v>402200</v>
      </c>
      <c r="B40" s="646" t="s">
        <v>1260</v>
      </c>
      <c r="C40" s="636">
        <f>SUM(C41,C42)</f>
        <v>-2749028</v>
      </c>
      <c r="D40" s="636"/>
      <c r="E40" s="636">
        <f>SUM(E41,E42)</f>
        <v>-2749028</v>
      </c>
      <c r="F40" s="636">
        <f>SUM(F41,F42)</f>
        <v>-2749028</v>
      </c>
      <c r="G40" s="44"/>
      <c r="H40" s="44"/>
      <c r="I40" s="44"/>
      <c r="J40" s="44"/>
      <c r="K40" s="44"/>
    </row>
    <row r="41" spans="1:11" s="2" customFormat="1" ht="27" hidden="1" thickTop="1" thickBot="1" x14ac:dyDescent="0.25">
      <c r="A41" s="639">
        <v>402201</v>
      </c>
      <c r="B41" s="643" t="s">
        <v>1261</v>
      </c>
      <c r="C41" s="629"/>
      <c r="D41" s="629"/>
      <c r="E41" s="628"/>
      <c r="F41" s="628"/>
      <c r="G41" s="44"/>
      <c r="H41" s="44"/>
      <c r="I41" s="44"/>
      <c r="J41" s="44"/>
      <c r="K41" s="44"/>
    </row>
    <row r="42" spans="1:11" ht="25.5" customHeight="1" thickTop="1" thickBot="1" x14ac:dyDescent="0.25">
      <c r="A42" s="639">
        <v>402202</v>
      </c>
      <c r="B42" s="643" t="s">
        <v>1262</v>
      </c>
      <c r="C42" s="628">
        <f>SUM(D42,E42)</f>
        <v>-2749028</v>
      </c>
      <c r="D42" s="629"/>
      <c r="E42" s="628">
        <v>-2749028</v>
      </c>
      <c r="F42" s="628">
        <v>-2749028</v>
      </c>
      <c r="G42" s="66"/>
      <c r="H42" s="66"/>
      <c r="I42" s="66"/>
      <c r="J42" s="66"/>
      <c r="K42" s="66"/>
    </row>
    <row r="43" spans="1:11" ht="27" thickTop="1" thickBot="1" x14ac:dyDescent="0.25">
      <c r="A43" s="606" t="s">
        <v>137</v>
      </c>
      <c r="B43" s="627" t="s">
        <v>138</v>
      </c>
      <c r="C43" s="629">
        <f>C44</f>
        <v>88637752.189999998</v>
      </c>
      <c r="D43" s="629">
        <f>D44</f>
        <v>-360467592.34000063</v>
      </c>
      <c r="E43" s="629">
        <f t="shared" ref="E43:F43" si="3">E44</f>
        <v>449105344.53000063</v>
      </c>
      <c r="F43" s="629">
        <f t="shared" si="3"/>
        <v>446844381.76000065</v>
      </c>
      <c r="G43" s="66"/>
      <c r="H43" s="66"/>
      <c r="I43" s="66"/>
      <c r="J43" s="66"/>
      <c r="K43" s="66"/>
    </row>
    <row r="44" spans="1:11" ht="36" customHeight="1" thickTop="1" thickBot="1" x14ac:dyDescent="0.25">
      <c r="A44" s="631">
        <v>602000</v>
      </c>
      <c r="B44" s="633" t="s">
        <v>1281</v>
      </c>
      <c r="C44" s="632">
        <f>C45+C48+C46</f>
        <v>88637752.189999998</v>
      </c>
      <c r="D44" s="632">
        <f>D45+D48+D46</f>
        <v>-360467592.34000063</v>
      </c>
      <c r="E44" s="632">
        <f>E45+E48+E46</f>
        <v>449105344.53000063</v>
      </c>
      <c r="F44" s="632">
        <f>F45+F48+F46</f>
        <v>446844381.76000065</v>
      </c>
      <c r="G44" s="66"/>
      <c r="H44" s="66"/>
      <c r="I44" s="66"/>
      <c r="J44" s="66"/>
      <c r="K44" s="66"/>
    </row>
    <row r="45" spans="1:11" ht="27" customHeight="1" thickTop="1" thickBot="1" x14ac:dyDescent="0.25">
      <c r="A45" s="630">
        <v>602100</v>
      </c>
      <c r="B45" s="645" t="s">
        <v>1282</v>
      </c>
      <c r="C45" s="636">
        <f>SUM(D45,E45)</f>
        <v>88637752.189999998</v>
      </c>
      <c r="D45" s="636">
        <v>82427581.670000002</v>
      </c>
      <c r="E45" s="636">
        <v>6210170.5199999996</v>
      </c>
      <c r="F45" s="636">
        <f>2956716.87+992490.88</f>
        <v>3949207.75</v>
      </c>
      <c r="G45" s="66"/>
      <c r="H45" s="66"/>
      <c r="I45" s="66"/>
      <c r="J45" s="66"/>
      <c r="K45" s="66"/>
    </row>
    <row r="46" spans="1:11" ht="27" hidden="1" customHeight="1" thickTop="1" thickBot="1" x14ac:dyDescent="0.25">
      <c r="A46" s="630">
        <v>602300</v>
      </c>
      <c r="B46" s="645" t="s">
        <v>1283</v>
      </c>
      <c r="C46" s="636">
        <f>SUM(D46,E46)</f>
        <v>0</v>
      </c>
      <c r="D46" s="636">
        <f>D47</f>
        <v>0</v>
      </c>
      <c r="E46" s="636">
        <f>E47</f>
        <v>0</v>
      </c>
      <c r="F46" s="636">
        <f>E46</f>
        <v>0</v>
      </c>
      <c r="G46" s="66"/>
      <c r="H46" s="66"/>
      <c r="I46" s="66"/>
      <c r="J46" s="66"/>
      <c r="K46" s="66"/>
    </row>
    <row r="47" spans="1:11" ht="63.75" hidden="1" customHeight="1" thickTop="1" thickBot="1" x14ac:dyDescent="0.25">
      <c r="A47" s="604">
        <v>602303</v>
      </c>
      <c r="B47" s="605" t="s">
        <v>1284</v>
      </c>
      <c r="C47" s="628">
        <f>SUM(D47,E47)</f>
        <v>0</v>
      </c>
      <c r="D47" s="628"/>
      <c r="E47" s="628">
        <f>-D47</f>
        <v>0</v>
      </c>
      <c r="F47" s="628">
        <f>E47</f>
        <v>0</v>
      </c>
      <c r="G47" s="66"/>
      <c r="H47" s="66"/>
      <c r="I47" s="66"/>
      <c r="J47" s="66"/>
      <c r="K47" s="66"/>
    </row>
    <row r="48" spans="1:11" ht="52.5" customHeight="1" thickTop="1" thickBot="1" x14ac:dyDescent="0.25">
      <c r="A48" s="630">
        <v>602400</v>
      </c>
      <c r="B48" s="645" t="s">
        <v>134</v>
      </c>
      <c r="C48" s="636">
        <f>SUM(D48,E48)</f>
        <v>0</v>
      </c>
      <c r="D48" s="636">
        <f>D24</f>
        <v>-442895174.01000065</v>
      </c>
      <c r="E48" s="636">
        <f>E24</f>
        <v>442895174.01000065</v>
      </c>
      <c r="F48" s="636">
        <f>F24</f>
        <v>442895174.01000065</v>
      </c>
      <c r="G48" s="66"/>
      <c r="H48" s="66"/>
      <c r="I48" s="66"/>
      <c r="J48" s="66"/>
      <c r="K48" s="66"/>
    </row>
    <row r="49" spans="1:11" ht="30" customHeight="1" thickTop="1" thickBot="1" x14ac:dyDescent="0.25">
      <c r="A49" s="634" t="s">
        <v>410</v>
      </c>
      <c r="B49" s="644" t="s">
        <v>409</v>
      </c>
      <c r="C49" s="635">
        <f>C31+C43</f>
        <v>161313135.76999998</v>
      </c>
      <c r="D49" s="635">
        <f>D31+D43</f>
        <v>-360467592.34000063</v>
      </c>
      <c r="E49" s="635">
        <f>E31+E43</f>
        <v>521780728.11000061</v>
      </c>
      <c r="F49" s="635">
        <f>F31+F43</f>
        <v>519519765.34000063</v>
      </c>
      <c r="G49" s="66"/>
      <c r="H49" s="66"/>
      <c r="I49" s="66"/>
      <c r="J49" s="66"/>
      <c r="K49" s="66"/>
    </row>
    <row r="50" spans="1:11" ht="13.5" thickTop="1" x14ac:dyDescent="0.2">
      <c r="A50" s="38"/>
      <c r="B50" s="38"/>
      <c r="C50" s="38"/>
      <c r="D50" s="38"/>
      <c r="E50" s="38"/>
      <c r="F50" s="38"/>
    </row>
    <row r="51" spans="1:11" ht="45.75" hidden="1" x14ac:dyDescent="0.65">
      <c r="A51" s="38"/>
      <c r="B51" s="738"/>
      <c r="C51" s="738"/>
      <c r="D51" s="738"/>
      <c r="E51" s="738"/>
      <c r="F51" s="738"/>
      <c r="G51" s="738"/>
      <c r="H51" s="738"/>
      <c r="I51" s="738"/>
    </row>
    <row r="52" spans="1:11" ht="16.5" customHeight="1" x14ac:dyDescent="0.65">
      <c r="A52" s="38"/>
      <c r="B52" s="649" t="s">
        <v>1376</v>
      </c>
      <c r="C52" s="647"/>
      <c r="D52" s="647"/>
      <c r="E52" s="612"/>
      <c r="F52" s="612" t="s">
        <v>1377</v>
      </c>
      <c r="G52" s="212"/>
      <c r="H52" s="212"/>
      <c r="I52" s="212"/>
    </row>
    <row r="53" spans="1:11" ht="15.75" hidden="1" x14ac:dyDescent="0.25">
      <c r="A53" s="38"/>
      <c r="B53" s="739" t="s">
        <v>609</v>
      </c>
      <c r="C53" s="739"/>
      <c r="D53" s="740"/>
      <c r="E53" s="38"/>
      <c r="F53" s="39" t="s">
        <v>610</v>
      </c>
    </row>
    <row r="54" spans="1:11" ht="15.75" x14ac:dyDescent="0.25">
      <c r="A54" s="38"/>
      <c r="B54" s="620"/>
      <c r="C54" s="620"/>
      <c r="D54" s="621"/>
      <c r="E54" s="38"/>
      <c r="F54" s="39"/>
    </row>
    <row r="55" spans="1:11" ht="15.75" x14ac:dyDescent="0.25">
      <c r="B55" s="62" t="s">
        <v>609</v>
      </c>
      <c r="F55" s="62" t="s">
        <v>610</v>
      </c>
    </row>
  </sheetData>
  <mergeCells count="13">
    <mergeCell ref="B51:I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8"/>
  <sheetViews>
    <sheetView view="pageBreakPreview" topLeftCell="B1" zoomScale="25" zoomScaleNormal="25" zoomScaleSheetLayoutView="25" zoomScalePageLayoutView="10" workbookViewId="0">
      <pane ySplit="15" topLeftCell="A16" activePane="bottomLeft" state="frozen"/>
      <selection activeCell="F175" sqref="F175"/>
      <selection pane="bottomLeft" activeCell="N3" sqref="N3:P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6384" width="9.140625" style="113"/>
  </cols>
  <sheetData>
    <row r="2" spans="1:16" ht="45.75" x14ac:dyDescent="0.2">
      <c r="D2" s="115"/>
      <c r="E2" s="116"/>
      <c r="F2" s="114"/>
      <c r="G2" s="116"/>
      <c r="H2" s="116"/>
      <c r="I2" s="116"/>
      <c r="J2" s="116"/>
      <c r="K2" s="116"/>
      <c r="L2" s="116"/>
      <c r="M2" s="116"/>
      <c r="N2" s="768" t="s">
        <v>540</v>
      </c>
      <c r="O2" s="734"/>
      <c r="P2" s="734"/>
    </row>
    <row r="3" spans="1:16" ht="45.75" x14ac:dyDescent="0.2">
      <c r="A3" s="115"/>
      <c r="B3" s="115"/>
      <c r="C3" s="115"/>
      <c r="D3" s="115"/>
      <c r="E3" s="116"/>
      <c r="F3" s="114"/>
      <c r="G3" s="116"/>
      <c r="H3" s="116"/>
      <c r="I3" s="116"/>
      <c r="J3" s="116"/>
      <c r="K3" s="116"/>
      <c r="L3" s="116"/>
      <c r="M3" s="116"/>
      <c r="N3" s="768" t="s">
        <v>1389</v>
      </c>
      <c r="O3" s="769"/>
      <c r="P3" s="769"/>
    </row>
    <row r="4" spans="1:16" ht="40.700000000000003" customHeight="1" x14ac:dyDescent="0.2">
      <c r="A4" s="140"/>
      <c r="B4" s="140"/>
      <c r="C4" s="140"/>
      <c r="D4" s="140"/>
      <c r="E4" s="145"/>
      <c r="F4" s="139"/>
      <c r="G4" s="145"/>
      <c r="H4" s="145"/>
      <c r="I4" s="145"/>
      <c r="J4" s="145"/>
      <c r="K4" s="145"/>
      <c r="L4" s="145"/>
      <c r="M4" s="145"/>
      <c r="N4" s="145"/>
      <c r="O4" s="768"/>
      <c r="P4" s="770"/>
    </row>
    <row r="5" spans="1:16" ht="45.75" hidden="1" x14ac:dyDescent="0.2">
      <c r="A5" s="140"/>
      <c r="B5" s="140"/>
      <c r="C5" s="140"/>
      <c r="D5" s="140"/>
      <c r="E5" s="145"/>
      <c r="F5" s="139"/>
      <c r="G5" s="145"/>
      <c r="H5" s="145"/>
      <c r="I5" s="145"/>
      <c r="J5" s="145"/>
      <c r="K5" s="145"/>
      <c r="L5" s="145"/>
      <c r="M5" s="145"/>
      <c r="N5" s="145"/>
      <c r="O5" s="140"/>
      <c r="P5" s="139"/>
    </row>
    <row r="6" spans="1:16" ht="45" x14ac:dyDescent="0.2">
      <c r="A6" s="771" t="s">
        <v>679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P6" s="771"/>
    </row>
    <row r="7" spans="1:16" ht="45" x14ac:dyDescent="0.2">
      <c r="A7" s="771" t="s">
        <v>678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</row>
    <row r="8" spans="1:16" ht="45" x14ac:dyDescent="0.2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</row>
    <row r="9" spans="1:16" ht="45.75" x14ac:dyDescent="0.65">
      <c r="A9" s="772">
        <v>22564000000</v>
      </c>
      <c r="B9" s="773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45.75" x14ac:dyDescent="0.2">
      <c r="A10" s="777" t="s">
        <v>537</v>
      </c>
      <c r="B10" s="778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1" spans="1:16" ht="53.45" customHeight="1" thickBot="1" x14ac:dyDescent="0.25">
      <c r="A11" s="116"/>
      <c r="B11" s="116"/>
      <c r="C11" s="116"/>
      <c r="D11" s="116"/>
      <c r="E11" s="116"/>
      <c r="F11" s="114"/>
      <c r="G11" s="116"/>
      <c r="H11" s="116"/>
      <c r="I11" s="116"/>
      <c r="J11" s="116"/>
      <c r="K11" s="116"/>
      <c r="L11" s="116"/>
      <c r="M11" s="116"/>
      <c r="N11" s="116"/>
      <c r="O11" s="116"/>
      <c r="P11" s="6" t="s">
        <v>433</v>
      </c>
    </row>
    <row r="12" spans="1:16" ht="62.45" customHeight="1" thickTop="1" thickBot="1" x14ac:dyDescent="0.25">
      <c r="A12" s="776" t="s">
        <v>538</v>
      </c>
      <c r="B12" s="776" t="s">
        <v>539</v>
      </c>
      <c r="C12" s="776" t="s">
        <v>419</v>
      </c>
      <c r="D12" s="776" t="s">
        <v>690</v>
      </c>
      <c r="E12" s="774" t="s">
        <v>12</v>
      </c>
      <c r="F12" s="774"/>
      <c r="G12" s="774"/>
      <c r="H12" s="774"/>
      <c r="I12" s="774"/>
      <c r="J12" s="774" t="s">
        <v>57</v>
      </c>
      <c r="K12" s="774"/>
      <c r="L12" s="774"/>
      <c r="M12" s="774"/>
      <c r="N12" s="774"/>
      <c r="O12" s="775"/>
      <c r="P12" s="774" t="s">
        <v>11</v>
      </c>
    </row>
    <row r="13" spans="1:16" ht="96" customHeight="1" thickTop="1" thickBot="1" x14ac:dyDescent="0.25">
      <c r="A13" s="774"/>
      <c r="B13" s="779"/>
      <c r="C13" s="779"/>
      <c r="D13" s="774"/>
      <c r="E13" s="776" t="s">
        <v>413</v>
      </c>
      <c r="F13" s="776" t="s">
        <v>58</v>
      </c>
      <c r="G13" s="776" t="s">
        <v>13</v>
      </c>
      <c r="H13" s="776"/>
      <c r="I13" s="776" t="s">
        <v>60</v>
      </c>
      <c r="J13" s="776" t="s">
        <v>413</v>
      </c>
      <c r="K13" s="776" t="s">
        <v>414</v>
      </c>
      <c r="L13" s="776" t="s">
        <v>58</v>
      </c>
      <c r="M13" s="776" t="s">
        <v>13</v>
      </c>
      <c r="N13" s="776"/>
      <c r="O13" s="776" t="s">
        <v>60</v>
      </c>
      <c r="P13" s="774"/>
    </row>
    <row r="14" spans="1:16" ht="328.5" customHeight="1" thickTop="1" thickBot="1" x14ac:dyDescent="0.25">
      <c r="A14" s="779"/>
      <c r="B14" s="779"/>
      <c r="C14" s="779"/>
      <c r="D14" s="779"/>
      <c r="E14" s="776"/>
      <c r="F14" s="776"/>
      <c r="G14" s="151" t="s">
        <v>59</v>
      </c>
      <c r="H14" s="151" t="s">
        <v>15</v>
      </c>
      <c r="I14" s="776"/>
      <c r="J14" s="776"/>
      <c r="K14" s="776"/>
      <c r="L14" s="776"/>
      <c r="M14" s="151" t="s">
        <v>59</v>
      </c>
      <c r="N14" s="151" t="s">
        <v>15</v>
      </c>
      <c r="O14" s="776"/>
      <c r="P14" s="774"/>
    </row>
    <row r="15" spans="1:16" s="2" customFormat="1" ht="46.5" thickTop="1" thickBot="1" x14ac:dyDescent="0.25">
      <c r="A15" s="152" t="s">
        <v>2</v>
      </c>
      <c r="B15" s="152" t="s">
        <v>3</v>
      </c>
      <c r="C15" s="152" t="s">
        <v>14</v>
      </c>
      <c r="D15" s="152" t="s">
        <v>5</v>
      </c>
      <c r="E15" s="152" t="s">
        <v>421</v>
      </c>
      <c r="F15" s="152" t="s">
        <v>422</v>
      </c>
      <c r="G15" s="152" t="s">
        <v>423</v>
      </c>
      <c r="H15" s="152" t="s">
        <v>424</v>
      </c>
      <c r="I15" s="152" t="s">
        <v>425</v>
      </c>
      <c r="J15" s="152" t="s">
        <v>426</v>
      </c>
      <c r="K15" s="152" t="s">
        <v>427</v>
      </c>
      <c r="L15" s="152" t="s">
        <v>428</v>
      </c>
      <c r="M15" s="152" t="s">
        <v>429</v>
      </c>
      <c r="N15" s="152" t="s">
        <v>430</v>
      </c>
      <c r="O15" s="152" t="s">
        <v>431</v>
      </c>
      <c r="P15" s="152" t="s">
        <v>432</v>
      </c>
    </row>
    <row r="16" spans="1:16" s="2" customFormat="1" ht="136.5" thickTop="1" thickBot="1" x14ac:dyDescent="0.25">
      <c r="A16" s="691" t="s">
        <v>165</v>
      </c>
      <c r="B16" s="691"/>
      <c r="C16" s="691"/>
      <c r="D16" s="692" t="s">
        <v>167</v>
      </c>
      <c r="E16" s="693">
        <f>E17</f>
        <v>128962832.59</v>
      </c>
      <c r="F16" s="694">
        <f t="shared" ref="F16:N16" si="0">F17</f>
        <v>128962832.59</v>
      </c>
      <c r="G16" s="694">
        <f t="shared" si="0"/>
        <v>80242670</v>
      </c>
      <c r="H16" s="694">
        <f t="shared" si="0"/>
        <v>3406900</v>
      </c>
      <c r="I16" s="694">
        <f t="shared" si="0"/>
        <v>0</v>
      </c>
      <c r="J16" s="693">
        <f t="shared" si="0"/>
        <v>9369144.5800000001</v>
      </c>
      <c r="K16" s="694">
        <f t="shared" si="0"/>
        <v>5694500</v>
      </c>
      <c r="L16" s="694">
        <f t="shared" si="0"/>
        <v>3575644.58</v>
      </c>
      <c r="M16" s="694">
        <f t="shared" si="0"/>
        <v>0</v>
      </c>
      <c r="N16" s="693">
        <f t="shared" si="0"/>
        <v>0</v>
      </c>
      <c r="O16" s="693">
        <f>O17</f>
        <v>5793500</v>
      </c>
      <c r="P16" s="694">
        <f t="shared" ref="P16" si="1">P17</f>
        <v>138331977.17000002</v>
      </c>
    </row>
    <row r="17" spans="1:16" s="2" customFormat="1" ht="136.5" thickTop="1" thickBot="1" x14ac:dyDescent="0.25">
      <c r="A17" s="695" t="s">
        <v>166</v>
      </c>
      <c r="B17" s="695"/>
      <c r="C17" s="695"/>
      <c r="D17" s="696" t="s">
        <v>168</v>
      </c>
      <c r="E17" s="697">
        <f>E18+E23+E33+E36</f>
        <v>128962832.59</v>
      </c>
      <c r="F17" s="697">
        <f>F18+F23+F33+F36</f>
        <v>128962832.59</v>
      </c>
      <c r="G17" s="697">
        <f t="shared" ref="G17:I17" si="2">G18+G23+G33+G36</f>
        <v>80242670</v>
      </c>
      <c r="H17" s="697">
        <f t="shared" si="2"/>
        <v>3406900</v>
      </c>
      <c r="I17" s="697">
        <f t="shared" si="2"/>
        <v>0</v>
      </c>
      <c r="J17" s="697">
        <f>L17+O17</f>
        <v>9369144.5800000001</v>
      </c>
      <c r="K17" s="697">
        <f>K18+K23+K33+K36</f>
        <v>5694500</v>
      </c>
      <c r="L17" s="697">
        <f>L18+L23+L33+L36</f>
        <v>3575644.58</v>
      </c>
      <c r="M17" s="697">
        <f t="shared" ref="M17:N17" si="3">M18+M23+M33+M36</f>
        <v>0</v>
      </c>
      <c r="N17" s="697">
        <f t="shared" si="3"/>
        <v>0</v>
      </c>
      <c r="O17" s="697">
        <f>O18+O23+O33+O36</f>
        <v>5793500</v>
      </c>
      <c r="P17" s="698">
        <f>E17+J17</f>
        <v>138331977.17000002</v>
      </c>
    </row>
    <row r="18" spans="1:16" s="317" customFormat="1" ht="47.25" thickTop="1" thickBot="1" x14ac:dyDescent="0.25">
      <c r="A18" s="360" t="s">
        <v>843</v>
      </c>
      <c r="B18" s="360" t="s">
        <v>844</v>
      </c>
      <c r="C18" s="360"/>
      <c r="D18" s="360" t="s">
        <v>845</v>
      </c>
      <c r="E18" s="307">
        <f>SUM(E19:E22)</f>
        <v>112020290</v>
      </c>
      <c r="F18" s="307">
        <f>SUM(F19:F22)</f>
        <v>112020290</v>
      </c>
      <c r="G18" s="307">
        <f t="shared" ref="G18:P18" si="4">SUM(G19:G22)</f>
        <v>80242670</v>
      </c>
      <c r="H18" s="307">
        <f t="shared" si="4"/>
        <v>3406900</v>
      </c>
      <c r="I18" s="307">
        <f t="shared" si="4"/>
        <v>0</v>
      </c>
      <c r="J18" s="307">
        <f t="shared" si="4"/>
        <v>2854500</v>
      </c>
      <c r="K18" s="307">
        <f t="shared" si="4"/>
        <v>2854500</v>
      </c>
      <c r="L18" s="307">
        <f t="shared" si="4"/>
        <v>0</v>
      </c>
      <c r="M18" s="307">
        <f t="shared" si="4"/>
        <v>0</v>
      </c>
      <c r="N18" s="307">
        <f t="shared" si="4"/>
        <v>0</v>
      </c>
      <c r="O18" s="307">
        <f t="shared" si="4"/>
        <v>2854500</v>
      </c>
      <c r="P18" s="307">
        <f t="shared" si="4"/>
        <v>114874790</v>
      </c>
    </row>
    <row r="19" spans="1:16" ht="321.75" thickTop="1" thickBot="1" x14ac:dyDescent="0.25">
      <c r="A19" s="217" t="s">
        <v>253</v>
      </c>
      <c r="B19" s="217" t="s">
        <v>254</v>
      </c>
      <c r="C19" s="217" t="s">
        <v>255</v>
      </c>
      <c r="D19" s="217" t="s">
        <v>252</v>
      </c>
      <c r="E19" s="216">
        <f t="shared" ref="E19:E38" si="5">F19</f>
        <v>102582000</v>
      </c>
      <c r="F19" s="148">
        <f>5000+6000+67000+((77782670+17112190+1242480+3766300+30000+1650000+50000+1400000+159900+80000+800000)-1948540)+80000+49000+250000</f>
        <v>102582000</v>
      </c>
      <c r="G19" s="148">
        <f>((77782670)-1597170)</f>
        <v>76185500</v>
      </c>
      <c r="H19" s="148">
        <f>(1650000+50000+1400000+159900+80000)+67000</f>
        <v>3406900</v>
      </c>
      <c r="I19" s="148"/>
      <c r="J19" s="216">
        <f t="shared" ref="J19:J28" si="6">L19+O19</f>
        <v>2854500</v>
      </c>
      <c r="K19" s="148">
        <f>(977200+330000+15000+241300)+336000+900000+55000</f>
        <v>2854500</v>
      </c>
      <c r="L19" s="149"/>
      <c r="M19" s="166"/>
      <c r="N19" s="166"/>
      <c r="O19" s="215">
        <f t="shared" ref="O19:O28" si="7">K19</f>
        <v>2854500</v>
      </c>
      <c r="P19" s="216">
        <f>+J19+E19</f>
        <v>105436500</v>
      </c>
    </row>
    <row r="20" spans="1:16" s="171" customFormat="1" ht="230.25" thickTop="1" thickBot="1" x14ac:dyDescent="0.25">
      <c r="A20" s="217" t="s">
        <v>707</v>
      </c>
      <c r="B20" s="217" t="s">
        <v>257</v>
      </c>
      <c r="C20" s="217" t="s">
        <v>255</v>
      </c>
      <c r="D20" s="217" t="s">
        <v>256</v>
      </c>
      <c r="E20" s="216">
        <f t="shared" ref="E20" si="8">F20</f>
        <v>6253540</v>
      </c>
      <c r="F20" s="148">
        <f>(4305000+1948540)</f>
        <v>6253540</v>
      </c>
      <c r="G20" s="148">
        <f>((2460000)+1597170)</f>
        <v>4057170</v>
      </c>
      <c r="H20" s="148"/>
      <c r="I20" s="148"/>
      <c r="J20" s="216">
        <f t="shared" ref="J20" si="9">L20+O20</f>
        <v>0</v>
      </c>
      <c r="K20" s="148"/>
      <c r="L20" s="149"/>
      <c r="M20" s="166"/>
      <c r="N20" s="166"/>
      <c r="O20" s="215">
        <f t="shared" si="7"/>
        <v>0</v>
      </c>
      <c r="P20" s="216">
        <f>+J20+E20</f>
        <v>6253540</v>
      </c>
    </row>
    <row r="21" spans="1:16" s="214" customFormat="1" ht="184.5" thickTop="1" thickBot="1" x14ac:dyDescent="0.25">
      <c r="A21" s="223" t="s">
        <v>778</v>
      </c>
      <c r="B21" s="223" t="s">
        <v>390</v>
      </c>
      <c r="C21" s="223" t="s">
        <v>779</v>
      </c>
      <c r="D21" s="223" t="s">
        <v>780</v>
      </c>
      <c r="E21" s="224">
        <f t="shared" ref="E21" si="10">F21</f>
        <v>49000</v>
      </c>
      <c r="F21" s="225">
        <v>49000</v>
      </c>
      <c r="G21" s="225"/>
      <c r="H21" s="225"/>
      <c r="I21" s="225"/>
      <c r="J21" s="224">
        <f t="shared" ref="J21" si="11">L21+O21</f>
        <v>0</v>
      </c>
      <c r="K21" s="225"/>
      <c r="L21" s="226"/>
      <c r="M21" s="227"/>
      <c r="N21" s="227"/>
      <c r="O21" s="228">
        <f t="shared" si="7"/>
        <v>0</v>
      </c>
      <c r="P21" s="224">
        <f>+J21+E21</f>
        <v>49000</v>
      </c>
    </row>
    <row r="22" spans="1:16" ht="93" thickTop="1" thickBot="1" x14ac:dyDescent="0.25">
      <c r="A22" s="223" t="s">
        <v>268</v>
      </c>
      <c r="B22" s="223" t="s">
        <v>45</v>
      </c>
      <c r="C22" s="223" t="s">
        <v>44</v>
      </c>
      <c r="D22" s="223" t="s">
        <v>269</v>
      </c>
      <c r="E22" s="224">
        <f t="shared" si="5"/>
        <v>3135750</v>
      </c>
      <c r="F22" s="229">
        <f>(3159750-49000)+25000</f>
        <v>3135750</v>
      </c>
      <c r="G22" s="229"/>
      <c r="H22" s="229"/>
      <c r="I22" s="229"/>
      <c r="J22" s="224">
        <f t="shared" si="6"/>
        <v>0</v>
      </c>
      <c r="K22" s="229"/>
      <c r="L22" s="229"/>
      <c r="M22" s="229"/>
      <c r="N22" s="229"/>
      <c r="O22" s="228">
        <f t="shared" si="7"/>
        <v>0</v>
      </c>
      <c r="P22" s="224">
        <f>E22+J22</f>
        <v>3135750</v>
      </c>
    </row>
    <row r="23" spans="1:16" s="317" customFormat="1" ht="47.25" thickTop="1" thickBot="1" x14ac:dyDescent="0.25">
      <c r="A23" s="360" t="s">
        <v>911</v>
      </c>
      <c r="B23" s="359" t="s">
        <v>912</v>
      </c>
      <c r="C23" s="359"/>
      <c r="D23" s="359" t="s">
        <v>913</v>
      </c>
      <c r="E23" s="308">
        <f t="shared" ref="E23:P23" si="12">SUM(E24:E32)-E24-E27-E29</f>
        <v>6533142.5899999999</v>
      </c>
      <c r="F23" s="308">
        <f t="shared" si="12"/>
        <v>6533142.5899999999</v>
      </c>
      <c r="G23" s="448">
        <f t="shared" si="12"/>
        <v>0</v>
      </c>
      <c r="H23" s="448">
        <f t="shared" si="12"/>
        <v>0</v>
      </c>
      <c r="I23" s="448">
        <f t="shared" si="12"/>
        <v>0</v>
      </c>
      <c r="J23" s="308">
        <f t="shared" si="12"/>
        <v>5174644.58</v>
      </c>
      <c r="K23" s="308">
        <f t="shared" si="12"/>
        <v>1500000</v>
      </c>
      <c r="L23" s="308">
        <f t="shared" si="12"/>
        <v>3575644.58</v>
      </c>
      <c r="M23" s="308">
        <f t="shared" si="12"/>
        <v>0</v>
      </c>
      <c r="N23" s="308">
        <f t="shared" si="12"/>
        <v>0</v>
      </c>
      <c r="O23" s="308">
        <f t="shared" si="12"/>
        <v>1599000</v>
      </c>
      <c r="P23" s="308">
        <f t="shared" si="12"/>
        <v>11707787.170000004</v>
      </c>
    </row>
    <row r="24" spans="1:16" s="37" customFormat="1" ht="91.5" thickTop="1" thickBot="1" x14ac:dyDescent="0.25">
      <c r="A24" s="319" t="s">
        <v>846</v>
      </c>
      <c r="B24" s="319" t="s">
        <v>847</v>
      </c>
      <c r="C24" s="319"/>
      <c r="D24" s="319" t="s">
        <v>848</v>
      </c>
      <c r="E24" s="288">
        <f t="shared" ref="E24:P24" si="13">SUM(E25:E26)</f>
        <v>4642400</v>
      </c>
      <c r="F24" s="288">
        <f t="shared" si="13"/>
        <v>4642400</v>
      </c>
      <c r="G24" s="288">
        <f t="shared" si="13"/>
        <v>0</v>
      </c>
      <c r="H24" s="288">
        <f t="shared" si="13"/>
        <v>0</v>
      </c>
      <c r="I24" s="288">
        <f t="shared" si="13"/>
        <v>0</v>
      </c>
      <c r="J24" s="288">
        <f t="shared" si="13"/>
        <v>1500000</v>
      </c>
      <c r="K24" s="288">
        <f t="shared" si="13"/>
        <v>1500000</v>
      </c>
      <c r="L24" s="288">
        <f t="shared" si="13"/>
        <v>0</v>
      </c>
      <c r="M24" s="288">
        <f t="shared" si="13"/>
        <v>0</v>
      </c>
      <c r="N24" s="288">
        <f t="shared" si="13"/>
        <v>0</v>
      </c>
      <c r="O24" s="288">
        <f t="shared" si="13"/>
        <v>1500000</v>
      </c>
      <c r="P24" s="288">
        <f t="shared" si="13"/>
        <v>6142400</v>
      </c>
    </row>
    <row r="25" spans="1:16" ht="93" thickTop="1" thickBot="1" x14ac:dyDescent="0.25">
      <c r="A25" s="223" t="s">
        <v>259</v>
      </c>
      <c r="B25" s="223" t="s">
        <v>260</v>
      </c>
      <c r="C25" s="223" t="s">
        <v>261</v>
      </c>
      <c r="D25" s="223" t="s">
        <v>258</v>
      </c>
      <c r="E25" s="224">
        <f t="shared" si="5"/>
        <v>4392400</v>
      </c>
      <c r="F25" s="229">
        <v>4392400</v>
      </c>
      <c r="G25" s="229"/>
      <c r="H25" s="229"/>
      <c r="I25" s="229"/>
      <c r="J25" s="224">
        <f t="shared" si="6"/>
        <v>1500000</v>
      </c>
      <c r="K25" s="229">
        <v>1500000</v>
      </c>
      <c r="L25" s="229"/>
      <c r="M25" s="229"/>
      <c r="N25" s="229"/>
      <c r="O25" s="228">
        <f t="shared" si="7"/>
        <v>1500000</v>
      </c>
      <c r="P25" s="224">
        <f>+J25+E25</f>
        <v>5892400</v>
      </c>
    </row>
    <row r="26" spans="1:16" s="657" customFormat="1" ht="230.25" thickTop="1" thickBot="1" x14ac:dyDescent="0.25">
      <c r="A26" s="662" t="s">
        <v>1292</v>
      </c>
      <c r="B26" s="662" t="s">
        <v>1293</v>
      </c>
      <c r="C26" s="662" t="s">
        <v>261</v>
      </c>
      <c r="D26" s="662" t="s">
        <v>1294</v>
      </c>
      <c r="E26" s="663">
        <f t="shared" si="5"/>
        <v>250000</v>
      </c>
      <c r="F26" s="229">
        <v>250000</v>
      </c>
      <c r="G26" s="229"/>
      <c r="H26" s="229"/>
      <c r="I26" s="229"/>
      <c r="J26" s="663">
        <f t="shared" si="6"/>
        <v>0</v>
      </c>
      <c r="K26" s="229"/>
      <c r="L26" s="229"/>
      <c r="M26" s="229"/>
      <c r="N26" s="229"/>
      <c r="O26" s="236"/>
      <c r="P26" s="663">
        <f>+J26+E26</f>
        <v>250000</v>
      </c>
    </row>
    <row r="27" spans="1:16" s="72" customFormat="1" ht="136.5" thickTop="1" thickBot="1" x14ac:dyDescent="0.25">
      <c r="A27" s="320" t="s">
        <v>850</v>
      </c>
      <c r="B27" s="320" t="s">
        <v>851</v>
      </c>
      <c r="C27" s="320"/>
      <c r="D27" s="320" t="s">
        <v>849</v>
      </c>
      <c r="E27" s="288">
        <f>SUM(E28)+E29</f>
        <v>1890742.59</v>
      </c>
      <c r="F27" s="288">
        <f t="shared" ref="F27:P27" si="14">SUM(F28)+F29</f>
        <v>1890742.59</v>
      </c>
      <c r="G27" s="288">
        <f t="shared" si="14"/>
        <v>0</v>
      </c>
      <c r="H27" s="288">
        <f t="shared" si="14"/>
        <v>0</v>
      </c>
      <c r="I27" s="288">
        <f t="shared" si="14"/>
        <v>0</v>
      </c>
      <c r="J27" s="288">
        <f t="shared" si="14"/>
        <v>3674644.58</v>
      </c>
      <c r="K27" s="288">
        <f t="shared" si="14"/>
        <v>0</v>
      </c>
      <c r="L27" s="288">
        <f t="shared" si="14"/>
        <v>3575644.58</v>
      </c>
      <c r="M27" s="288">
        <f t="shared" si="14"/>
        <v>0</v>
      </c>
      <c r="N27" s="288">
        <f t="shared" si="14"/>
        <v>0</v>
      </c>
      <c r="O27" s="288">
        <f t="shared" si="14"/>
        <v>99000</v>
      </c>
      <c r="P27" s="288">
        <f t="shared" si="14"/>
        <v>5565387.1699999999</v>
      </c>
    </row>
    <row r="28" spans="1:16" ht="138.75" thickTop="1" thickBot="1" x14ac:dyDescent="0.25">
      <c r="A28" s="223" t="s">
        <v>321</v>
      </c>
      <c r="B28" s="223" t="s">
        <v>322</v>
      </c>
      <c r="C28" s="223" t="s">
        <v>187</v>
      </c>
      <c r="D28" s="223" t="s">
        <v>477</v>
      </c>
      <c r="E28" s="224">
        <f t="shared" si="5"/>
        <v>290200</v>
      </c>
      <c r="F28" s="229">
        <v>290200</v>
      </c>
      <c r="G28" s="229"/>
      <c r="H28" s="229"/>
      <c r="I28" s="229"/>
      <c r="J28" s="224">
        <f t="shared" si="6"/>
        <v>0</v>
      </c>
      <c r="K28" s="229"/>
      <c r="L28" s="229"/>
      <c r="M28" s="229"/>
      <c r="N28" s="229"/>
      <c r="O28" s="228">
        <f t="shared" si="7"/>
        <v>0</v>
      </c>
      <c r="P28" s="224">
        <f>+J28+E28</f>
        <v>290200</v>
      </c>
    </row>
    <row r="29" spans="1:16" s="72" customFormat="1" ht="48" thickTop="1" thickBot="1" x14ac:dyDescent="0.25">
      <c r="A29" s="318" t="s">
        <v>853</v>
      </c>
      <c r="B29" s="318" t="s">
        <v>854</v>
      </c>
      <c r="C29" s="318"/>
      <c r="D29" s="321" t="s">
        <v>852</v>
      </c>
      <c r="E29" s="289">
        <f>SUM(E30:E32)</f>
        <v>1600542.59</v>
      </c>
      <c r="F29" s="289">
        <f t="shared" ref="F29:O29" si="15">SUM(F30:F32)</f>
        <v>1600542.59</v>
      </c>
      <c r="G29" s="289">
        <f t="shared" si="15"/>
        <v>0</v>
      </c>
      <c r="H29" s="289">
        <f t="shared" si="15"/>
        <v>0</v>
      </c>
      <c r="I29" s="289">
        <f t="shared" si="15"/>
        <v>0</v>
      </c>
      <c r="J29" s="289">
        <f t="shared" si="15"/>
        <v>3674644.58</v>
      </c>
      <c r="K29" s="289">
        <f t="shared" si="15"/>
        <v>0</v>
      </c>
      <c r="L29" s="289">
        <f t="shared" si="15"/>
        <v>3575644.58</v>
      </c>
      <c r="M29" s="289">
        <f t="shared" si="15"/>
        <v>0</v>
      </c>
      <c r="N29" s="289">
        <f t="shared" si="15"/>
        <v>0</v>
      </c>
      <c r="O29" s="289">
        <f t="shared" si="15"/>
        <v>99000</v>
      </c>
      <c r="P29" s="289">
        <f>E29+J29</f>
        <v>5275187.17</v>
      </c>
    </row>
    <row r="30" spans="1:16" s="37" customFormat="1" ht="361.5" customHeight="1" thickTop="1" thickBot="1" x14ac:dyDescent="0.7">
      <c r="A30" s="760" t="s">
        <v>366</v>
      </c>
      <c r="B30" s="760" t="s">
        <v>365</v>
      </c>
      <c r="C30" s="760" t="s">
        <v>187</v>
      </c>
      <c r="D30" s="231" t="s">
        <v>475</v>
      </c>
      <c r="E30" s="762">
        <f t="shared" si="5"/>
        <v>0</v>
      </c>
      <c r="F30" s="752"/>
      <c r="G30" s="752"/>
      <c r="H30" s="752"/>
      <c r="I30" s="752"/>
      <c r="J30" s="763">
        <f>L30+O30</f>
        <v>3674644.58</v>
      </c>
      <c r="K30" s="752"/>
      <c r="L30" s="752">
        <f>((1308600+69000+601000+1471600)+1155966.58)-450000-580522</f>
        <v>3575644.58</v>
      </c>
      <c r="M30" s="752"/>
      <c r="N30" s="752"/>
      <c r="O30" s="754">
        <f>(49000)+50000</f>
        <v>99000</v>
      </c>
      <c r="P30" s="756">
        <f>E30+J30</f>
        <v>3674644.58</v>
      </c>
    </row>
    <row r="31" spans="1:16" s="37" customFormat="1" ht="184.5" thickTop="1" thickBot="1" x14ac:dyDescent="0.25">
      <c r="A31" s="761"/>
      <c r="B31" s="790"/>
      <c r="C31" s="761"/>
      <c r="D31" s="232" t="s">
        <v>476</v>
      </c>
      <c r="E31" s="761"/>
      <c r="F31" s="753"/>
      <c r="G31" s="753"/>
      <c r="H31" s="753"/>
      <c r="I31" s="753"/>
      <c r="J31" s="764"/>
      <c r="K31" s="753"/>
      <c r="L31" s="753"/>
      <c r="M31" s="753"/>
      <c r="N31" s="753"/>
      <c r="O31" s="755"/>
      <c r="P31" s="757"/>
    </row>
    <row r="32" spans="1:16" s="37" customFormat="1" ht="93" thickTop="1" thickBot="1" x14ac:dyDescent="0.25">
      <c r="A32" s="447" t="s">
        <v>1126</v>
      </c>
      <c r="B32" s="447" t="s">
        <v>278</v>
      </c>
      <c r="C32" s="447" t="s">
        <v>187</v>
      </c>
      <c r="D32" s="447" t="s">
        <v>276</v>
      </c>
      <c r="E32" s="448">
        <f>F32</f>
        <v>1600542.59</v>
      </c>
      <c r="F32" s="229">
        <v>1600542.59</v>
      </c>
      <c r="G32" s="229"/>
      <c r="H32" s="229"/>
      <c r="I32" s="229"/>
      <c r="J32" s="448">
        <f>L32+O32</f>
        <v>0</v>
      </c>
      <c r="K32" s="229"/>
      <c r="L32" s="229"/>
      <c r="M32" s="229"/>
      <c r="N32" s="229"/>
      <c r="O32" s="236"/>
      <c r="P32" s="448">
        <f>E32+J32</f>
        <v>1600542.59</v>
      </c>
    </row>
    <row r="33" spans="1:16" s="37" customFormat="1" ht="46.5" customHeight="1" thickTop="1" thickBot="1" x14ac:dyDescent="0.25">
      <c r="A33" s="360" t="s">
        <v>855</v>
      </c>
      <c r="B33" s="360" t="s">
        <v>856</v>
      </c>
      <c r="C33" s="360"/>
      <c r="D33" s="360" t="s">
        <v>857</v>
      </c>
      <c r="E33" s="307">
        <f>E34</f>
        <v>6359300</v>
      </c>
      <c r="F33" s="307">
        <f t="shared" ref="F33:O33" si="16">F34</f>
        <v>6359300</v>
      </c>
      <c r="G33" s="307">
        <f t="shared" si="16"/>
        <v>0</v>
      </c>
      <c r="H33" s="307">
        <f t="shared" si="16"/>
        <v>0</v>
      </c>
      <c r="I33" s="307">
        <f t="shared" si="16"/>
        <v>0</v>
      </c>
      <c r="J33" s="307">
        <f t="shared" si="16"/>
        <v>0</v>
      </c>
      <c r="K33" s="307">
        <f t="shared" si="16"/>
        <v>0</v>
      </c>
      <c r="L33" s="307">
        <f t="shared" si="16"/>
        <v>0</v>
      </c>
      <c r="M33" s="307">
        <f t="shared" si="16"/>
        <v>0</v>
      </c>
      <c r="N33" s="307">
        <f t="shared" si="16"/>
        <v>0</v>
      </c>
      <c r="O33" s="307">
        <f t="shared" si="16"/>
        <v>0</v>
      </c>
      <c r="P33" s="307">
        <f>P34</f>
        <v>6359300</v>
      </c>
    </row>
    <row r="34" spans="1:16" s="37" customFormat="1" ht="47.25" thickTop="1" thickBot="1" x14ac:dyDescent="0.25">
      <c r="A34" s="319" t="s">
        <v>858</v>
      </c>
      <c r="B34" s="319" t="s">
        <v>859</v>
      </c>
      <c r="C34" s="319"/>
      <c r="D34" s="319" t="s">
        <v>860</v>
      </c>
      <c r="E34" s="288">
        <f>SUM(E35)</f>
        <v>6359300</v>
      </c>
      <c r="F34" s="288">
        <f t="shared" ref="F34:P34" si="17">SUM(F35)</f>
        <v>6359300</v>
      </c>
      <c r="G34" s="288">
        <f t="shared" si="17"/>
        <v>0</v>
      </c>
      <c r="H34" s="288">
        <f t="shared" si="17"/>
        <v>0</v>
      </c>
      <c r="I34" s="288">
        <f t="shared" si="17"/>
        <v>0</v>
      </c>
      <c r="J34" s="288">
        <f t="shared" si="17"/>
        <v>0</v>
      </c>
      <c r="K34" s="288">
        <f t="shared" si="17"/>
        <v>0</v>
      </c>
      <c r="L34" s="288">
        <f t="shared" si="17"/>
        <v>0</v>
      </c>
      <c r="M34" s="288">
        <f t="shared" si="17"/>
        <v>0</v>
      </c>
      <c r="N34" s="288">
        <f t="shared" si="17"/>
        <v>0</v>
      </c>
      <c r="O34" s="288">
        <f t="shared" si="17"/>
        <v>0</v>
      </c>
      <c r="P34" s="288">
        <f t="shared" si="17"/>
        <v>6359300</v>
      </c>
    </row>
    <row r="35" spans="1:16" ht="93" thickTop="1" thickBot="1" x14ac:dyDescent="0.25">
      <c r="A35" s="223" t="s">
        <v>262</v>
      </c>
      <c r="B35" s="223" t="s">
        <v>263</v>
      </c>
      <c r="C35" s="223" t="s">
        <v>264</v>
      </c>
      <c r="D35" s="223" t="s">
        <v>265</v>
      </c>
      <c r="E35" s="224">
        <f>F35</f>
        <v>6359300</v>
      </c>
      <c r="F35" s="229">
        <v>6359300</v>
      </c>
      <c r="G35" s="229"/>
      <c r="H35" s="229"/>
      <c r="I35" s="229"/>
      <c r="J35" s="224">
        <f>L35+O35</f>
        <v>0</v>
      </c>
      <c r="K35" s="229"/>
      <c r="L35" s="229"/>
      <c r="M35" s="229"/>
      <c r="N35" s="229"/>
      <c r="O35" s="228">
        <f>K35</f>
        <v>0</v>
      </c>
      <c r="P35" s="224">
        <f>E35+J35</f>
        <v>6359300</v>
      </c>
    </row>
    <row r="36" spans="1:16" s="301" customFormat="1" ht="47.25" thickTop="1" thickBot="1" x14ac:dyDescent="0.25">
      <c r="A36" s="360" t="s">
        <v>861</v>
      </c>
      <c r="B36" s="360" t="s">
        <v>862</v>
      </c>
      <c r="C36" s="360"/>
      <c r="D36" s="360" t="s">
        <v>863</v>
      </c>
      <c r="E36" s="307">
        <f t="shared" ref="E36:P36" si="18">E37+E40</f>
        <v>4050100</v>
      </c>
      <c r="F36" s="503">
        <f t="shared" si="18"/>
        <v>4050100</v>
      </c>
      <c r="G36" s="503">
        <f t="shared" si="18"/>
        <v>0</v>
      </c>
      <c r="H36" s="503">
        <f t="shared" si="18"/>
        <v>0</v>
      </c>
      <c r="I36" s="503">
        <f t="shared" si="18"/>
        <v>0</v>
      </c>
      <c r="J36" s="503">
        <f t="shared" si="18"/>
        <v>1340000</v>
      </c>
      <c r="K36" s="503">
        <f t="shared" si="18"/>
        <v>1340000</v>
      </c>
      <c r="L36" s="503">
        <f t="shared" si="18"/>
        <v>0</v>
      </c>
      <c r="M36" s="503">
        <f t="shared" si="18"/>
        <v>0</v>
      </c>
      <c r="N36" s="503">
        <f t="shared" si="18"/>
        <v>0</v>
      </c>
      <c r="O36" s="503">
        <f t="shared" si="18"/>
        <v>1340000</v>
      </c>
      <c r="P36" s="503">
        <f t="shared" si="18"/>
        <v>5390100</v>
      </c>
    </row>
    <row r="37" spans="1:16" s="37" customFormat="1" ht="271.5" thickTop="1" thickBot="1" x14ac:dyDescent="0.25">
      <c r="A37" s="319" t="s">
        <v>864</v>
      </c>
      <c r="B37" s="319" t="s">
        <v>865</v>
      </c>
      <c r="C37" s="319"/>
      <c r="D37" s="319" t="s">
        <v>866</v>
      </c>
      <c r="E37" s="288">
        <f>SUM(E38:E39)</f>
        <v>420100</v>
      </c>
      <c r="F37" s="288">
        <f t="shared" ref="F37:P37" si="19">SUM(F38:F39)</f>
        <v>420100</v>
      </c>
      <c r="G37" s="288">
        <f t="shared" si="19"/>
        <v>0</v>
      </c>
      <c r="H37" s="288">
        <f t="shared" si="19"/>
        <v>0</v>
      </c>
      <c r="I37" s="288">
        <f t="shared" si="19"/>
        <v>0</v>
      </c>
      <c r="J37" s="288">
        <f t="shared" si="19"/>
        <v>0</v>
      </c>
      <c r="K37" s="288">
        <f t="shared" si="19"/>
        <v>0</v>
      </c>
      <c r="L37" s="288">
        <f t="shared" si="19"/>
        <v>0</v>
      </c>
      <c r="M37" s="288">
        <f t="shared" si="19"/>
        <v>0</v>
      </c>
      <c r="N37" s="288">
        <f t="shared" si="19"/>
        <v>0</v>
      </c>
      <c r="O37" s="288">
        <f t="shared" si="19"/>
        <v>0</v>
      </c>
      <c r="P37" s="288">
        <f t="shared" si="19"/>
        <v>420100</v>
      </c>
    </row>
    <row r="38" spans="1:16" ht="276" thickTop="1" thickBot="1" x14ac:dyDescent="0.25">
      <c r="A38" s="217" t="s">
        <v>266</v>
      </c>
      <c r="B38" s="217" t="s">
        <v>267</v>
      </c>
      <c r="C38" s="217" t="s">
        <v>45</v>
      </c>
      <c r="D38" s="217" t="s">
        <v>478</v>
      </c>
      <c r="E38" s="216">
        <f t="shared" si="5"/>
        <v>300000</v>
      </c>
      <c r="F38" s="233">
        <v>300000</v>
      </c>
      <c r="G38" s="233"/>
      <c r="H38" s="233"/>
      <c r="I38" s="233"/>
      <c r="J38" s="216">
        <f>L38+O38</f>
        <v>0</v>
      </c>
      <c r="K38" s="233"/>
      <c r="L38" s="233"/>
      <c r="M38" s="233"/>
      <c r="N38" s="233"/>
      <c r="O38" s="215">
        <f>K38</f>
        <v>0</v>
      </c>
      <c r="P38" s="216">
        <f>E38+J38</f>
        <v>300000</v>
      </c>
    </row>
    <row r="39" spans="1:16" s="164" customFormat="1" ht="93" thickTop="1" thickBot="1" x14ac:dyDescent="0.25">
      <c r="A39" s="217" t="s">
        <v>694</v>
      </c>
      <c r="B39" s="217" t="s">
        <v>391</v>
      </c>
      <c r="C39" s="217" t="s">
        <v>45</v>
      </c>
      <c r="D39" s="217" t="s">
        <v>392</v>
      </c>
      <c r="E39" s="216">
        <f t="shared" ref="E39:E40" si="20">F39</f>
        <v>120100</v>
      </c>
      <c r="F39" s="233">
        <v>120100</v>
      </c>
      <c r="G39" s="233"/>
      <c r="H39" s="233"/>
      <c r="I39" s="233"/>
      <c r="J39" s="216">
        <f>L39+O39</f>
        <v>0</v>
      </c>
      <c r="K39" s="233"/>
      <c r="L39" s="233"/>
      <c r="M39" s="233"/>
      <c r="N39" s="233"/>
      <c r="O39" s="215">
        <f>K39</f>
        <v>0</v>
      </c>
      <c r="P39" s="216">
        <f>E39+J39</f>
        <v>120100</v>
      </c>
    </row>
    <row r="40" spans="1:16" s="499" customFormat="1" ht="271.5" thickTop="1" thickBot="1" x14ac:dyDescent="0.25">
      <c r="A40" s="319" t="s">
        <v>562</v>
      </c>
      <c r="B40" s="319" t="s">
        <v>563</v>
      </c>
      <c r="C40" s="319" t="s">
        <v>45</v>
      </c>
      <c r="D40" s="319" t="s">
        <v>564</v>
      </c>
      <c r="E40" s="288">
        <f t="shared" si="20"/>
        <v>3630000</v>
      </c>
      <c r="F40" s="288">
        <f>500000+300000+80000+50000+(500000+400000+80000+400000+80000+60000+200000+80000+300000+500000+100000)</f>
        <v>3630000</v>
      </c>
      <c r="G40" s="288"/>
      <c r="H40" s="288"/>
      <c r="I40" s="288"/>
      <c r="J40" s="288">
        <f>L40+O40</f>
        <v>1340000</v>
      </c>
      <c r="K40" s="229">
        <f>380000+(80000+300000+500000+80000)</f>
        <v>1340000</v>
      </c>
      <c r="L40" s="288"/>
      <c r="M40" s="288"/>
      <c r="N40" s="288"/>
      <c r="O40" s="288">
        <f>K40</f>
        <v>1340000</v>
      </c>
      <c r="P40" s="288">
        <f>E40+J40</f>
        <v>4970000</v>
      </c>
    </row>
    <row r="41" spans="1:16" ht="136.5" thickTop="1" thickBot="1" x14ac:dyDescent="0.25">
      <c r="A41" s="691" t="s">
        <v>169</v>
      </c>
      <c r="B41" s="691"/>
      <c r="C41" s="691"/>
      <c r="D41" s="692" t="s">
        <v>0</v>
      </c>
      <c r="E41" s="693">
        <f>E42</f>
        <v>1600610141.95</v>
      </c>
      <c r="F41" s="694">
        <f t="shared" ref="F41" si="21">F42</f>
        <v>1600610141.95</v>
      </c>
      <c r="G41" s="694">
        <f>G42</f>
        <v>1121736366.47</v>
      </c>
      <c r="H41" s="694">
        <f>H42</f>
        <v>91375006.789999992</v>
      </c>
      <c r="I41" s="694">
        <f t="shared" ref="I41" si="22">I42</f>
        <v>0</v>
      </c>
      <c r="J41" s="693">
        <f>J42</f>
        <v>211650096.25</v>
      </c>
      <c r="K41" s="694">
        <f>K42</f>
        <v>66426682.250000007</v>
      </c>
      <c r="L41" s="694">
        <f>L42</f>
        <v>143418194</v>
      </c>
      <c r="M41" s="694">
        <f t="shared" ref="M41" si="23">M42</f>
        <v>41549170</v>
      </c>
      <c r="N41" s="693">
        <f>N42</f>
        <v>9574190</v>
      </c>
      <c r="O41" s="693">
        <f>O42</f>
        <v>68231902.25</v>
      </c>
      <c r="P41" s="694">
        <f t="shared" ref="P41" si="24">P42</f>
        <v>1812260238.2</v>
      </c>
    </row>
    <row r="42" spans="1:16" ht="136.5" thickTop="1" thickBot="1" x14ac:dyDescent="0.25">
      <c r="A42" s="695" t="s">
        <v>170</v>
      </c>
      <c r="B42" s="695"/>
      <c r="C42" s="695"/>
      <c r="D42" s="696" t="s">
        <v>1</v>
      </c>
      <c r="E42" s="697">
        <f>E43+E74</f>
        <v>1600610141.95</v>
      </c>
      <c r="F42" s="697">
        <f t="shared" ref="F42:I42" si="25">F43+F74</f>
        <v>1600610141.95</v>
      </c>
      <c r="G42" s="697">
        <f t="shared" si="25"/>
        <v>1121736366.47</v>
      </c>
      <c r="H42" s="697">
        <f t="shared" si="25"/>
        <v>91375006.789999992</v>
      </c>
      <c r="I42" s="697">
        <f t="shared" si="25"/>
        <v>0</v>
      </c>
      <c r="J42" s="697">
        <f>L42+O42</f>
        <v>211650096.25</v>
      </c>
      <c r="K42" s="697">
        <f>K43+K74</f>
        <v>66426682.250000007</v>
      </c>
      <c r="L42" s="697">
        <f t="shared" ref="L42:O42" si="26">L43+L74</f>
        <v>143418194</v>
      </c>
      <c r="M42" s="697">
        <f t="shared" si="26"/>
        <v>41549170</v>
      </c>
      <c r="N42" s="697">
        <f t="shared" si="26"/>
        <v>9574190</v>
      </c>
      <c r="O42" s="697">
        <f t="shared" si="26"/>
        <v>68231902.25</v>
      </c>
      <c r="P42" s="698">
        <f>E42+J42</f>
        <v>1812260238.2</v>
      </c>
    </row>
    <row r="43" spans="1:16" s="301" customFormat="1" ht="47.25" thickTop="1" thickBot="1" x14ac:dyDescent="0.25">
      <c r="A43" s="360" t="s">
        <v>867</v>
      </c>
      <c r="B43" s="360" t="s">
        <v>868</v>
      </c>
      <c r="C43" s="360"/>
      <c r="D43" s="360" t="s">
        <v>869</v>
      </c>
      <c r="E43" s="307">
        <f>E44+E45+E49+E54+E55+E58+E61+E64+E65+E72+E51+E73+E68+E76</f>
        <v>1600610141.95</v>
      </c>
      <c r="F43" s="669">
        <f t="shared" ref="F43:P43" si="27">F44+F45+F49+F54+F55+F58+F61+F64+F65+F72+F51+F73+F68+F76</f>
        <v>1600610141.95</v>
      </c>
      <c r="G43" s="669">
        <f t="shared" si="27"/>
        <v>1121736366.47</v>
      </c>
      <c r="H43" s="669">
        <f t="shared" si="27"/>
        <v>91375006.789999992</v>
      </c>
      <c r="I43" s="669">
        <f t="shared" si="27"/>
        <v>0</v>
      </c>
      <c r="J43" s="669">
        <f t="shared" si="27"/>
        <v>211650096.25</v>
      </c>
      <c r="K43" s="669">
        <f t="shared" si="27"/>
        <v>66426682.250000007</v>
      </c>
      <c r="L43" s="669">
        <f t="shared" si="27"/>
        <v>143418194</v>
      </c>
      <c r="M43" s="669">
        <f t="shared" si="27"/>
        <v>41549170</v>
      </c>
      <c r="N43" s="669">
        <f t="shared" si="27"/>
        <v>9574190</v>
      </c>
      <c r="O43" s="669">
        <f t="shared" si="27"/>
        <v>68231902.25</v>
      </c>
      <c r="P43" s="669">
        <f t="shared" si="27"/>
        <v>1812260238.2</v>
      </c>
    </row>
    <row r="44" spans="1:16" ht="99" customHeight="1" thickTop="1" thickBot="1" x14ac:dyDescent="0.25">
      <c r="A44" s="266" t="s">
        <v>219</v>
      </c>
      <c r="B44" s="266" t="s">
        <v>220</v>
      </c>
      <c r="C44" s="266" t="s">
        <v>222</v>
      </c>
      <c r="D44" s="266" t="s">
        <v>223</v>
      </c>
      <c r="E44" s="267">
        <f>F44</f>
        <v>469872991</v>
      </c>
      <c r="F44" s="233">
        <f>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</f>
        <v>469872991</v>
      </c>
      <c r="G44" s="233">
        <f>((305204300+12733230+1420850)-1600000)+3760945+85400</f>
        <v>321604725</v>
      </c>
      <c r="H44" s="233">
        <f>((20309300+734740+914480+6850060+1542435+1159227+80427)+1400000-19760)+613864+30400+246500-200000-200000</f>
        <v>33461673</v>
      </c>
      <c r="I44" s="233"/>
      <c r="J44" s="267">
        <f t="shared" ref="J44:J67" si="28">L44+O44</f>
        <v>72874415.370000005</v>
      </c>
      <c r="K44" s="233">
        <f>1000000-45333+((800000+3100000+160000+440000+130000+30333+15000+300000+1172122-1172122)+48000+542134.23+700000+500000+500000+59561.14+49000)</f>
        <v>8328695.3700000001</v>
      </c>
      <c r="L44" s="233">
        <f>(12568180+2758370+5329340+76070+37006700+2376280+17030+812980+26200+2000+18400+2848150)</f>
        <v>63839700</v>
      </c>
      <c r="M44" s="233">
        <f>(12568180+803420)</f>
        <v>13371600</v>
      </c>
      <c r="N44" s="233">
        <f>(222380+222120+356490+1320+10670+30130)</f>
        <v>843110</v>
      </c>
      <c r="O44" s="265">
        <f>K44+667020+39000</f>
        <v>9034715.370000001</v>
      </c>
      <c r="P44" s="267">
        <f t="shared" ref="P44:P56" si="29">E44+J44</f>
        <v>542747406.37</v>
      </c>
    </row>
    <row r="45" spans="1:16" s="72" customFormat="1" ht="138.75" thickTop="1" thickBot="1" x14ac:dyDescent="0.25">
      <c r="A45" s="287" t="s">
        <v>224</v>
      </c>
      <c r="B45" s="287" t="s">
        <v>221</v>
      </c>
      <c r="C45" s="287"/>
      <c r="D45" s="287" t="s">
        <v>803</v>
      </c>
      <c r="E45" s="289">
        <f>E46+E47+E48</f>
        <v>316411279.95999998</v>
      </c>
      <c r="F45" s="289">
        <f t="shared" ref="F45:I45" si="30">F46+F47+F48</f>
        <v>316411279.95999998</v>
      </c>
      <c r="G45" s="289">
        <f t="shared" si="30"/>
        <v>175734327</v>
      </c>
      <c r="H45" s="289">
        <f t="shared" si="30"/>
        <v>43578328.789999999</v>
      </c>
      <c r="I45" s="289">
        <f t="shared" si="30"/>
        <v>0</v>
      </c>
      <c r="J45" s="289">
        <f t="shared" ref="J45" si="31">J46+J47+J48</f>
        <v>76621646.890000001</v>
      </c>
      <c r="K45" s="289">
        <f t="shared" ref="K45" si="32">K46+K47+K48</f>
        <v>24012696.890000004</v>
      </c>
      <c r="L45" s="289">
        <f t="shared" ref="L45" si="33">L46+L47+L48</f>
        <v>51790750</v>
      </c>
      <c r="M45" s="289">
        <f t="shared" ref="M45" si="34">M46+M47+M48</f>
        <v>19457250</v>
      </c>
      <c r="N45" s="289">
        <f t="shared" ref="N45" si="35">N46+N47+N48</f>
        <v>945120</v>
      </c>
      <c r="O45" s="289">
        <f t="shared" ref="O45" si="36">O46+O47+O48</f>
        <v>24830896.890000004</v>
      </c>
      <c r="P45" s="289">
        <f>E45+J45</f>
        <v>393032926.84999996</v>
      </c>
    </row>
    <row r="46" spans="1:16" ht="138.75" thickTop="1" thickBot="1" x14ac:dyDescent="0.25">
      <c r="A46" s="292" t="s">
        <v>800</v>
      </c>
      <c r="B46" s="292" t="s">
        <v>801</v>
      </c>
      <c r="C46" s="292" t="s">
        <v>225</v>
      </c>
      <c r="D46" s="292" t="s">
        <v>802</v>
      </c>
      <c r="E46" s="290">
        <f t="shared" ref="E46:E56" si="37">F46</f>
        <v>289134512.13999999</v>
      </c>
      <c r="F46" s="233">
        <f>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</f>
        <v>289134512.13999999</v>
      </c>
      <c r="G46" s="233">
        <f>(665932900-12733230-496181500)-410000</f>
        <v>156608170</v>
      </c>
      <c r="H46" s="233">
        <f>((28409070+505115+696000+1555400+9873130+1177895-1159227+6058967)+314737.33-3489794.54-2700000+662500-165000-635000+200000)+46000+977800-200000-200000+127228</f>
        <v>42054820.789999999</v>
      </c>
      <c r="I46" s="233"/>
      <c r="J46" s="290">
        <f t="shared" si="28"/>
        <v>75674893.890000001</v>
      </c>
      <c r="K46" s="233">
        <f>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</f>
        <v>23117843.890000004</v>
      </c>
      <c r="L46" s="233">
        <f>(20260670+4446400+3714280+69930+22978640+1904840+107920+944650+28110+4600+143360-2848150)-16400</f>
        <v>51738850</v>
      </c>
      <c r="M46" s="233">
        <f>(20260670-803420)</f>
        <v>19457250</v>
      </c>
      <c r="N46" s="233">
        <f>(315710+155250+435040+38650-30130)</f>
        <v>914520</v>
      </c>
      <c r="O46" s="291">
        <f>(K46+840800-39000)+16400</f>
        <v>23936043.890000004</v>
      </c>
      <c r="P46" s="290">
        <f t="shared" si="29"/>
        <v>364809406.02999997</v>
      </c>
    </row>
    <row r="47" spans="1:16" ht="276" thickTop="1" thickBot="1" x14ac:dyDescent="0.25">
      <c r="A47" s="292" t="s">
        <v>810</v>
      </c>
      <c r="B47" s="292" t="s">
        <v>811</v>
      </c>
      <c r="C47" s="292" t="s">
        <v>228</v>
      </c>
      <c r="D47" s="292" t="s">
        <v>545</v>
      </c>
      <c r="E47" s="290">
        <f t="shared" si="37"/>
        <v>23001882</v>
      </c>
      <c r="F47" s="233">
        <f>((21983082)+14000-38115-8385)+818000+193300+30000+10000</f>
        <v>23001882</v>
      </c>
      <c r="G47" s="233">
        <f>((18140130-1420850)-38115)+818000</f>
        <v>17499165</v>
      </c>
      <c r="H47" s="233">
        <f>((779700+14900+108615+22080-80427)+14000)+192900+400</f>
        <v>1052168</v>
      </c>
      <c r="I47" s="233"/>
      <c r="J47" s="290">
        <f t="shared" si="28"/>
        <v>946753</v>
      </c>
      <c r="K47" s="233">
        <f>-54288+((300000+100000+120000+38430+59425+30000-30000)+16386+314900)</f>
        <v>894853</v>
      </c>
      <c r="L47" s="233">
        <f>(10100+6900+2500+30600+1800)</f>
        <v>51900</v>
      </c>
      <c r="M47" s="233"/>
      <c r="N47" s="233">
        <f>(18600+800+10600+600)</f>
        <v>30600</v>
      </c>
      <c r="O47" s="291">
        <f>K47</f>
        <v>894853</v>
      </c>
      <c r="P47" s="290">
        <f t="shared" si="29"/>
        <v>23948635</v>
      </c>
    </row>
    <row r="48" spans="1:16" s="665" customFormat="1" ht="184.5" thickTop="1" thickBot="1" x14ac:dyDescent="0.25">
      <c r="A48" s="668" t="s">
        <v>1325</v>
      </c>
      <c r="B48" s="668" t="s">
        <v>1326</v>
      </c>
      <c r="C48" s="668" t="s">
        <v>228</v>
      </c>
      <c r="D48" s="668" t="s">
        <v>1327</v>
      </c>
      <c r="E48" s="669">
        <f t="shared" ref="E48" si="38">F48</f>
        <v>4274885.82</v>
      </c>
      <c r="F48" s="233">
        <f>1626992+355000+25000+1600+1764440+13500+293420+37415+137520+2985+28053.82-11040</f>
        <v>4274885.82</v>
      </c>
      <c r="G48" s="233">
        <v>1626992</v>
      </c>
      <c r="H48" s="233">
        <f>293420+37415+137520+2985</f>
        <v>471340</v>
      </c>
      <c r="I48" s="233"/>
      <c r="J48" s="669">
        <f t="shared" ref="J48" si="39">L48+O48</f>
        <v>0</v>
      </c>
      <c r="K48" s="233"/>
      <c r="L48" s="233"/>
      <c r="M48" s="233"/>
      <c r="N48" s="233"/>
      <c r="O48" s="666">
        <f>K48</f>
        <v>0</v>
      </c>
      <c r="P48" s="669">
        <f t="shared" ref="P48" si="40">E48+J48</f>
        <v>4274885.82</v>
      </c>
    </row>
    <row r="49" spans="1:16" s="72" customFormat="1" ht="138.75" thickTop="1" thickBot="1" x14ac:dyDescent="0.25">
      <c r="A49" s="287" t="s">
        <v>546</v>
      </c>
      <c r="B49" s="287" t="s">
        <v>226</v>
      </c>
      <c r="C49" s="287"/>
      <c r="D49" s="287" t="s">
        <v>818</v>
      </c>
      <c r="E49" s="289">
        <f>E50</f>
        <v>608795058</v>
      </c>
      <c r="F49" s="289">
        <f>F50</f>
        <v>608795058</v>
      </c>
      <c r="G49" s="289">
        <f t="shared" ref="G49:P49" si="41">G50</f>
        <v>496181500</v>
      </c>
      <c r="H49" s="289">
        <f t="shared" si="41"/>
        <v>0</v>
      </c>
      <c r="I49" s="289">
        <f t="shared" si="41"/>
        <v>0</v>
      </c>
      <c r="J49" s="289">
        <f t="shared" si="41"/>
        <v>0</v>
      </c>
      <c r="K49" s="289">
        <f t="shared" si="41"/>
        <v>0</v>
      </c>
      <c r="L49" s="289">
        <f t="shared" si="41"/>
        <v>0</v>
      </c>
      <c r="M49" s="289">
        <f t="shared" si="41"/>
        <v>0</v>
      </c>
      <c r="N49" s="289">
        <f t="shared" si="41"/>
        <v>0</v>
      </c>
      <c r="O49" s="289">
        <f t="shared" si="41"/>
        <v>0</v>
      </c>
      <c r="P49" s="289">
        <f t="shared" si="41"/>
        <v>608795058</v>
      </c>
    </row>
    <row r="50" spans="1:16" s="268" customFormat="1" ht="138.75" thickTop="1" thickBot="1" x14ac:dyDescent="0.25">
      <c r="A50" s="292" t="s">
        <v>819</v>
      </c>
      <c r="B50" s="292" t="s">
        <v>820</v>
      </c>
      <c r="C50" s="292" t="s">
        <v>225</v>
      </c>
      <c r="D50" s="491" t="s">
        <v>802</v>
      </c>
      <c r="E50" s="290">
        <f t="shared" ref="E50" si="42">F50</f>
        <v>608795058</v>
      </c>
      <c r="F50" s="233">
        <v>608795058</v>
      </c>
      <c r="G50" s="233">
        <v>496181500</v>
      </c>
      <c r="H50" s="233"/>
      <c r="I50" s="233"/>
      <c r="J50" s="290">
        <f t="shared" ref="J50" si="43">L50+O50</f>
        <v>0</v>
      </c>
      <c r="K50" s="233"/>
      <c r="L50" s="233"/>
      <c r="M50" s="233"/>
      <c r="N50" s="233"/>
      <c r="O50" s="291">
        <f>K50</f>
        <v>0</v>
      </c>
      <c r="P50" s="290">
        <f t="shared" ref="P50:P53" si="44">E50+J50</f>
        <v>608795058</v>
      </c>
    </row>
    <row r="51" spans="1:16" s="485" customFormat="1" ht="409.6" thickTop="1" x14ac:dyDescent="0.65">
      <c r="A51" s="766" t="s">
        <v>1172</v>
      </c>
      <c r="B51" s="766" t="s">
        <v>52</v>
      </c>
      <c r="C51" s="766"/>
      <c r="D51" s="497" t="s">
        <v>1175</v>
      </c>
      <c r="E51" s="780">
        <f t="shared" ref="E51:O51" si="45">E53</f>
        <v>0</v>
      </c>
      <c r="F51" s="780">
        <f t="shared" si="45"/>
        <v>0</v>
      </c>
      <c r="G51" s="780">
        <f t="shared" si="45"/>
        <v>0</v>
      </c>
      <c r="H51" s="780">
        <f t="shared" si="45"/>
        <v>0</v>
      </c>
      <c r="I51" s="780">
        <f t="shared" si="45"/>
        <v>0</v>
      </c>
      <c r="J51" s="780">
        <f t="shared" si="45"/>
        <v>6197509.9900000002</v>
      </c>
      <c r="K51" s="780">
        <f t="shared" si="45"/>
        <v>6197509.9900000002</v>
      </c>
      <c r="L51" s="780">
        <f t="shared" si="45"/>
        <v>0</v>
      </c>
      <c r="M51" s="780">
        <f t="shared" si="45"/>
        <v>0</v>
      </c>
      <c r="N51" s="780">
        <f t="shared" si="45"/>
        <v>0</v>
      </c>
      <c r="O51" s="780">
        <f t="shared" si="45"/>
        <v>6197509.9900000002</v>
      </c>
      <c r="P51" s="780">
        <f>E51+J51</f>
        <v>6197509.9900000002</v>
      </c>
    </row>
    <row r="52" spans="1:16" s="485" customFormat="1" ht="183.75" thickBot="1" x14ac:dyDescent="0.25">
      <c r="A52" s="767"/>
      <c r="B52" s="767"/>
      <c r="C52" s="767"/>
      <c r="D52" s="498" t="s">
        <v>1176</v>
      </c>
      <c r="E52" s="767"/>
      <c r="F52" s="767"/>
      <c r="G52" s="767"/>
      <c r="H52" s="767"/>
      <c r="I52" s="767"/>
      <c r="J52" s="767"/>
      <c r="K52" s="767"/>
      <c r="L52" s="767"/>
      <c r="M52" s="767"/>
      <c r="N52" s="767"/>
      <c r="O52" s="767"/>
      <c r="P52" s="767"/>
    </row>
    <row r="53" spans="1:16" s="485" customFormat="1" ht="138.75" thickTop="1" thickBot="1" x14ac:dyDescent="0.25">
      <c r="A53" s="491" t="s">
        <v>1173</v>
      </c>
      <c r="B53" s="491" t="s">
        <v>1174</v>
      </c>
      <c r="C53" s="491" t="s">
        <v>225</v>
      </c>
      <c r="D53" s="491" t="s">
        <v>1177</v>
      </c>
      <c r="E53" s="492">
        <f t="shared" ref="E53" si="46">F53</f>
        <v>0</v>
      </c>
      <c r="F53" s="233"/>
      <c r="G53" s="233"/>
      <c r="H53" s="233"/>
      <c r="I53" s="233"/>
      <c r="J53" s="492">
        <f t="shared" ref="J53" si="47">L53+O53</f>
        <v>6197509.9900000002</v>
      </c>
      <c r="K53" s="233">
        <f>700000+700000+2000000+700000+500000+107149.99+400000+400000+690360</f>
        <v>6197509.9900000002</v>
      </c>
      <c r="L53" s="233"/>
      <c r="M53" s="233"/>
      <c r="N53" s="233"/>
      <c r="O53" s="489">
        <f>K53</f>
        <v>6197509.9900000002</v>
      </c>
      <c r="P53" s="492">
        <f t="shared" si="44"/>
        <v>6197509.9900000002</v>
      </c>
    </row>
    <row r="54" spans="1:16" ht="184.5" thickTop="1" thickBot="1" x14ac:dyDescent="0.25">
      <c r="A54" s="271" t="s">
        <v>821</v>
      </c>
      <c r="B54" s="271" t="s">
        <v>227</v>
      </c>
      <c r="C54" s="271" t="s">
        <v>202</v>
      </c>
      <c r="D54" s="271" t="s">
        <v>547</v>
      </c>
      <c r="E54" s="269">
        <f t="shared" si="37"/>
        <v>33303488</v>
      </c>
      <c r="F54" s="233">
        <f>36000-31000+198000+43600+210+3420+16600+3720+(((27590745+205730+10500+221500+130820+1620460+33365+388480+37100+8875+121133)+56500+75000+918750+1201665+264366+22418+49800+391485+31000+93850+328696)-542300-257700+30700)</f>
        <v>33303488</v>
      </c>
      <c r="G54" s="233">
        <f>(((22671115)+1201665)-542300)+198000</f>
        <v>23528480</v>
      </c>
      <c r="H54" s="233">
        <f>(((1620460+33365+388480+37100)+56500)+30700)+210+3420+16600</f>
        <v>2186835</v>
      </c>
      <c r="I54" s="233"/>
      <c r="J54" s="269">
        <f t="shared" si="28"/>
        <v>8216245</v>
      </c>
      <c r="K54" s="233">
        <f>-352450+31000+((761045)+177100+2000000)</f>
        <v>2616695</v>
      </c>
      <c r="L54" s="233">
        <f>(1398310+307720+983700+48960+1732500+659140+33260+245150+4900+64910)</f>
        <v>5478550</v>
      </c>
      <c r="M54" s="233">
        <v>1398310</v>
      </c>
      <c r="N54" s="233">
        <f>(14930+1030+228040+1150)</f>
        <v>245150</v>
      </c>
      <c r="O54" s="270">
        <f>K54+121000</f>
        <v>2737695</v>
      </c>
      <c r="P54" s="269">
        <f t="shared" si="29"/>
        <v>41519733</v>
      </c>
    </row>
    <row r="55" spans="1:16" s="72" customFormat="1" ht="184.5" thickTop="1" thickBot="1" x14ac:dyDescent="0.25">
      <c r="A55" s="287" t="s">
        <v>229</v>
      </c>
      <c r="B55" s="287" t="s">
        <v>212</v>
      </c>
      <c r="C55" s="287"/>
      <c r="D55" s="287" t="s">
        <v>549</v>
      </c>
      <c r="E55" s="289">
        <f>E56+E57</f>
        <v>121996632.98999999</v>
      </c>
      <c r="F55" s="289">
        <f t="shared" ref="F55:O55" si="48">F56+F57</f>
        <v>121996632.98999999</v>
      </c>
      <c r="G55" s="289">
        <f t="shared" si="48"/>
        <v>74091308.469999999</v>
      </c>
      <c r="H55" s="289">
        <f t="shared" si="48"/>
        <v>11139850</v>
      </c>
      <c r="I55" s="289">
        <f t="shared" si="48"/>
        <v>0</v>
      </c>
      <c r="J55" s="289">
        <f t="shared" si="48"/>
        <v>24082811</v>
      </c>
      <c r="K55" s="289">
        <f t="shared" si="48"/>
        <v>2028217</v>
      </c>
      <c r="L55" s="289">
        <f t="shared" si="48"/>
        <v>21894594</v>
      </c>
      <c r="M55" s="289">
        <f t="shared" si="48"/>
        <v>7129590</v>
      </c>
      <c r="N55" s="289">
        <f t="shared" si="48"/>
        <v>7488900</v>
      </c>
      <c r="O55" s="289">
        <f t="shared" si="48"/>
        <v>2188217</v>
      </c>
      <c r="P55" s="289">
        <f t="shared" si="29"/>
        <v>146079443.99000001</v>
      </c>
    </row>
    <row r="56" spans="1:16" ht="230.25" thickTop="1" thickBot="1" x14ac:dyDescent="0.25">
      <c r="A56" s="292" t="s">
        <v>822</v>
      </c>
      <c r="B56" s="292" t="s">
        <v>823</v>
      </c>
      <c r="C56" s="292" t="s">
        <v>230</v>
      </c>
      <c r="D56" s="292" t="s">
        <v>824</v>
      </c>
      <c r="E56" s="290">
        <f t="shared" si="37"/>
        <v>104225532.98999999</v>
      </c>
      <c r="F56" s="233">
        <f>((99149586)+227750+30185+47050+160945+1806575+765263-2155895.53-398189.48-455467-6740-34278-840305)+4460413+788636+680005</f>
        <v>104225532.98999999</v>
      </c>
      <c r="G56" s="233">
        <f>((71786791-14686900)-2155895.53)+4460413</f>
        <v>59404408.469999999</v>
      </c>
      <c r="H56" s="233">
        <f>((6850730+76600+19000+3448900+561100)-455467-6740-34278)+680005</f>
        <v>11139850</v>
      </c>
      <c r="I56" s="233"/>
      <c r="J56" s="290">
        <f>L56+O56</f>
        <v>24082811</v>
      </c>
      <c r="K56" s="233">
        <f>300000+(1170637+15000+542580)</f>
        <v>2028217</v>
      </c>
      <c r="L56" s="233">
        <f>(((6797480+1421290+1203730+12000+1235200+849000+70500+6568900+81500+2101880+60940+71000)+95000)+332110+74064)+320000+300000+290290+9710</f>
        <v>21894594</v>
      </c>
      <c r="M56" s="233">
        <f>(6797480)+332110</f>
        <v>7129590</v>
      </c>
      <c r="N56" s="233">
        <f>(3761200+749500+1883100+35000+140100)+320000+300000+290290+9710</f>
        <v>7488900</v>
      </c>
      <c r="O56" s="291">
        <f>K56+160000</f>
        <v>2188217</v>
      </c>
      <c r="P56" s="290">
        <f t="shared" si="29"/>
        <v>128308343.98999999</v>
      </c>
    </row>
    <row r="57" spans="1:16" s="268" customFormat="1" ht="230.25" thickTop="1" thickBot="1" x14ac:dyDescent="0.25">
      <c r="A57" s="292" t="s">
        <v>826</v>
      </c>
      <c r="B57" s="292" t="s">
        <v>825</v>
      </c>
      <c r="C57" s="292" t="s">
        <v>230</v>
      </c>
      <c r="D57" s="292" t="s">
        <v>827</v>
      </c>
      <c r="E57" s="290">
        <f t="shared" ref="E57" si="49">F57</f>
        <v>17771100</v>
      </c>
      <c r="F57" s="233">
        <v>17771100</v>
      </c>
      <c r="G57" s="233">
        <v>14686900</v>
      </c>
      <c r="H57" s="233"/>
      <c r="I57" s="233"/>
      <c r="J57" s="290">
        <f>L57+O57</f>
        <v>0</v>
      </c>
      <c r="K57" s="233"/>
      <c r="L57" s="233"/>
      <c r="M57" s="233"/>
      <c r="N57" s="233"/>
      <c r="O57" s="291"/>
      <c r="P57" s="290">
        <f t="shared" ref="P57" si="50">E57+J57</f>
        <v>17771100</v>
      </c>
    </row>
    <row r="58" spans="1:16" s="72" customFormat="1" ht="93" thickTop="1" thickBot="1" x14ac:dyDescent="0.25">
      <c r="A58" s="287" t="s">
        <v>829</v>
      </c>
      <c r="B58" s="287" t="s">
        <v>828</v>
      </c>
      <c r="C58" s="287"/>
      <c r="D58" s="287" t="s">
        <v>830</v>
      </c>
      <c r="E58" s="289">
        <f>E59+E60</f>
        <v>28298072</v>
      </c>
      <c r="F58" s="289">
        <f t="shared" ref="F58:O58" si="51">F59+F60</f>
        <v>28298072</v>
      </c>
      <c r="G58" s="289">
        <f t="shared" si="51"/>
        <v>20668662</v>
      </c>
      <c r="H58" s="289">
        <f t="shared" si="51"/>
        <v>837815</v>
      </c>
      <c r="I58" s="289">
        <f t="shared" si="51"/>
        <v>0</v>
      </c>
      <c r="J58" s="289">
        <f t="shared" si="51"/>
        <v>414600</v>
      </c>
      <c r="K58" s="289">
        <f t="shared" si="51"/>
        <v>0</v>
      </c>
      <c r="L58" s="289">
        <f t="shared" si="51"/>
        <v>414600</v>
      </c>
      <c r="M58" s="289">
        <f t="shared" si="51"/>
        <v>192420</v>
      </c>
      <c r="N58" s="289">
        <f t="shared" si="51"/>
        <v>51910</v>
      </c>
      <c r="O58" s="289">
        <f t="shared" si="51"/>
        <v>0</v>
      </c>
      <c r="P58" s="289">
        <f>E58+J58</f>
        <v>28712672</v>
      </c>
    </row>
    <row r="59" spans="1:16" s="268" customFormat="1" ht="93" thickTop="1" thickBot="1" x14ac:dyDescent="0.25">
      <c r="A59" s="292" t="s">
        <v>831</v>
      </c>
      <c r="B59" s="292" t="s">
        <v>832</v>
      </c>
      <c r="C59" s="292" t="s">
        <v>231</v>
      </c>
      <c r="D59" s="292" t="s">
        <v>550</v>
      </c>
      <c r="E59" s="290">
        <f>F59</f>
        <v>28090832</v>
      </c>
      <c r="F59" s="233">
        <f>((27876650+503000+1370+1193900+45500+638560+11800+2700+192610+15890+5070+2700+300+50000-2996350)+53000+151800+63100+20000)+97700+95700+29200+25000+11632</f>
        <v>28090832</v>
      </c>
      <c r="G59" s="233">
        <f>(22849710-2181048)</f>
        <v>20668662</v>
      </c>
      <c r="H59" s="233">
        <f>((638560+11800+2700+192610+15890-174445)+53000)+17000+2600+77000+1100</f>
        <v>837815</v>
      </c>
      <c r="I59" s="233"/>
      <c r="J59" s="290">
        <f>L59+O59</f>
        <v>414600</v>
      </c>
      <c r="K59" s="233"/>
      <c r="L59" s="233">
        <f>(192420+42340+66010+2500+46010+1210+51910+3000+9200)</f>
        <v>414600</v>
      </c>
      <c r="M59" s="233">
        <v>192420</v>
      </c>
      <c r="N59" s="233">
        <f>(45600+2540+3440+330)</f>
        <v>51910</v>
      </c>
      <c r="O59" s="291">
        <f>K59</f>
        <v>0</v>
      </c>
      <c r="P59" s="290">
        <f>E59+J59</f>
        <v>28505432</v>
      </c>
    </row>
    <row r="60" spans="1:16" s="268" customFormat="1" ht="93" thickTop="1" thickBot="1" x14ac:dyDescent="0.25">
      <c r="A60" s="292" t="s">
        <v>833</v>
      </c>
      <c r="B60" s="292" t="s">
        <v>834</v>
      </c>
      <c r="C60" s="292" t="s">
        <v>231</v>
      </c>
      <c r="D60" s="292" t="s">
        <v>364</v>
      </c>
      <c r="E60" s="290">
        <f>F60</f>
        <v>207240</v>
      </c>
      <c r="F60" s="233">
        <f>(200000)+7240</f>
        <v>207240</v>
      </c>
      <c r="G60" s="233"/>
      <c r="H60" s="233"/>
      <c r="I60" s="233"/>
      <c r="J60" s="290">
        <f>L60+O60</f>
        <v>0</v>
      </c>
      <c r="K60" s="233"/>
      <c r="L60" s="233"/>
      <c r="M60" s="233"/>
      <c r="N60" s="233"/>
      <c r="O60" s="291">
        <f>K60</f>
        <v>0</v>
      </c>
      <c r="P60" s="290">
        <f>E60+J60</f>
        <v>207240</v>
      </c>
    </row>
    <row r="61" spans="1:16" s="72" customFormat="1" ht="93" thickTop="1" thickBot="1" x14ac:dyDescent="0.25">
      <c r="A61" s="287" t="s">
        <v>835</v>
      </c>
      <c r="B61" s="287" t="s">
        <v>836</v>
      </c>
      <c r="C61" s="287"/>
      <c r="D61" s="287" t="s">
        <v>461</v>
      </c>
      <c r="E61" s="289">
        <f>E62+E63</f>
        <v>5034485</v>
      </c>
      <c r="F61" s="289">
        <f>F62+F63</f>
        <v>5034485</v>
      </c>
      <c r="G61" s="289">
        <f t="shared" ref="G61:O61" si="52">G62+G63</f>
        <v>3766490</v>
      </c>
      <c r="H61" s="289">
        <f t="shared" si="52"/>
        <v>87755</v>
      </c>
      <c r="I61" s="289">
        <f t="shared" si="52"/>
        <v>0</v>
      </c>
      <c r="J61" s="289">
        <f t="shared" si="52"/>
        <v>50000</v>
      </c>
      <c r="K61" s="289">
        <f t="shared" si="52"/>
        <v>50000</v>
      </c>
      <c r="L61" s="289">
        <f t="shared" si="52"/>
        <v>0</v>
      </c>
      <c r="M61" s="289">
        <f t="shared" si="52"/>
        <v>0</v>
      </c>
      <c r="N61" s="289">
        <f t="shared" si="52"/>
        <v>0</v>
      </c>
      <c r="O61" s="289">
        <f t="shared" si="52"/>
        <v>50000</v>
      </c>
      <c r="P61" s="289">
        <f>E61+J61</f>
        <v>5084485</v>
      </c>
    </row>
    <row r="62" spans="1:16" s="268" customFormat="1" ht="184.5" thickTop="1" thickBot="1" x14ac:dyDescent="0.25">
      <c r="A62" s="292" t="s">
        <v>837</v>
      </c>
      <c r="B62" s="292" t="s">
        <v>838</v>
      </c>
      <c r="C62" s="292" t="s">
        <v>231</v>
      </c>
      <c r="D62" s="292" t="s">
        <v>839</v>
      </c>
      <c r="E62" s="290">
        <f>F62</f>
        <v>1147685</v>
      </c>
      <c r="F62" s="233">
        <f>(708190+179200+39200+15020+76200+1430+6000+4125+2320)+116000</f>
        <v>1147685</v>
      </c>
      <c r="G62" s="233">
        <f>(580490)</f>
        <v>580490</v>
      </c>
      <c r="H62" s="233">
        <f>(76200+1430+6000+4125)</f>
        <v>87755</v>
      </c>
      <c r="I62" s="233"/>
      <c r="J62" s="290">
        <f>L62+O62</f>
        <v>50000</v>
      </c>
      <c r="K62" s="233">
        <v>50000</v>
      </c>
      <c r="L62" s="233"/>
      <c r="M62" s="233"/>
      <c r="N62" s="233"/>
      <c r="O62" s="291">
        <f>K62</f>
        <v>50000</v>
      </c>
      <c r="P62" s="290">
        <f>E62+J62</f>
        <v>1197685</v>
      </c>
    </row>
    <row r="63" spans="1:16" s="268" customFormat="1" ht="138.75" thickTop="1" thickBot="1" x14ac:dyDescent="0.25">
      <c r="A63" s="292" t="s">
        <v>840</v>
      </c>
      <c r="B63" s="292" t="s">
        <v>841</v>
      </c>
      <c r="C63" s="292" t="s">
        <v>231</v>
      </c>
      <c r="D63" s="292" t="s">
        <v>842</v>
      </c>
      <c r="E63" s="290">
        <f>F63</f>
        <v>3886800</v>
      </c>
      <c r="F63" s="233">
        <f>(3886800)</f>
        <v>3886800</v>
      </c>
      <c r="G63" s="233">
        <f>(3186000)</f>
        <v>3186000</v>
      </c>
      <c r="H63" s="233"/>
      <c r="I63" s="233"/>
      <c r="J63" s="290">
        <f t="shared" ref="J63" si="53">L63+O63</f>
        <v>0</v>
      </c>
      <c r="K63" s="233"/>
      <c r="L63" s="233"/>
      <c r="M63" s="233"/>
      <c r="N63" s="233"/>
      <c r="O63" s="291">
        <f t="shared" ref="O63" si="54">K63</f>
        <v>0</v>
      </c>
      <c r="P63" s="290">
        <f t="shared" ref="P63" si="55">E63+J63</f>
        <v>3886800</v>
      </c>
    </row>
    <row r="64" spans="1:16" s="263" customFormat="1" ht="138.75" thickTop="1" thickBot="1" x14ac:dyDescent="0.25">
      <c r="A64" s="266" t="s">
        <v>807</v>
      </c>
      <c r="B64" s="266" t="s">
        <v>808</v>
      </c>
      <c r="C64" s="266" t="s">
        <v>231</v>
      </c>
      <c r="D64" s="266" t="s">
        <v>809</v>
      </c>
      <c r="E64" s="267">
        <f t="shared" ref="E64" si="56">F64</f>
        <v>2060415</v>
      </c>
      <c r="F64" s="233">
        <f>(2996350)-692000-152240-80795-2000-8900</f>
        <v>2060415</v>
      </c>
      <c r="G64" s="233">
        <f>(2181048)-692000</f>
        <v>1489048</v>
      </c>
      <c r="H64" s="233">
        <f>(174445)-80795-2000-8900</f>
        <v>82750</v>
      </c>
      <c r="I64" s="233"/>
      <c r="J64" s="267">
        <f t="shared" ref="J64" si="57">L64+O64</f>
        <v>50000</v>
      </c>
      <c r="K64" s="233">
        <v>50000</v>
      </c>
      <c r="L64" s="233"/>
      <c r="M64" s="233"/>
      <c r="N64" s="233"/>
      <c r="O64" s="265">
        <f t="shared" ref="O64" si="58">K64</f>
        <v>50000</v>
      </c>
      <c r="P64" s="267">
        <f t="shared" ref="P64" si="59">E64+J64</f>
        <v>2110415</v>
      </c>
    </row>
    <row r="65" spans="1:16" s="37" customFormat="1" ht="230.25" thickTop="1" thickBot="1" x14ac:dyDescent="0.25">
      <c r="A65" s="287" t="s">
        <v>812</v>
      </c>
      <c r="B65" s="287" t="s">
        <v>813</v>
      </c>
      <c r="C65" s="287"/>
      <c r="D65" s="287" t="s">
        <v>814</v>
      </c>
      <c r="E65" s="289">
        <f t="shared" ref="E65:E77" si="60">F65</f>
        <v>9043301</v>
      </c>
      <c r="F65" s="289">
        <f>SUM(F66:F67)</f>
        <v>9043301</v>
      </c>
      <c r="G65" s="289">
        <f t="shared" ref="G65:I65" si="61">SUM(G66:G67)</f>
        <v>0</v>
      </c>
      <c r="H65" s="289">
        <f t="shared" si="61"/>
        <v>0</v>
      </c>
      <c r="I65" s="289">
        <f t="shared" si="61"/>
        <v>0</v>
      </c>
      <c r="J65" s="289">
        <f t="shared" si="28"/>
        <v>3500200</v>
      </c>
      <c r="K65" s="289">
        <f>SUM(K66:K67)</f>
        <v>3500200</v>
      </c>
      <c r="L65" s="289">
        <f t="shared" ref="L65:N65" si="62">SUM(L66:L67)</f>
        <v>0</v>
      </c>
      <c r="M65" s="289">
        <f t="shared" si="62"/>
        <v>0</v>
      </c>
      <c r="N65" s="289">
        <f t="shared" si="62"/>
        <v>0</v>
      </c>
      <c r="O65" s="289">
        <f>SUM(O66:O67)</f>
        <v>3500200</v>
      </c>
      <c r="P65" s="289">
        <f t="shared" ref="P65:P70" si="63">E65+J65</f>
        <v>12543501</v>
      </c>
    </row>
    <row r="66" spans="1:16" s="37" customFormat="1" ht="367.5" thickTop="1" thickBot="1" x14ac:dyDescent="0.25">
      <c r="A66" s="292" t="s">
        <v>815</v>
      </c>
      <c r="B66" s="292" t="s">
        <v>816</v>
      </c>
      <c r="C66" s="292" t="s">
        <v>231</v>
      </c>
      <c r="D66" s="292" t="s">
        <v>817</v>
      </c>
      <c r="E66" s="290">
        <f t="shared" si="60"/>
        <v>4362735</v>
      </c>
      <c r="F66" s="233">
        <f>(2300000+600000)+1462735</f>
        <v>4362735</v>
      </c>
      <c r="G66" s="233"/>
      <c r="H66" s="233"/>
      <c r="I66" s="233"/>
      <c r="J66" s="290">
        <f t="shared" si="28"/>
        <v>2117071</v>
      </c>
      <c r="K66" s="233">
        <f>117071+(2000000)</f>
        <v>2117071</v>
      </c>
      <c r="L66" s="233"/>
      <c r="M66" s="233"/>
      <c r="N66" s="233"/>
      <c r="O66" s="291">
        <f t="shared" ref="O66:O67" si="64">K66</f>
        <v>2117071</v>
      </c>
      <c r="P66" s="290">
        <f t="shared" si="63"/>
        <v>6479806</v>
      </c>
    </row>
    <row r="67" spans="1:16" s="37" customFormat="1" ht="321.75" thickTop="1" thickBot="1" x14ac:dyDescent="0.25">
      <c r="A67" s="660" t="s">
        <v>1295</v>
      </c>
      <c r="B67" s="660" t="s">
        <v>1296</v>
      </c>
      <c r="C67" s="660" t="s">
        <v>231</v>
      </c>
      <c r="D67" s="660" t="s">
        <v>1297</v>
      </c>
      <c r="E67" s="661">
        <f t="shared" si="60"/>
        <v>4680566</v>
      </c>
      <c r="F67" s="233">
        <v>4680566</v>
      </c>
      <c r="G67" s="233"/>
      <c r="H67" s="233"/>
      <c r="I67" s="233"/>
      <c r="J67" s="661">
        <f t="shared" si="28"/>
        <v>1383129</v>
      </c>
      <c r="K67" s="233">
        <v>1383129</v>
      </c>
      <c r="L67" s="233"/>
      <c r="M67" s="233"/>
      <c r="N67" s="233"/>
      <c r="O67" s="658">
        <f t="shared" si="64"/>
        <v>1383129</v>
      </c>
      <c r="P67" s="661">
        <f t="shared" si="63"/>
        <v>6063695</v>
      </c>
    </row>
    <row r="68" spans="1:16" s="37" customFormat="1" ht="409.6" thickTop="1" thickBot="1" x14ac:dyDescent="0.25">
      <c r="A68" s="287" t="s">
        <v>1328</v>
      </c>
      <c r="B68" s="287" t="s">
        <v>1330</v>
      </c>
      <c r="C68" s="287"/>
      <c r="D68" s="287" t="s">
        <v>1332</v>
      </c>
      <c r="E68" s="289">
        <f>E69+E70</f>
        <v>0</v>
      </c>
      <c r="F68" s="289">
        <f>F69+F70</f>
        <v>0</v>
      </c>
      <c r="G68" s="289">
        <f t="shared" ref="G68:I68" si="65">G69+G70</f>
        <v>0</v>
      </c>
      <c r="H68" s="289">
        <f t="shared" si="65"/>
        <v>0</v>
      </c>
      <c r="I68" s="289">
        <f t="shared" si="65"/>
        <v>0</v>
      </c>
      <c r="J68" s="289">
        <f>L68+O68</f>
        <v>15170280</v>
      </c>
      <c r="K68" s="289">
        <f t="shared" ref="K68:O68" si="66">K69+K70</f>
        <v>15170280</v>
      </c>
      <c r="L68" s="289">
        <f t="shared" si="66"/>
        <v>0</v>
      </c>
      <c r="M68" s="289">
        <f t="shared" si="66"/>
        <v>0</v>
      </c>
      <c r="N68" s="289">
        <f t="shared" si="66"/>
        <v>0</v>
      </c>
      <c r="O68" s="289">
        <f t="shared" si="66"/>
        <v>15170280</v>
      </c>
      <c r="P68" s="289">
        <f t="shared" si="63"/>
        <v>15170280</v>
      </c>
    </row>
    <row r="69" spans="1:16" s="37" customFormat="1" ht="409.6" thickTop="1" thickBot="1" x14ac:dyDescent="0.25">
      <c r="A69" s="668" t="s">
        <v>1329</v>
      </c>
      <c r="B69" s="668" t="s">
        <v>1331</v>
      </c>
      <c r="C69" s="668" t="s">
        <v>231</v>
      </c>
      <c r="D69" s="668" t="s">
        <v>1333</v>
      </c>
      <c r="E69" s="669">
        <f t="shared" ref="E69" si="67">F69</f>
        <v>0</v>
      </c>
      <c r="F69" s="233"/>
      <c r="G69" s="233"/>
      <c r="H69" s="233"/>
      <c r="I69" s="233"/>
      <c r="J69" s="669">
        <f t="shared" ref="J69" si="68">L69+O69</f>
        <v>4547046.18</v>
      </c>
      <c r="K69" s="233">
        <v>4547046.18</v>
      </c>
      <c r="L69" s="233"/>
      <c r="M69" s="233"/>
      <c r="N69" s="233"/>
      <c r="O69" s="666">
        <f t="shared" ref="O69" si="69">K69</f>
        <v>4547046.18</v>
      </c>
      <c r="P69" s="669">
        <f t="shared" si="63"/>
        <v>4547046.18</v>
      </c>
    </row>
    <row r="70" spans="1:16" s="37" customFormat="1" ht="312" customHeight="1" thickTop="1" x14ac:dyDescent="0.2">
      <c r="A70" s="787" t="s">
        <v>1357</v>
      </c>
      <c r="B70" s="787" t="s">
        <v>1358</v>
      </c>
      <c r="C70" s="787" t="s">
        <v>231</v>
      </c>
      <c r="D70" s="787" t="s">
        <v>1359</v>
      </c>
      <c r="E70" s="789">
        <f t="shared" ref="E70" si="70">F70</f>
        <v>0</v>
      </c>
      <c r="F70" s="789"/>
      <c r="G70" s="789"/>
      <c r="H70" s="789"/>
      <c r="I70" s="789"/>
      <c r="J70" s="789">
        <f t="shared" ref="J70" si="71">L70+O70</f>
        <v>10623233.82</v>
      </c>
      <c r="K70" s="797">
        <v>10623233.82</v>
      </c>
      <c r="L70" s="789"/>
      <c r="M70" s="789"/>
      <c r="N70" s="789"/>
      <c r="O70" s="797">
        <f t="shared" ref="O70" si="72">K70</f>
        <v>10623233.82</v>
      </c>
      <c r="P70" s="789">
        <f t="shared" si="63"/>
        <v>10623233.82</v>
      </c>
    </row>
    <row r="71" spans="1:16" s="37" customFormat="1" ht="195" customHeight="1" thickBot="1" x14ac:dyDescent="0.25">
      <c r="A71" s="788"/>
      <c r="B71" s="788"/>
      <c r="C71" s="788"/>
      <c r="D71" s="788"/>
      <c r="E71" s="788"/>
      <c r="F71" s="788"/>
      <c r="G71" s="788"/>
      <c r="H71" s="788"/>
      <c r="I71" s="788"/>
      <c r="J71" s="788"/>
      <c r="K71" s="798"/>
      <c r="L71" s="788"/>
      <c r="M71" s="788"/>
      <c r="N71" s="788"/>
      <c r="O71" s="798"/>
      <c r="P71" s="788"/>
    </row>
    <row r="72" spans="1:16" s="37" customFormat="1" ht="321.75" thickTop="1" thickBot="1" x14ac:dyDescent="0.25">
      <c r="A72" s="266" t="s">
        <v>804</v>
      </c>
      <c r="B72" s="266" t="s">
        <v>805</v>
      </c>
      <c r="C72" s="266" t="s">
        <v>231</v>
      </c>
      <c r="D72" s="266" t="s">
        <v>806</v>
      </c>
      <c r="E72" s="267">
        <f t="shared" si="60"/>
        <v>4721984</v>
      </c>
      <c r="F72" s="233">
        <f>4721984</f>
        <v>4721984</v>
      </c>
      <c r="G72" s="233">
        <f>(1855198+1937278)</f>
        <v>3792476</v>
      </c>
      <c r="H72" s="233"/>
      <c r="I72" s="233"/>
      <c r="J72" s="267">
        <f t="shared" ref="J72" si="73">L72+O72</f>
        <v>2396198</v>
      </c>
      <c r="K72" s="233">
        <v>2396198</v>
      </c>
      <c r="L72" s="233"/>
      <c r="M72" s="233"/>
      <c r="N72" s="233"/>
      <c r="O72" s="265">
        <f t="shared" ref="O72" si="74">K72</f>
        <v>2396198</v>
      </c>
      <c r="P72" s="267">
        <f t="shared" ref="P72" si="75">E72+J72</f>
        <v>7118182</v>
      </c>
    </row>
    <row r="73" spans="1:16" s="37" customFormat="1" ht="321.75" thickTop="1" thickBot="1" x14ac:dyDescent="0.25">
      <c r="A73" s="529" t="s">
        <v>1218</v>
      </c>
      <c r="B73" s="529" t="s">
        <v>1219</v>
      </c>
      <c r="C73" s="529" t="s">
        <v>231</v>
      </c>
      <c r="D73" s="529" t="s">
        <v>1220</v>
      </c>
      <c r="E73" s="531">
        <f t="shared" ref="E73" si="76">F73</f>
        <v>1072435</v>
      </c>
      <c r="F73" s="233">
        <f>879350+193085</f>
        <v>1072435</v>
      </c>
      <c r="G73" s="233">
        <v>879350</v>
      </c>
      <c r="H73" s="233"/>
      <c r="I73" s="233"/>
      <c r="J73" s="531">
        <f t="shared" ref="J73" si="77">L73+O73</f>
        <v>576190</v>
      </c>
      <c r="K73" s="233">
        <v>576190</v>
      </c>
      <c r="L73" s="233"/>
      <c r="M73" s="233"/>
      <c r="N73" s="233"/>
      <c r="O73" s="530">
        <f t="shared" ref="O73" si="78">K73</f>
        <v>576190</v>
      </c>
      <c r="P73" s="531">
        <f t="shared" ref="P73" si="79">E73+J73</f>
        <v>1648625</v>
      </c>
    </row>
    <row r="74" spans="1:16" s="37" customFormat="1" ht="91.5" hidden="1" thickTop="1" thickBot="1" x14ac:dyDescent="0.25">
      <c r="A74" s="360" t="s">
        <v>870</v>
      </c>
      <c r="B74" s="360" t="s">
        <v>871</v>
      </c>
      <c r="C74" s="360"/>
      <c r="D74" s="360" t="s">
        <v>872</v>
      </c>
      <c r="E74" s="307">
        <f>SUM(E75)</f>
        <v>0</v>
      </c>
      <c r="F74" s="307">
        <f t="shared" ref="F74:O74" si="80">SUM(F75)</f>
        <v>0</v>
      </c>
      <c r="G74" s="307">
        <f t="shared" si="80"/>
        <v>0</v>
      </c>
      <c r="H74" s="307">
        <f t="shared" si="80"/>
        <v>0</v>
      </c>
      <c r="I74" s="307">
        <f t="shared" si="80"/>
        <v>0</v>
      </c>
      <c r="J74" s="307">
        <f t="shared" si="80"/>
        <v>0</v>
      </c>
      <c r="K74" s="307">
        <f t="shared" si="80"/>
        <v>0</v>
      </c>
      <c r="L74" s="307">
        <f t="shared" si="80"/>
        <v>0</v>
      </c>
      <c r="M74" s="307">
        <f t="shared" si="80"/>
        <v>0</v>
      </c>
      <c r="N74" s="307">
        <f t="shared" si="80"/>
        <v>0</v>
      </c>
      <c r="O74" s="307">
        <f t="shared" si="80"/>
        <v>0</v>
      </c>
      <c r="P74" s="307">
        <f>SUM(P75)</f>
        <v>0</v>
      </c>
    </row>
    <row r="75" spans="1:16" s="37" customFormat="1" ht="367.5" hidden="1" thickTop="1" thickBot="1" x14ac:dyDescent="0.25">
      <c r="A75" s="271" t="s">
        <v>463</v>
      </c>
      <c r="B75" s="271" t="s">
        <v>464</v>
      </c>
      <c r="C75" s="271" t="s">
        <v>206</v>
      </c>
      <c r="D75" s="271" t="s">
        <v>462</v>
      </c>
      <c r="E75" s="269">
        <f t="shared" si="60"/>
        <v>0</v>
      </c>
      <c r="F75" s="233">
        <f>(2688000)-2688000</f>
        <v>0</v>
      </c>
      <c r="G75" s="233"/>
      <c r="H75" s="233"/>
      <c r="I75" s="233"/>
      <c r="J75" s="269">
        <f>L75+O75</f>
        <v>0</v>
      </c>
      <c r="K75" s="233"/>
      <c r="L75" s="233"/>
      <c r="M75" s="233"/>
      <c r="N75" s="233"/>
      <c r="O75" s="270">
        <f>K75</f>
        <v>0</v>
      </c>
      <c r="P75" s="269">
        <f>E75+J75</f>
        <v>0</v>
      </c>
    </row>
    <row r="76" spans="1:16" s="37" customFormat="1" ht="230.25" thickTop="1" thickBot="1" x14ac:dyDescent="0.25">
      <c r="A76" s="287" t="s">
        <v>1334</v>
      </c>
      <c r="B76" s="287" t="s">
        <v>1336</v>
      </c>
      <c r="C76" s="287"/>
      <c r="D76" s="287" t="s">
        <v>1338</v>
      </c>
      <c r="E76" s="289">
        <f t="shared" si="60"/>
        <v>0</v>
      </c>
      <c r="F76" s="289">
        <f>F77</f>
        <v>0</v>
      </c>
      <c r="G76" s="289">
        <f t="shared" ref="G76" si="81">G77</f>
        <v>0</v>
      </c>
      <c r="H76" s="289">
        <f t="shared" ref="H76" si="82">H77</f>
        <v>0</v>
      </c>
      <c r="I76" s="289">
        <f t="shared" ref="I76" si="83">I77</f>
        <v>0</v>
      </c>
      <c r="J76" s="289">
        <f>L76+O76</f>
        <v>1500000</v>
      </c>
      <c r="K76" s="289">
        <f t="shared" ref="K76" si="84">K77</f>
        <v>1500000</v>
      </c>
      <c r="L76" s="289">
        <f t="shared" ref="L76" si="85">L77</f>
        <v>0</v>
      </c>
      <c r="M76" s="289">
        <f t="shared" ref="M76" si="86">M77</f>
        <v>0</v>
      </c>
      <c r="N76" s="289">
        <f t="shared" ref="N76" si="87">N77</f>
        <v>0</v>
      </c>
      <c r="O76" s="289">
        <f t="shared" ref="O76" si="88">O77</f>
        <v>1500000</v>
      </c>
      <c r="P76" s="289">
        <f>E76+J76</f>
        <v>1500000</v>
      </c>
    </row>
    <row r="77" spans="1:16" s="37" customFormat="1" ht="367.5" thickTop="1" thickBot="1" x14ac:dyDescent="0.25">
      <c r="A77" s="668" t="s">
        <v>1335</v>
      </c>
      <c r="B77" s="668" t="s">
        <v>1337</v>
      </c>
      <c r="C77" s="668" t="s">
        <v>231</v>
      </c>
      <c r="D77" s="668" t="s">
        <v>1339</v>
      </c>
      <c r="E77" s="669">
        <f t="shared" si="60"/>
        <v>0</v>
      </c>
      <c r="F77" s="233"/>
      <c r="G77" s="233"/>
      <c r="H77" s="233"/>
      <c r="I77" s="233"/>
      <c r="J77" s="669">
        <f t="shared" ref="J77" si="89">L77+O77</f>
        <v>1500000</v>
      </c>
      <c r="K77" s="233">
        <f>100000+1400000</f>
        <v>1500000</v>
      </c>
      <c r="L77" s="233"/>
      <c r="M77" s="233"/>
      <c r="N77" s="233"/>
      <c r="O77" s="666">
        <f t="shared" ref="O77" si="90">K77</f>
        <v>1500000</v>
      </c>
      <c r="P77" s="669">
        <f>E77+J77</f>
        <v>1500000</v>
      </c>
    </row>
    <row r="78" spans="1:16" ht="136.5" thickTop="1" thickBot="1" x14ac:dyDescent="0.25">
      <c r="A78" s="691" t="s">
        <v>171</v>
      </c>
      <c r="B78" s="691"/>
      <c r="C78" s="691"/>
      <c r="D78" s="692" t="s">
        <v>18</v>
      </c>
      <c r="E78" s="693">
        <f>E79</f>
        <v>80260852</v>
      </c>
      <c r="F78" s="694">
        <f t="shared" ref="F78:G78" si="91">F79</f>
        <v>80260852</v>
      </c>
      <c r="G78" s="694">
        <f t="shared" si="91"/>
        <v>4186600</v>
      </c>
      <c r="H78" s="694">
        <f>H79</f>
        <v>201540</v>
      </c>
      <c r="I78" s="694">
        <f t="shared" ref="I78" si="92">I79</f>
        <v>0</v>
      </c>
      <c r="J78" s="693">
        <f>J79</f>
        <v>21650518</v>
      </c>
      <c r="K78" s="694">
        <f>K79</f>
        <v>21628518</v>
      </c>
      <c r="L78" s="694">
        <f>L79</f>
        <v>22000</v>
      </c>
      <c r="M78" s="694">
        <f t="shared" ref="M78" si="93">M79</f>
        <v>0</v>
      </c>
      <c r="N78" s="693">
        <f>N79</f>
        <v>0</v>
      </c>
      <c r="O78" s="693">
        <f>O79</f>
        <v>21628518</v>
      </c>
      <c r="P78" s="694">
        <f>P79</f>
        <v>101911370</v>
      </c>
    </row>
    <row r="79" spans="1:16" ht="136.5" thickTop="1" thickBot="1" x14ac:dyDescent="0.25">
      <c r="A79" s="695" t="s">
        <v>172</v>
      </c>
      <c r="B79" s="695"/>
      <c r="C79" s="695"/>
      <c r="D79" s="696" t="s">
        <v>38</v>
      </c>
      <c r="E79" s="697">
        <f>E80+E82+E95</f>
        <v>80260852</v>
      </c>
      <c r="F79" s="697">
        <f t="shared" ref="F79:I79" si="94">F80+F82+F95</f>
        <v>80260852</v>
      </c>
      <c r="G79" s="697">
        <f t="shared" si="94"/>
        <v>4186600</v>
      </c>
      <c r="H79" s="697">
        <f t="shared" si="94"/>
        <v>201540</v>
      </c>
      <c r="I79" s="697">
        <f t="shared" si="94"/>
        <v>0</v>
      </c>
      <c r="J79" s="697">
        <f>L79+O79</f>
        <v>21650518</v>
      </c>
      <c r="K79" s="697">
        <f t="shared" ref="K79:O79" si="95">K80+K82+K95</f>
        <v>21628518</v>
      </c>
      <c r="L79" s="697">
        <f t="shared" si="95"/>
        <v>22000</v>
      </c>
      <c r="M79" s="697">
        <f t="shared" si="95"/>
        <v>0</v>
      </c>
      <c r="N79" s="697">
        <f t="shared" si="95"/>
        <v>0</v>
      </c>
      <c r="O79" s="697">
        <f t="shared" si="95"/>
        <v>21628518</v>
      </c>
      <c r="P79" s="698">
        <f t="shared" ref="P79:P98" si="96">E79+J79</f>
        <v>101911370</v>
      </c>
    </row>
    <row r="80" spans="1:16" s="301" customFormat="1" ht="47.25" thickTop="1" thickBot="1" x14ac:dyDescent="0.25">
      <c r="A80" s="360" t="s">
        <v>873</v>
      </c>
      <c r="B80" s="360" t="s">
        <v>844</v>
      </c>
      <c r="C80" s="360"/>
      <c r="D80" s="360" t="s">
        <v>845</v>
      </c>
      <c r="E80" s="307">
        <f>SUM(E81)</f>
        <v>2447825</v>
      </c>
      <c r="F80" s="307">
        <f t="shared" ref="F80:O80" si="97">SUM(F81)</f>
        <v>2447825</v>
      </c>
      <c r="G80" s="307">
        <f t="shared" si="97"/>
        <v>1821600</v>
      </c>
      <c r="H80" s="307">
        <f t="shared" si="97"/>
        <v>110635</v>
      </c>
      <c r="I80" s="307">
        <f t="shared" si="97"/>
        <v>0</v>
      </c>
      <c r="J80" s="307">
        <f t="shared" si="97"/>
        <v>0</v>
      </c>
      <c r="K80" s="307">
        <f t="shared" si="97"/>
        <v>0</v>
      </c>
      <c r="L80" s="307">
        <f t="shared" si="97"/>
        <v>0</v>
      </c>
      <c r="M80" s="307">
        <f t="shared" si="97"/>
        <v>0</v>
      </c>
      <c r="N80" s="307">
        <f t="shared" si="97"/>
        <v>0</v>
      </c>
      <c r="O80" s="307">
        <f t="shared" si="97"/>
        <v>0</v>
      </c>
      <c r="P80" s="307">
        <f>SUM(P81)</f>
        <v>2447825</v>
      </c>
    </row>
    <row r="81" spans="1:16" ht="230.25" thickTop="1" thickBot="1" x14ac:dyDescent="0.25">
      <c r="A81" s="254" t="s">
        <v>446</v>
      </c>
      <c r="B81" s="254" t="s">
        <v>257</v>
      </c>
      <c r="C81" s="254" t="s">
        <v>255</v>
      </c>
      <c r="D81" s="254" t="s">
        <v>256</v>
      </c>
      <c r="E81" s="252">
        <f>F81</f>
        <v>2447825</v>
      </c>
      <c r="F81" s="233">
        <f>(1821600+400750+56870+45495+11375+110635+1100)</f>
        <v>2447825</v>
      </c>
      <c r="G81" s="233">
        <f>(1821600)</f>
        <v>1821600</v>
      </c>
      <c r="H81" s="233">
        <f>(1900+27000+81735)</f>
        <v>110635</v>
      </c>
      <c r="I81" s="233"/>
      <c r="J81" s="252">
        <f t="shared" ref="J81:J98" si="98">L81+O81</f>
        <v>0</v>
      </c>
      <c r="K81" s="252"/>
      <c r="L81" s="252"/>
      <c r="M81" s="252"/>
      <c r="N81" s="252"/>
      <c r="O81" s="253">
        <f>K81</f>
        <v>0</v>
      </c>
      <c r="P81" s="252">
        <f t="shared" si="96"/>
        <v>2447825</v>
      </c>
    </row>
    <row r="82" spans="1:16" s="301" customFormat="1" ht="47.25" thickTop="1" thickBot="1" x14ac:dyDescent="0.25">
      <c r="A82" s="360" t="s">
        <v>874</v>
      </c>
      <c r="B82" s="360" t="s">
        <v>875</v>
      </c>
      <c r="C82" s="360"/>
      <c r="D82" s="360" t="s">
        <v>876</v>
      </c>
      <c r="E82" s="307">
        <f>SUM(E83:E94)-E88-E90-E92</f>
        <v>77813027</v>
      </c>
      <c r="F82" s="307">
        <f t="shared" ref="F82:P82" si="99">SUM(F83:F94)-F88-F90-F92</f>
        <v>77813027</v>
      </c>
      <c r="G82" s="307">
        <f t="shared" si="99"/>
        <v>2365000</v>
      </c>
      <c r="H82" s="307">
        <f t="shared" si="99"/>
        <v>90905</v>
      </c>
      <c r="I82" s="307">
        <f t="shared" si="99"/>
        <v>0</v>
      </c>
      <c r="J82" s="307">
        <f t="shared" si="99"/>
        <v>22000</v>
      </c>
      <c r="K82" s="307">
        <f t="shared" si="99"/>
        <v>0</v>
      </c>
      <c r="L82" s="307">
        <f t="shared" si="99"/>
        <v>22000</v>
      </c>
      <c r="M82" s="307">
        <f t="shared" si="99"/>
        <v>0</v>
      </c>
      <c r="N82" s="307">
        <f t="shared" si="99"/>
        <v>0</v>
      </c>
      <c r="O82" s="307">
        <f t="shared" si="99"/>
        <v>0</v>
      </c>
      <c r="P82" s="307">
        <f t="shared" si="99"/>
        <v>77835027</v>
      </c>
    </row>
    <row r="83" spans="1:16" ht="93" thickTop="1" thickBot="1" x14ac:dyDescent="0.25">
      <c r="A83" s="254" t="s">
        <v>235</v>
      </c>
      <c r="B83" s="254" t="s">
        <v>232</v>
      </c>
      <c r="C83" s="254" t="s">
        <v>236</v>
      </c>
      <c r="D83" s="254" t="s">
        <v>19</v>
      </c>
      <c r="E83" s="252">
        <f>F83</f>
        <v>15249455</v>
      </c>
      <c r="F83" s="233">
        <f>(14263455+200000+78000)+508000+200000</f>
        <v>15249455</v>
      </c>
      <c r="G83" s="233"/>
      <c r="H83" s="233"/>
      <c r="I83" s="233"/>
      <c r="J83" s="252">
        <f t="shared" si="98"/>
        <v>0</v>
      </c>
      <c r="K83" s="233"/>
      <c r="L83" s="233"/>
      <c r="M83" s="233"/>
      <c r="N83" s="233"/>
      <c r="O83" s="253">
        <f>K83</f>
        <v>0</v>
      </c>
      <c r="P83" s="252">
        <f t="shared" si="96"/>
        <v>15249455</v>
      </c>
    </row>
    <row r="84" spans="1:16" ht="93" thickTop="1" thickBot="1" x14ac:dyDescent="0.25">
      <c r="A84" s="254" t="s">
        <v>554</v>
      </c>
      <c r="B84" s="254" t="s">
        <v>557</v>
      </c>
      <c r="C84" s="254" t="s">
        <v>556</v>
      </c>
      <c r="D84" s="254" t="s">
        <v>555</v>
      </c>
      <c r="E84" s="252">
        <f>F84</f>
        <v>7747407</v>
      </c>
      <c r="F84" s="233">
        <f>((6277220+100000+165100)+122207+973902)+58283+50695</f>
        <v>7747407</v>
      </c>
      <c r="G84" s="233"/>
      <c r="H84" s="233"/>
      <c r="I84" s="233"/>
      <c r="J84" s="252">
        <f t="shared" si="98"/>
        <v>0</v>
      </c>
      <c r="K84" s="233"/>
      <c r="L84" s="233"/>
      <c r="M84" s="233"/>
      <c r="N84" s="233"/>
      <c r="O84" s="253"/>
      <c r="P84" s="252">
        <f t="shared" si="96"/>
        <v>7747407</v>
      </c>
    </row>
    <row r="85" spans="1:16" ht="138.75" thickTop="1" thickBot="1" x14ac:dyDescent="0.25">
      <c r="A85" s="254" t="s">
        <v>237</v>
      </c>
      <c r="B85" s="254" t="s">
        <v>238</v>
      </c>
      <c r="C85" s="254" t="s">
        <v>239</v>
      </c>
      <c r="D85" s="254" t="s">
        <v>240</v>
      </c>
      <c r="E85" s="252">
        <f t="shared" ref="E85:E98" si="100">F85</f>
        <v>5291200</v>
      </c>
      <c r="F85" s="233">
        <f>(4320000+100000+31200)+840000</f>
        <v>5291200</v>
      </c>
      <c r="G85" s="233"/>
      <c r="H85" s="233"/>
      <c r="I85" s="233"/>
      <c r="J85" s="252">
        <f t="shared" si="98"/>
        <v>0</v>
      </c>
      <c r="K85" s="233"/>
      <c r="L85" s="233"/>
      <c r="M85" s="233"/>
      <c r="N85" s="233"/>
      <c r="O85" s="253">
        <f>K85</f>
        <v>0</v>
      </c>
      <c r="P85" s="252">
        <f t="shared" si="96"/>
        <v>5291200</v>
      </c>
    </row>
    <row r="86" spans="1:16" ht="138.75" thickTop="1" thickBot="1" x14ac:dyDescent="0.25">
      <c r="A86" s="254" t="s">
        <v>241</v>
      </c>
      <c r="B86" s="254" t="s">
        <v>242</v>
      </c>
      <c r="C86" s="254" t="s">
        <v>243</v>
      </c>
      <c r="D86" s="254" t="s">
        <v>373</v>
      </c>
      <c r="E86" s="252">
        <f t="shared" si="100"/>
        <v>10996090</v>
      </c>
      <c r="F86" s="233">
        <f>((7180650+300000+100000+9100)+748920+336950+50000+265000+705470)+1200000+600000-500000</f>
        <v>10996090</v>
      </c>
      <c r="G86" s="233"/>
      <c r="H86" s="233"/>
      <c r="I86" s="233"/>
      <c r="J86" s="252">
        <f t="shared" si="98"/>
        <v>0</v>
      </c>
      <c r="K86" s="233"/>
      <c r="L86" s="233"/>
      <c r="M86" s="233"/>
      <c r="N86" s="233"/>
      <c r="O86" s="253">
        <f>K86</f>
        <v>0</v>
      </c>
      <c r="P86" s="252">
        <f t="shared" si="96"/>
        <v>10996090</v>
      </c>
    </row>
    <row r="87" spans="1:16" ht="93" thickTop="1" thickBot="1" x14ac:dyDescent="0.25">
      <c r="A87" s="254" t="s">
        <v>244</v>
      </c>
      <c r="B87" s="254" t="s">
        <v>245</v>
      </c>
      <c r="C87" s="254" t="s">
        <v>246</v>
      </c>
      <c r="D87" s="254" t="s">
        <v>247</v>
      </c>
      <c r="E87" s="252">
        <f t="shared" si="100"/>
        <v>6881935</v>
      </c>
      <c r="F87" s="233">
        <v>6881935</v>
      </c>
      <c r="G87" s="233"/>
      <c r="H87" s="233"/>
      <c r="I87" s="233"/>
      <c r="J87" s="252">
        <f t="shared" si="98"/>
        <v>0</v>
      </c>
      <c r="K87" s="233"/>
      <c r="L87" s="233"/>
      <c r="M87" s="233"/>
      <c r="N87" s="233"/>
      <c r="O87" s="253">
        <f>K87</f>
        <v>0</v>
      </c>
      <c r="P87" s="252">
        <f t="shared" si="96"/>
        <v>6881935</v>
      </c>
    </row>
    <row r="88" spans="1:16" s="301" customFormat="1" ht="93" thickTop="1" thickBot="1" x14ac:dyDescent="0.25">
      <c r="A88" s="287" t="s">
        <v>877</v>
      </c>
      <c r="B88" s="287" t="s">
        <v>878</v>
      </c>
      <c r="C88" s="287"/>
      <c r="D88" s="287" t="s">
        <v>879</v>
      </c>
      <c r="E88" s="289">
        <f>E89</f>
        <v>10747515</v>
      </c>
      <c r="F88" s="289">
        <f t="shared" ref="F88:P88" si="101">F89</f>
        <v>10747515</v>
      </c>
      <c r="G88" s="289">
        <f t="shared" si="101"/>
        <v>0</v>
      </c>
      <c r="H88" s="289">
        <f t="shared" si="101"/>
        <v>0</v>
      </c>
      <c r="I88" s="289">
        <f t="shared" si="101"/>
        <v>0</v>
      </c>
      <c r="J88" s="289">
        <f t="shared" si="101"/>
        <v>0</v>
      </c>
      <c r="K88" s="289">
        <f t="shared" si="101"/>
        <v>0</v>
      </c>
      <c r="L88" s="289">
        <f t="shared" si="101"/>
        <v>0</v>
      </c>
      <c r="M88" s="289">
        <f t="shared" si="101"/>
        <v>0</v>
      </c>
      <c r="N88" s="289">
        <f t="shared" si="101"/>
        <v>0</v>
      </c>
      <c r="O88" s="289">
        <f t="shared" si="101"/>
        <v>0</v>
      </c>
      <c r="P88" s="289">
        <f t="shared" si="101"/>
        <v>10747515</v>
      </c>
    </row>
    <row r="89" spans="1:16" ht="184.5" thickTop="1" thickBot="1" x14ac:dyDescent="0.25">
      <c r="A89" s="254" t="s">
        <v>248</v>
      </c>
      <c r="B89" s="254" t="s">
        <v>249</v>
      </c>
      <c r="C89" s="254" t="s">
        <v>374</v>
      </c>
      <c r="D89" s="254" t="s">
        <v>250</v>
      </c>
      <c r="E89" s="252">
        <f t="shared" si="100"/>
        <v>10747515</v>
      </c>
      <c r="F89" s="233">
        <f>(10788065+359450)-300000-100000</f>
        <v>10747515</v>
      </c>
      <c r="G89" s="233"/>
      <c r="H89" s="233"/>
      <c r="I89" s="233"/>
      <c r="J89" s="252">
        <f t="shared" si="98"/>
        <v>0</v>
      </c>
      <c r="K89" s="233"/>
      <c r="L89" s="233"/>
      <c r="M89" s="233"/>
      <c r="N89" s="233"/>
      <c r="O89" s="253">
        <f t="shared" ref="O89:O98" si="102">K89</f>
        <v>0</v>
      </c>
      <c r="P89" s="252">
        <f t="shared" si="96"/>
        <v>10747515</v>
      </c>
    </row>
    <row r="90" spans="1:16" s="301" customFormat="1" ht="138.75" thickTop="1" thickBot="1" x14ac:dyDescent="0.25">
      <c r="A90" s="287" t="s">
        <v>880</v>
      </c>
      <c r="B90" s="287" t="s">
        <v>881</v>
      </c>
      <c r="C90" s="287"/>
      <c r="D90" s="287" t="s">
        <v>882</v>
      </c>
      <c r="E90" s="289">
        <f>E91</f>
        <v>14254000</v>
      </c>
      <c r="F90" s="289">
        <f t="shared" ref="F90:P90" si="103">F91</f>
        <v>14254000</v>
      </c>
      <c r="G90" s="289">
        <f t="shared" si="103"/>
        <v>0</v>
      </c>
      <c r="H90" s="289">
        <f t="shared" si="103"/>
        <v>0</v>
      </c>
      <c r="I90" s="289">
        <f t="shared" si="103"/>
        <v>0</v>
      </c>
      <c r="J90" s="289">
        <f t="shared" si="103"/>
        <v>0</v>
      </c>
      <c r="K90" s="289">
        <f t="shared" si="103"/>
        <v>0</v>
      </c>
      <c r="L90" s="289">
        <f t="shared" si="103"/>
        <v>0</v>
      </c>
      <c r="M90" s="289">
        <f t="shared" si="103"/>
        <v>0</v>
      </c>
      <c r="N90" s="289">
        <f t="shared" si="103"/>
        <v>0</v>
      </c>
      <c r="O90" s="289">
        <f t="shared" si="103"/>
        <v>0</v>
      </c>
      <c r="P90" s="289">
        <f t="shared" si="103"/>
        <v>14254000</v>
      </c>
    </row>
    <row r="91" spans="1:16" ht="138.75" thickTop="1" thickBot="1" x14ac:dyDescent="0.25">
      <c r="A91" s="254" t="s">
        <v>521</v>
      </c>
      <c r="B91" s="254" t="s">
        <v>522</v>
      </c>
      <c r="C91" s="254" t="s">
        <v>251</v>
      </c>
      <c r="D91" s="254" t="s">
        <v>523</v>
      </c>
      <c r="E91" s="252">
        <f t="shared" si="100"/>
        <v>14254000</v>
      </c>
      <c r="F91" s="233">
        <f>((9137200)+334400)+4782400</f>
        <v>14254000</v>
      </c>
      <c r="G91" s="233"/>
      <c r="H91" s="233"/>
      <c r="I91" s="233"/>
      <c r="J91" s="252">
        <f t="shared" si="98"/>
        <v>0</v>
      </c>
      <c r="K91" s="233"/>
      <c r="L91" s="233"/>
      <c r="M91" s="233"/>
      <c r="N91" s="233"/>
      <c r="O91" s="253">
        <f t="shared" si="102"/>
        <v>0</v>
      </c>
      <c r="P91" s="252">
        <f t="shared" si="96"/>
        <v>14254000</v>
      </c>
    </row>
    <row r="92" spans="1:16" s="301" customFormat="1" ht="138.75" thickTop="1" thickBot="1" x14ac:dyDescent="0.25">
      <c r="A92" s="287" t="s">
        <v>883</v>
      </c>
      <c r="B92" s="287" t="s">
        <v>884</v>
      </c>
      <c r="C92" s="287"/>
      <c r="D92" s="287" t="s">
        <v>885</v>
      </c>
      <c r="E92" s="289">
        <f>SUM(E93:E94)</f>
        <v>6645425</v>
      </c>
      <c r="F92" s="289">
        <f t="shared" ref="F92:P92" si="104">SUM(F93:F94)</f>
        <v>6645425</v>
      </c>
      <c r="G92" s="289">
        <f t="shared" si="104"/>
        <v>2365000</v>
      </c>
      <c r="H92" s="289">
        <f t="shared" si="104"/>
        <v>90905</v>
      </c>
      <c r="I92" s="289">
        <f t="shared" si="104"/>
        <v>0</v>
      </c>
      <c r="J92" s="289">
        <f t="shared" si="104"/>
        <v>22000</v>
      </c>
      <c r="K92" s="289">
        <f t="shared" si="104"/>
        <v>0</v>
      </c>
      <c r="L92" s="289">
        <f t="shared" si="104"/>
        <v>22000</v>
      </c>
      <c r="M92" s="289">
        <f t="shared" si="104"/>
        <v>0</v>
      </c>
      <c r="N92" s="289">
        <f t="shared" si="104"/>
        <v>0</v>
      </c>
      <c r="O92" s="289">
        <f t="shared" si="104"/>
        <v>0</v>
      </c>
      <c r="P92" s="289">
        <f t="shared" si="104"/>
        <v>6667425</v>
      </c>
    </row>
    <row r="93" spans="1:16" s="37" customFormat="1" ht="138.75" thickTop="1" thickBot="1" x14ac:dyDescent="0.25">
      <c r="A93" s="254" t="s">
        <v>348</v>
      </c>
      <c r="B93" s="254" t="s">
        <v>350</v>
      </c>
      <c r="C93" s="254" t="s">
        <v>251</v>
      </c>
      <c r="D93" s="259" t="s">
        <v>346</v>
      </c>
      <c r="E93" s="252">
        <f t="shared" si="100"/>
        <v>3229425</v>
      </c>
      <c r="F93" s="233">
        <f>(2365000+520300+93000+157000+3220+90905)</f>
        <v>3229425</v>
      </c>
      <c r="G93" s="233">
        <f>(2365000)</f>
        <v>2365000</v>
      </c>
      <c r="H93" s="233">
        <f>(1900+22650+55260+11095)</f>
        <v>90905</v>
      </c>
      <c r="I93" s="233"/>
      <c r="J93" s="252">
        <f t="shared" si="98"/>
        <v>22000</v>
      </c>
      <c r="K93" s="233"/>
      <c r="L93" s="233">
        <v>22000</v>
      </c>
      <c r="M93" s="233"/>
      <c r="N93" s="233"/>
      <c r="O93" s="253">
        <f t="shared" si="102"/>
        <v>0</v>
      </c>
      <c r="P93" s="252">
        <f t="shared" si="96"/>
        <v>3251425</v>
      </c>
    </row>
    <row r="94" spans="1:16" s="37" customFormat="1" ht="93" thickTop="1" thickBot="1" x14ac:dyDescent="0.25">
      <c r="A94" s="254" t="s">
        <v>349</v>
      </c>
      <c r="B94" s="254" t="s">
        <v>351</v>
      </c>
      <c r="C94" s="254" t="s">
        <v>251</v>
      </c>
      <c r="D94" s="259" t="s">
        <v>347</v>
      </c>
      <c r="E94" s="252">
        <f t="shared" si="100"/>
        <v>3416000</v>
      </c>
      <c r="F94" s="233">
        <f>(3016000)+400000</f>
        <v>3416000</v>
      </c>
      <c r="G94" s="233"/>
      <c r="H94" s="233"/>
      <c r="I94" s="233"/>
      <c r="J94" s="252">
        <f t="shared" si="98"/>
        <v>0</v>
      </c>
      <c r="K94" s="233"/>
      <c r="L94" s="233"/>
      <c r="M94" s="233"/>
      <c r="N94" s="233"/>
      <c r="O94" s="253">
        <f t="shared" si="102"/>
        <v>0</v>
      </c>
      <c r="P94" s="252">
        <f t="shared" si="96"/>
        <v>3416000</v>
      </c>
    </row>
    <row r="95" spans="1:16" s="37" customFormat="1" ht="47.25" thickTop="1" thickBot="1" x14ac:dyDescent="0.25">
      <c r="A95" s="360" t="s">
        <v>914</v>
      </c>
      <c r="B95" s="359" t="s">
        <v>912</v>
      </c>
      <c r="C95" s="359"/>
      <c r="D95" s="359" t="s">
        <v>913</v>
      </c>
      <c r="E95" s="307">
        <f>SUM(E96)</f>
        <v>0</v>
      </c>
      <c r="F95" s="307">
        <f t="shared" ref="F95:P95" si="105">SUM(F96)</f>
        <v>0</v>
      </c>
      <c r="G95" s="307">
        <f t="shared" si="105"/>
        <v>0</v>
      </c>
      <c r="H95" s="307">
        <f t="shared" si="105"/>
        <v>0</v>
      </c>
      <c r="I95" s="307">
        <f t="shared" si="105"/>
        <v>0</v>
      </c>
      <c r="J95" s="307">
        <f t="shared" si="105"/>
        <v>21628518</v>
      </c>
      <c r="K95" s="307">
        <f t="shared" si="105"/>
        <v>21628518</v>
      </c>
      <c r="L95" s="307">
        <f t="shared" si="105"/>
        <v>0</v>
      </c>
      <c r="M95" s="307">
        <f t="shared" si="105"/>
        <v>0</v>
      </c>
      <c r="N95" s="307">
        <f t="shared" si="105"/>
        <v>0</v>
      </c>
      <c r="O95" s="307">
        <f t="shared" si="105"/>
        <v>21628518</v>
      </c>
      <c r="P95" s="307">
        <f t="shared" si="105"/>
        <v>21628518</v>
      </c>
    </row>
    <row r="96" spans="1:16" s="317" customFormat="1" ht="136.5" thickTop="1" thickBot="1" x14ac:dyDescent="0.25">
      <c r="A96" s="319" t="s">
        <v>886</v>
      </c>
      <c r="B96" s="319" t="s">
        <v>851</v>
      </c>
      <c r="C96" s="319"/>
      <c r="D96" s="319" t="s">
        <v>849</v>
      </c>
      <c r="E96" s="288">
        <f>SUM(E97)</f>
        <v>0</v>
      </c>
      <c r="F96" s="288">
        <f t="shared" ref="F96:P96" si="106">SUM(F97)</f>
        <v>0</v>
      </c>
      <c r="G96" s="288">
        <f t="shared" si="106"/>
        <v>0</v>
      </c>
      <c r="H96" s="288">
        <f t="shared" si="106"/>
        <v>0</v>
      </c>
      <c r="I96" s="288">
        <f t="shared" si="106"/>
        <v>0</v>
      </c>
      <c r="J96" s="288">
        <f t="shared" si="106"/>
        <v>21628518</v>
      </c>
      <c r="K96" s="288">
        <f t="shared" si="106"/>
        <v>21628518</v>
      </c>
      <c r="L96" s="288">
        <f t="shared" si="106"/>
        <v>0</v>
      </c>
      <c r="M96" s="288">
        <f t="shared" si="106"/>
        <v>0</v>
      </c>
      <c r="N96" s="288">
        <f t="shared" si="106"/>
        <v>0</v>
      </c>
      <c r="O96" s="288">
        <f t="shared" si="106"/>
        <v>21628518</v>
      </c>
      <c r="P96" s="288">
        <f t="shared" si="106"/>
        <v>21628518</v>
      </c>
    </row>
    <row r="97" spans="1:16" s="37" customFormat="1" ht="93" thickTop="1" thickBot="1" x14ac:dyDescent="0.25">
      <c r="A97" s="254" t="s">
        <v>468</v>
      </c>
      <c r="B97" s="254" t="s">
        <v>218</v>
      </c>
      <c r="C97" s="254" t="s">
        <v>187</v>
      </c>
      <c r="D97" s="254" t="s">
        <v>36</v>
      </c>
      <c r="E97" s="252">
        <f t="shared" si="100"/>
        <v>0</v>
      </c>
      <c r="F97" s="233"/>
      <c r="G97" s="233"/>
      <c r="H97" s="233"/>
      <c r="I97" s="233"/>
      <c r="J97" s="252">
        <f t="shared" si="98"/>
        <v>21628518</v>
      </c>
      <c r="K97" s="233">
        <f>((5413599+372664+500000+500000+201012+437500)+800000+355048+952000-100000+6800000)+5396695</f>
        <v>21628518</v>
      </c>
      <c r="L97" s="233"/>
      <c r="M97" s="233"/>
      <c r="N97" s="233"/>
      <c r="O97" s="253">
        <f t="shared" si="102"/>
        <v>21628518</v>
      </c>
      <c r="P97" s="252">
        <f t="shared" si="96"/>
        <v>21628518</v>
      </c>
    </row>
    <row r="98" spans="1:16" s="37" customFormat="1" ht="93" hidden="1" thickTop="1" thickBot="1" x14ac:dyDescent="0.25">
      <c r="A98" s="135" t="s">
        <v>558</v>
      </c>
      <c r="B98" s="135" t="s">
        <v>391</v>
      </c>
      <c r="C98" s="135" t="s">
        <v>45</v>
      </c>
      <c r="D98" s="135" t="s">
        <v>392</v>
      </c>
      <c r="E98" s="134">
        <f t="shared" si="100"/>
        <v>0</v>
      </c>
      <c r="F98" s="136"/>
      <c r="G98" s="136"/>
      <c r="H98" s="136"/>
      <c r="I98" s="136"/>
      <c r="J98" s="134">
        <f t="shared" si="98"/>
        <v>0</v>
      </c>
      <c r="K98" s="136"/>
      <c r="L98" s="136"/>
      <c r="M98" s="136"/>
      <c r="N98" s="136"/>
      <c r="O98" s="137">
        <f t="shared" si="102"/>
        <v>0</v>
      </c>
      <c r="P98" s="134">
        <f t="shared" si="96"/>
        <v>0</v>
      </c>
    </row>
    <row r="99" spans="1:16" ht="226.5" thickTop="1" thickBot="1" x14ac:dyDescent="0.25">
      <c r="A99" s="691" t="s">
        <v>173</v>
      </c>
      <c r="B99" s="691"/>
      <c r="C99" s="691"/>
      <c r="D99" s="692" t="s">
        <v>39</v>
      </c>
      <c r="E99" s="693">
        <f>E100</f>
        <v>207864834</v>
      </c>
      <c r="F99" s="694">
        <f t="shared" ref="F99:G99" si="107">F100</f>
        <v>207864834</v>
      </c>
      <c r="G99" s="694">
        <f t="shared" si="107"/>
        <v>68381820</v>
      </c>
      <c r="H99" s="694">
        <f>H100</f>
        <v>2088707</v>
      </c>
      <c r="I99" s="694">
        <f t="shared" ref="I99" si="108">I100</f>
        <v>0</v>
      </c>
      <c r="J99" s="693">
        <f>J100</f>
        <v>9357995</v>
      </c>
      <c r="K99" s="694">
        <f>K100</f>
        <v>8740995</v>
      </c>
      <c r="L99" s="694">
        <f>L100</f>
        <v>617000</v>
      </c>
      <c r="M99" s="694">
        <f t="shared" ref="M99" si="109">M100</f>
        <v>104000</v>
      </c>
      <c r="N99" s="693">
        <f>N100</f>
        <v>137000</v>
      </c>
      <c r="O99" s="693">
        <f>O100</f>
        <v>8740995</v>
      </c>
      <c r="P99" s="694">
        <f>P100</f>
        <v>217222829</v>
      </c>
    </row>
    <row r="100" spans="1:16" ht="226.5" thickTop="1" thickBot="1" x14ac:dyDescent="0.25">
      <c r="A100" s="695" t="s">
        <v>174</v>
      </c>
      <c r="B100" s="695"/>
      <c r="C100" s="695"/>
      <c r="D100" s="696" t="s">
        <v>40</v>
      </c>
      <c r="E100" s="697">
        <f>E101+E105+E131+E134</f>
        <v>207864834</v>
      </c>
      <c r="F100" s="697">
        <f t="shared" ref="F100:I100" si="110">F101+F105+F131+F134</f>
        <v>207864834</v>
      </c>
      <c r="G100" s="697">
        <f t="shared" si="110"/>
        <v>68381820</v>
      </c>
      <c r="H100" s="697">
        <f t="shared" si="110"/>
        <v>2088707</v>
      </c>
      <c r="I100" s="697">
        <f t="shared" si="110"/>
        <v>0</v>
      </c>
      <c r="J100" s="697">
        <f t="shared" ref="J100:J127" si="111">L100+O100</f>
        <v>9357995</v>
      </c>
      <c r="K100" s="697">
        <f t="shared" ref="K100:O100" si="112">K101+K105+K131+K134</f>
        <v>8740995</v>
      </c>
      <c r="L100" s="697">
        <f t="shared" si="112"/>
        <v>617000</v>
      </c>
      <c r="M100" s="697">
        <f t="shared" si="112"/>
        <v>104000</v>
      </c>
      <c r="N100" s="697">
        <f t="shared" si="112"/>
        <v>137000</v>
      </c>
      <c r="O100" s="697">
        <f t="shared" si="112"/>
        <v>8740995</v>
      </c>
      <c r="P100" s="698">
        <f t="shared" ref="P100:P117" si="113">E100+J100</f>
        <v>217222829</v>
      </c>
    </row>
    <row r="101" spans="1:16" s="306" customFormat="1" ht="47.25" thickTop="1" thickBot="1" x14ac:dyDescent="0.25">
      <c r="A101" s="360" t="s">
        <v>888</v>
      </c>
      <c r="B101" s="360" t="s">
        <v>844</v>
      </c>
      <c r="C101" s="360"/>
      <c r="D101" s="360" t="s">
        <v>845</v>
      </c>
      <c r="E101" s="307">
        <f t="shared" ref="E101:P101" si="114">SUM(E102:E104)</f>
        <v>52483540</v>
      </c>
      <c r="F101" s="477">
        <f t="shared" si="114"/>
        <v>52483540</v>
      </c>
      <c r="G101" s="477">
        <f t="shared" si="114"/>
        <v>38906520</v>
      </c>
      <c r="H101" s="477">
        <f t="shared" si="114"/>
        <v>856085</v>
      </c>
      <c r="I101" s="477">
        <f t="shared" si="114"/>
        <v>0</v>
      </c>
      <c r="J101" s="477">
        <f t="shared" si="114"/>
        <v>1210000</v>
      </c>
      <c r="K101" s="477">
        <f t="shared" si="114"/>
        <v>1210000</v>
      </c>
      <c r="L101" s="477">
        <f t="shared" si="114"/>
        <v>0</v>
      </c>
      <c r="M101" s="477">
        <f t="shared" si="114"/>
        <v>0</v>
      </c>
      <c r="N101" s="477">
        <f t="shared" si="114"/>
        <v>0</v>
      </c>
      <c r="O101" s="477">
        <f t="shared" si="114"/>
        <v>1210000</v>
      </c>
      <c r="P101" s="477">
        <f t="shared" si="114"/>
        <v>53693540</v>
      </c>
    </row>
    <row r="102" spans="1:16" ht="230.25" thickTop="1" thickBot="1" x14ac:dyDescent="0.25">
      <c r="A102" s="200" t="s">
        <v>445</v>
      </c>
      <c r="B102" s="200" t="s">
        <v>257</v>
      </c>
      <c r="C102" s="200" t="s">
        <v>255</v>
      </c>
      <c r="D102" s="200" t="s">
        <v>256</v>
      </c>
      <c r="E102" s="241">
        <f t="shared" ref="E102" si="115">F102</f>
        <v>52443540</v>
      </c>
      <c r="F102" s="242">
        <f>-49000+((51797540-10000)+205000+300000+200000)</f>
        <v>52443540</v>
      </c>
      <c r="G102" s="242">
        <v>38906520</v>
      </c>
      <c r="H102" s="242">
        <f>(511665+29000+284370+31050)</f>
        <v>856085</v>
      </c>
      <c r="I102" s="242"/>
      <c r="J102" s="241">
        <f t="shared" si="111"/>
        <v>1210000</v>
      </c>
      <c r="K102" s="242">
        <f>49000+((911000)+250000)</f>
        <v>1210000</v>
      </c>
      <c r="L102" s="242"/>
      <c r="M102" s="242"/>
      <c r="N102" s="242"/>
      <c r="O102" s="243">
        <f>K102</f>
        <v>1210000</v>
      </c>
      <c r="P102" s="241">
        <f t="shared" si="113"/>
        <v>53653540</v>
      </c>
    </row>
    <row r="103" spans="1:16" s="239" customFormat="1" ht="184.5" thickTop="1" thickBot="1" x14ac:dyDescent="0.25">
      <c r="A103" s="245" t="s">
        <v>787</v>
      </c>
      <c r="B103" s="245" t="s">
        <v>390</v>
      </c>
      <c r="C103" s="245" t="s">
        <v>779</v>
      </c>
      <c r="D103" s="245" t="s">
        <v>780</v>
      </c>
      <c r="E103" s="241">
        <f t="shared" ref="E103:E104" si="116">F103</f>
        <v>10000</v>
      </c>
      <c r="F103" s="242">
        <v>10000</v>
      </c>
      <c r="G103" s="242"/>
      <c r="H103" s="242"/>
      <c r="I103" s="242"/>
      <c r="J103" s="241">
        <f t="shared" ref="J103:J104" si="117">L103+O103</f>
        <v>0</v>
      </c>
      <c r="K103" s="242"/>
      <c r="L103" s="242"/>
      <c r="M103" s="242"/>
      <c r="N103" s="242"/>
      <c r="O103" s="243">
        <f>K103</f>
        <v>0</v>
      </c>
      <c r="P103" s="241">
        <f t="shared" ref="P103:P104" si="118">E103+J103</f>
        <v>10000</v>
      </c>
    </row>
    <row r="104" spans="1:16" s="472" customFormat="1" ht="93" thickTop="1" thickBot="1" x14ac:dyDescent="0.25">
      <c r="A104" s="478" t="s">
        <v>1139</v>
      </c>
      <c r="B104" s="478" t="s">
        <v>45</v>
      </c>
      <c r="C104" s="478" t="s">
        <v>44</v>
      </c>
      <c r="D104" s="478" t="s">
        <v>269</v>
      </c>
      <c r="E104" s="475">
        <f t="shared" si="116"/>
        <v>30000</v>
      </c>
      <c r="F104" s="242">
        <v>30000</v>
      </c>
      <c r="G104" s="242"/>
      <c r="H104" s="242"/>
      <c r="I104" s="242"/>
      <c r="J104" s="475">
        <f t="shared" si="117"/>
        <v>0</v>
      </c>
      <c r="K104" s="242"/>
      <c r="L104" s="242"/>
      <c r="M104" s="242"/>
      <c r="N104" s="242"/>
      <c r="O104" s="476"/>
      <c r="P104" s="475">
        <f t="shared" si="118"/>
        <v>30000</v>
      </c>
    </row>
    <row r="105" spans="1:16" s="306" customFormat="1" ht="91.5" thickTop="1" thickBot="1" x14ac:dyDescent="0.25">
      <c r="A105" s="360" t="s">
        <v>889</v>
      </c>
      <c r="B105" s="360" t="s">
        <v>871</v>
      </c>
      <c r="C105" s="360"/>
      <c r="D105" s="360" t="s">
        <v>872</v>
      </c>
      <c r="E105" s="309">
        <f>SUM(E106:E130)-E106-E115-E124-E126-E128-E121-E118</f>
        <v>155381294</v>
      </c>
      <c r="F105" s="681">
        <f t="shared" ref="F105:O105" si="119">SUM(F106:F130)-F106-F115-F124-F126-F128-F121-F118</f>
        <v>155381294</v>
      </c>
      <c r="G105" s="681">
        <f t="shared" si="119"/>
        <v>29475300</v>
      </c>
      <c r="H105" s="681">
        <f t="shared" si="119"/>
        <v>1232622</v>
      </c>
      <c r="I105" s="681">
        <f t="shared" si="119"/>
        <v>0</v>
      </c>
      <c r="J105" s="681">
        <f t="shared" si="119"/>
        <v>3605995</v>
      </c>
      <c r="K105" s="681">
        <f t="shared" si="119"/>
        <v>3310995</v>
      </c>
      <c r="L105" s="681">
        <f t="shared" si="119"/>
        <v>295000</v>
      </c>
      <c r="M105" s="681">
        <f t="shared" si="119"/>
        <v>104000</v>
      </c>
      <c r="N105" s="681">
        <f t="shared" si="119"/>
        <v>137000</v>
      </c>
      <c r="O105" s="681">
        <f t="shared" si="119"/>
        <v>3310995</v>
      </c>
      <c r="P105" s="681">
        <f>SUM(P106:P130)-P106-P115-P124-P126-P128-P121-P118</f>
        <v>158987289</v>
      </c>
    </row>
    <row r="106" spans="1:16" s="72" customFormat="1" ht="276" thickTop="1" thickBot="1" x14ac:dyDescent="0.25">
      <c r="A106" s="353" t="s">
        <v>890</v>
      </c>
      <c r="B106" s="287" t="s">
        <v>891</v>
      </c>
      <c r="C106" s="287"/>
      <c r="D106" s="287" t="s">
        <v>892</v>
      </c>
      <c r="E106" s="354">
        <f>SUM(E107:E111)</f>
        <v>74624700</v>
      </c>
      <c r="F106" s="354">
        <f t="shared" ref="F106:P106" si="120">SUM(F107:F111)</f>
        <v>74624700</v>
      </c>
      <c r="G106" s="354">
        <f t="shared" si="120"/>
        <v>0</v>
      </c>
      <c r="H106" s="354">
        <f t="shared" si="120"/>
        <v>0</v>
      </c>
      <c r="I106" s="354">
        <f t="shared" si="120"/>
        <v>0</v>
      </c>
      <c r="J106" s="354">
        <f t="shared" si="120"/>
        <v>199000</v>
      </c>
      <c r="K106" s="354">
        <f t="shared" si="120"/>
        <v>199000</v>
      </c>
      <c r="L106" s="354">
        <f t="shared" si="120"/>
        <v>0</v>
      </c>
      <c r="M106" s="354">
        <f t="shared" si="120"/>
        <v>0</v>
      </c>
      <c r="N106" s="354">
        <f t="shared" si="120"/>
        <v>0</v>
      </c>
      <c r="O106" s="354">
        <f t="shared" si="120"/>
        <v>199000</v>
      </c>
      <c r="P106" s="354">
        <f t="shared" si="120"/>
        <v>74823700</v>
      </c>
    </row>
    <row r="107" spans="1:16" s="37" customFormat="1" ht="138.75" thickTop="1" thickBot="1" x14ac:dyDescent="0.25">
      <c r="A107" s="200" t="s">
        <v>290</v>
      </c>
      <c r="B107" s="200" t="s">
        <v>291</v>
      </c>
      <c r="C107" s="200" t="s">
        <v>226</v>
      </c>
      <c r="D107" s="201" t="s">
        <v>292</v>
      </c>
      <c r="E107" s="241">
        <f>F107</f>
        <v>270000</v>
      </c>
      <c r="F107" s="242">
        <f>(570000)-300000</f>
        <v>270000</v>
      </c>
      <c r="G107" s="242"/>
      <c r="H107" s="242"/>
      <c r="I107" s="242"/>
      <c r="J107" s="241">
        <f t="shared" si="111"/>
        <v>199000</v>
      </c>
      <c r="K107" s="242">
        <v>199000</v>
      </c>
      <c r="L107" s="242"/>
      <c r="M107" s="242"/>
      <c r="N107" s="242"/>
      <c r="O107" s="243">
        <f t="shared" ref="O107:O127" si="121">K107</f>
        <v>199000</v>
      </c>
      <c r="P107" s="241">
        <f t="shared" si="113"/>
        <v>469000</v>
      </c>
    </row>
    <row r="108" spans="1:16" s="37" customFormat="1" ht="138.75" thickTop="1" thickBot="1" x14ac:dyDescent="0.25">
      <c r="A108" s="200" t="s">
        <v>293</v>
      </c>
      <c r="B108" s="200" t="s">
        <v>294</v>
      </c>
      <c r="C108" s="200" t="s">
        <v>227</v>
      </c>
      <c r="D108" s="200" t="s">
        <v>6</v>
      </c>
      <c r="E108" s="241">
        <f t="shared" ref="E108:E140" si="122">F108</f>
        <v>1350000</v>
      </c>
      <c r="F108" s="242">
        <v>1350000</v>
      </c>
      <c r="G108" s="242"/>
      <c r="H108" s="242"/>
      <c r="I108" s="242"/>
      <c r="J108" s="241">
        <f t="shared" si="111"/>
        <v>0</v>
      </c>
      <c r="K108" s="242"/>
      <c r="L108" s="242"/>
      <c r="M108" s="242"/>
      <c r="N108" s="242"/>
      <c r="O108" s="243">
        <f t="shared" si="121"/>
        <v>0</v>
      </c>
      <c r="P108" s="241">
        <f t="shared" si="113"/>
        <v>1350000</v>
      </c>
    </row>
    <row r="109" spans="1:16" s="37" customFormat="1" ht="184.5" thickTop="1" thickBot="1" x14ac:dyDescent="0.25">
      <c r="A109" s="200" t="s">
        <v>296</v>
      </c>
      <c r="B109" s="200" t="s">
        <v>297</v>
      </c>
      <c r="C109" s="200" t="s">
        <v>227</v>
      </c>
      <c r="D109" s="200" t="s">
        <v>7</v>
      </c>
      <c r="E109" s="241">
        <f t="shared" si="122"/>
        <v>14700000</v>
      </c>
      <c r="F109" s="242">
        <f>(11250000)+3450000</f>
        <v>14700000</v>
      </c>
      <c r="G109" s="242"/>
      <c r="H109" s="242"/>
      <c r="I109" s="242"/>
      <c r="J109" s="241">
        <f t="shared" si="111"/>
        <v>0</v>
      </c>
      <c r="K109" s="242"/>
      <c r="L109" s="242"/>
      <c r="M109" s="242"/>
      <c r="N109" s="242"/>
      <c r="O109" s="243">
        <f t="shared" si="121"/>
        <v>0</v>
      </c>
      <c r="P109" s="241">
        <f t="shared" si="113"/>
        <v>14700000</v>
      </c>
    </row>
    <row r="110" spans="1:16" s="37" customFormat="1" ht="184.5" thickTop="1" thickBot="1" x14ac:dyDescent="0.25">
      <c r="A110" s="200" t="s">
        <v>298</v>
      </c>
      <c r="B110" s="200" t="s">
        <v>295</v>
      </c>
      <c r="C110" s="200" t="s">
        <v>227</v>
      </c>
      <c r="D110" s="200" t="s">
        <v>8</v>
      </c>
      <c r="E110" s="241">
        <f t="shared" si="122"/>
        <v>500000</v>
      </c>
      <c r="F110" s="242">
        <v>500000</v>
      </c>
      <c r="G110" s="242"/>
      <c r="H110" s="242"/>
      <c r="I110" s="242"/>
      <c r="J110" s="241">
        <f t="shared" si="111"/>
        <v>0</v>
      </c>
      <c r="K110" s="242"/>
      <c r="L110" s="242"/>
      <c r="M110" s="242"/>
      <c r="N110" s="242"/>
      <c r="O110" s="243">
        <f t="shared" si="121"/>
        <v>0</v>
      </c>
      <c r="P110" s="241">
        <f t="shared" si="113"/>
        <v>500000</v>
      </c>
    </row>
    <row r="111" spans="1:16" s="37" customFormat="1" ht="184.5" thickTop="1" thickBot="1" x14ac:dyDescent="0.25">
      <c r="A111" s="200" t="s">
        <v>299</v>
      </c>
      <c r="B111" s="200" t="s">
        <v>300</v>
      </c>
      <c r="C111" s="200" t="s">
        <v>227</v>
      </c>
      <c r="D111" s="200" t="s">
        <v>9</v>
      </c>
      <c r="E111" s="241">
        <f t="shared" si="122"/>
        <v>57804700</v>
      </c>
      <c r="F111" s="242">
        <f>(74942240)-17137540</f>
        <v>57804700</v>
      </c>
      <c r="G111" s="242"/>
      <c r="H111" s="242"/>
      <c r="I111" s="242"/>
      <c r="J111" s="241">
        <f t="shared" si="111"/>
        <v>0</v>
      </c>
      <c r="K111" s="242"/>
      <c r="L111" s="242"/>
      <c r="M111" s="242"/>
      <c r="N111" s="242"/>
      <c r="O111" s="243">
        <f t="shared" si="121"/>
        <v>0</v>
      </c>
      <c r="P111" s="241">
        <f t="shared" si="113"/>
        <v>57804700</v>
      </c>
    </row>
    <row r="112" spans="1:16" s="37" customFormat="1" ht="184.5" thickTop="1" thickBot="1" x14ac:dyDescent="0.25">
      <c r="A112" s="398" t="s">
        <v>524</v>
      </c>
      <c r="B112" s="398" t="s">
        <v>525</v>
      </c>
      <c r="C112" s="398" t="s">
        <v>227</v>
      </c>
      <c r="D112" s="398" t="s">
        <v>526</v>
      </c>
      <c r="E112" s="399">
        <f t="shared" si="122"/>
        <v>206796</v>
      </c>
      <c r="F112" s="242">
        <v>206796</v>
      </c>
      <c r="G112" s="242"/>
      <c r="H112" s="242"/>
      <c r="I112" s="242"/>
      <c r="J112" s="399">
        <f t="shared" si="111"/>
        <v>0</v>
      </c>
      <c r="K112" s="242"/>
      <c r="L112" s="242"/>
      <c r="M112" s="242"/>
      <c r="N112" s="242"/>
      <c r="O112" s="400">
        <f t="shared" si="121"/>
        <v>0</v>
      </c>
      <c r="P112" s="399">
        <f t="shared" si="113"/>
        <v>206796</v>
      </c>
    </row>
    <row r="113" spans="1:16" s="37" customFormat="1" ht="138.75" thickTop="1" thickBot="1" x14ac:dyDescent="0.25">
      <c r="A113" s="474" t="s">
        <v>1140</v>
      </c>
      <c r="B113" s="474" t="s">
        <v>1141</v>
      </c>
      <c r="C113" s="474" t="s">
        <v>227</v>
      </c>
      <c r="D113" s="474" t="s">
        <v>1142</v>
      </c>
      <c r="E113" s="475">
        <f t="shared" ref="E113" si="123">F113</f>
        <v>180000</v>
      </c>
      <c r="F113" s="242">
        <v>180000</v>
      </c>
      <c r="G113" s="242"/>
      <c r="H113" s="242"/>
      <c r="I113" s="242"/>
      <c r="J113" s="475">
        <f t="shared" ref="J113" si="124">L113+O113</f>
        <v>0</v>
      </c>
      <c r="K113" s="242"/>
      <c r="L113" s="242"/>
      <c r="M113" s="242"/>
      <c r="N113" s="242"/>
      <c r="O113" s="476">
        <f t="shared" ref="O113" si="125">K113</f>
        <v>0</v>
      </c>
      <c r="P113" s="475">
        <f t="shared" ref="P113" si="126">E113+J113</f>
        <v>180000</v>
      </c>
    </row>
    <row r="114" spans="1:16" ht="138.75" thickTop="1" thickBot="1" x14ac:dyDescent="0.25">
      <c r="A114" s="398" t="s">
        <v>527</v>
      </c>
      <c r="B114" s="398" t="s">
        <v>528</v>
      </c>
      <c r="C114" s="398" t="s">
        <v>226</v>
      </c>
      <c r="D114" s="398" t="s">
        <v>529</v>
      </c>
      <c r="E114" s="399">
        <f t="shared" si="122"/>
        <v>353047</v>
      </c>
      <c r="F114" s="242">
        <v>353047</v>
      </c>
      <c r="G114" s="242"/>
      <c r="H114" s="242"/>
      <c r="I114" s="242"/>
      <c r="J114" s="399">
        <f t="shared" si="111"/>
        <v>0</v>
      </c>
      <c r="K114" s="242"/>
      <c r="L114" s="242"/>
      <c r="M114" s="242"/>
      <c r="N114" s="242"/>
      <c r="O114" s="400">
        <f>K114</f>
        <v>0</v>
      </c>
      <c r="P114" s="399">
        <f t="shared" si="113"/>
        <v>353047</v>
      </c>
    </row>
    <row r="115" spans="1:16" s="37" customFormat="1" ht="276" thickTop="1" thickBot="1" x14ac:dyDescent="0.25">
      <c r="A115" s="353" t="s">
        <v>893</v>
      </c>
      <c r="B115" s="353" t="s">
        <v>894</v>
      </c>
      <c r="C115" s="353"/>
      <c r="D115" s="353" t="s">
        <v>895</v>
      </c>
      <c r="E115" s="354">
        <f>SUM(E116:E117)</f>
        <v>36030285</v>
      </c>
      <c r="F115" s="354">
        <f t="shared" ref="F115:P115" si="127">SUM(F116:F117)</f>
        <v>36030285</v>
      </c>
      <c r="G115" s="354">
        <f t="shared" si="127"/>
        <v>25148685</v>
      </c>
      <c r="H115" s="354">
        <f t="shared" si="127"/>
        <v>742295</v>
      </c>
      <c r="I115" s="354">
        <f t="shared" si="127"/>
        <v>0</v>
      </c>
      <c r="J115" s="354">
        <f t="shared" si="127"/>
        <v>321440</v>
      </c>
      <c r="K115" s="354">
        <f t="shared" si="127"/>
        <v>171440</v>
      </c>
      <c r="L115" s="354">
        <f t="shared" si="127"/>
        <v>150000</v>
      </c>
      <c r="M115" s="354">
        <f t="shared" si="127"/>
        <v>100000</v>
      </c>
      <c r="N115" s="354">
        <f t="shared" si="127"/>
        <v>3000</v>
      </c>
      <c r="O115" s="354">
        <f t="shared" si="127"/>
        <v>171440</v>
      </c>
      <c r="P115" s="354">
        <f t="shared" si="127"/>
        <v>36351725</v>
      </c>
    </row>
    <row r="116" spans="1:16" ht="276" thickTop="1" thickBot="1" x14ac:dyDescent="0.25">
      <c r="A116" s="200" t="s">
        <v>288</v>
      </c>
      <c r="B116" s="200" t="s">
        <v>286</v>
      </c>
      <c r="C116" s="200" t="s">
        <v>221</v>
      </c>
      <c r="D116" s="200" t="s">
        <v>17</v>
      </c>
      <c r="E116" s="241">
        <f t="shared" si="122"/>
        <v>28469120</v>
      </c>
      <c r="F116" s="242">
        <f>108000+400000+((27960820)-25000+2060+10800+12440)</f>
        <v>28469120</v>
      </c>
      <c r="G116" s="242">
        <v>19746545</v>
      </c>
      <c r="H116" s="242">
        <f>(266000+30800+72660+10800)+2060+10800+12440</f>
        <v>405560</v>
      </c>
      <c r="I116" s="242"/>
      <c r="J116" s="241">
        <f t="shared" si="111"/>
        <v>278000</v>
      </c>
      <c r="K116" s="242">
        <f>58000+15000+25000+30000</f>
        <v>128000</v>
      </c>
      <c r="L116" s="242">
        <f>(100000+22000+15000+4000+6000+1500+500+1000)</f>
        <v>150000</v>
      </c>
      <c r="M116" s="242">
        <v>100000</v>
      </c>
      <c r="N116" s="242">
        <f>(1500+500+1000)</f>
        <v>3000</v>
      </c>
      <c r="O116" s="243">
        <f t="shared" si="121"/>
        <v>128000</v>
      </c>
      <c r="P116" s="241">
        <f t="shared" si="113"/>
        <v>28747120</v>
      </c>
    </row>
    <row r="117" spans="1:16" ht="138.75" thickTop="1" thickBot="1" x14ac:dyDescent="0.25">
      <c r="A117" s="200" t="s">
        <v>289</v>
      </c>
      <c r="B117" s="200" t="s">
        <v>287</v>
      </c>
      <c r="C117" s="200" t="s">
        <v>220</v>
      </c>
      <c r="D117" s="200" t="s">
        <v>493</v>
      </c>
      <c r="E117" s="241">
        <f t="shared" si="122"/>
        <v>7561165</v>
      </c>
      <c r="F117" s="242">
        <f>14525+4550+((7298180)+112800+1570+107500+19900+2140)</f>
        <v>7561165</v>
      </c>
      <c r="G117" s="242">
        <f>(3013390+2388750)</f>
        <v>5402140</v>
      </c>
      <c r="H117" s="242">
        <f>(133610+1950+28250+148195+4870+19620+240)</f>
        <v>336735</v>
      </c>
      <c r="I117" s="242"/>
      <c r="J117" s="241">
        <f t="shared" si="111"/>
        <v>43440</v>
      </c>
      <c r="K117" s="242">
        <v>43440</v>
      </c>
      <c r="L117" s="242"/>
      <c r="M117" s="242"/>
      <c r="N117" s="242"/>
      <c r="O117" s="243">
        <f t="shared" si="121"/>
        <v>43440</v>
      </c>
      <c r="P117" s="241">
        <f t="shared" si="113"/>
        <v>7604605</v>
      </c>
    </row>
    <row r="118" spans="1:16" s="675" customFormat="1" ht="138.75" thickTop="1" thickBot="1" x14ac:dyDescent="0.25">
      <c r="A118" s="353" t="s">
        <v>1361</v>
      </c>
      <c r="B118" s="353" t="s">
        <v>929</v>
      </c>
      <c r="C118" s="353"/>
      <c r="D118" s="353" t="s">
        <v>930</v>
      </c>
      <c r="E118" s="354">
        <f>E119</f>
        <v>267380</v>
      </c>
      <c r="F118" s="354">
        <f t="shared" ref="F118:P118" si="128">F119</f>
        <v>267380</v>
      </c>
      <c r="G118" s="354">
        <f t="shared" si="128"/>
        <v>0</v>
      </c>
      <c r="H118" s="354">
        <f t="shared" si="128"/>
        <v>0</v>
      </c>
      <c r="I118" s="354">
        <f t="shared" si="128"/>
        <v>0</v>
      </c>
      <c r="J118" s="354">
        <f t="shared" si="128"/>
        <v>2304215</v>
      </c>
      <c r="K118" s="354">
        <f t="shared" si="128"/>
        <v>2304215</v>
      </c>
      <c r="L118" s="354">
        <f t="shared" si="128"/>
        <v>0</v>
      </c>
      <c r="M118" s="354">
        <f t="shared" si="128"/>
        <v>0</v>
      </c>
      <c r="N118" s="354">
        <f t="shared" si="128"/>
        <v>0</v>
      </c>
      <c r="O118" s="354">
        <f t="shared" si="128"/>
        <v>2304215</v>
      </c>
      <c r="P118" s="354">
        <f t="shared" si="128"/>
        <v>2571595</v>
      </c>
    </row>
    <row r="119" spans="1:16" s="675" customFormat="1" ht="276" thickTop="1" thickBot="1" x14ac:dyDescent="0.25">
      <c r="A119" s="685" t="s">
        <v>1362</v>
      </c>
      <c r="B119" s="685" t="s">
        <v>1363</v>
      </c>
      <c r="C119" s="685" t="s">
        <v>206</v>
      </c>
      <c r="D119" s="685" t="s">
        <v>1364</v>
      </c>
      <c r="E119" s="681">
        <f t="shared" ref="E119" si="129">F119</f>
        <v>267380</v>
      </c>
      <c r="F119" s="242">
        <v>267380</v>
      </c>
      <c r="G119" s="242"/>
      <c r="H119" s="242"/>
      <c r="I119" s="242"/>
      <c r="J119" s="681">
        <f t="shared" ref="J119" si="130">L119+O119</f>
        <v>2304215</v>
      </c>
      <c r="K119" s="242">
        <f>166110+1240000+898105</f>
        <v>2304215</v>
      </c>
      <c r="L119" s="242"/>
      <c r="M119" s="242"/>
      <c r="N119" s="242"/>
      <c r="O119" s="683">
        <f t="shared" ref="O119" si="131">K119</f>
        <v>2304215</v>
      </c>
      <c r="P119" s="681">
        <f t="shared" ref="P119" si="132">E119+J119</f>
        <v>2571595</v>
      </c>
    </row>
    <row r="120" spans="1:16" ht="409.6" thickTop="1" thickBot="1" x14ac:dyDescent="0.25">
      <c r="A120" s="200" t="s">
        <v>284</v>
      </c>
      <c r="B120" s="200" t="s">
        <v>285</v>
      </c>
      <c r="C120" s="200" t="s">
        <v>220</v>
      </c>
      <c r="D120" s="200" t="s">
        <v>491</v>
      </c>
      <c r="E120" s="241">
        <f t="shared" si="122"/>
        <v>2246695</v>
      </c>
      <c r="F120" s="233">
        <f>((1242695)+1000000)+4000</f>
        <v>2246695</v>
      </c>
      <c r="G120" s="242"/>
      <c r="H120" s="242"/>
      <c r="I120" s="242"/>
      <c r="J120" s="241">
        <f t="shared" si="111"/>
        <v>0</v>
      </c>
      <c r="K120" s="241"/>
      <c r="L120" s="242"/>
      <c r="M120" s="242"/>
      <c r="N120" s="242"/>
      <c r="O120" s="243">
        <f t="shared" si="121"/>
        <v>0</v>
      </c>
      <c r="P120" s="241">
        <f>+J120+E120</f>
        <v>2246695</v>
      </c>
    </row>
    <row r="121" spans="1:16" s="403" customFormat="1" ht="138.75" thickTop="1" thickBot="1" x14ac:dyDescent="0.25">
      <c r="A121" s="353" t="s">
        <v>1060</v>
      </c>
      <c r="B121" s="353" t="s">
        <v>1061</v>
      </c>
      <c r="C121" s="353"/>
      <c r="D121" s="353" t="s">
        <v>1062</v>
      </c>
      <c r="E121" s="354">
        <f t="shared" si="122"/>
        <v>147491</v>
      </c>
      <c r="F121" s="354">
        <f>F122</f>
        <v>147491</v>
      </c>
      <c r="G121" s="354">
        <f t="shared" ref="G121:I121" si="133">G122</f>
        <v>0</v>
      </c>
      <c r="H121" s="354">
        <f t="shared" si="133"/>
        <v>0</v>
      </c>
      <c r="I121" s="354">
        <f t="shared" si="133"/>
        <v>0</v>
      </c>
      <c r="J121" s="354">
        <f t="shared" si="111"/>
        <v>0</v>
      </c>
      <c r="K121" s="354">
        <f t="shared" ref="K121:N121" si="134">K122</f>
        <v>0</v>
      </c>
      <c r="L121" s="354">
        <f t="shared" si="134"/>
        <v>0</v>
      </c>
      <c r="M121" s="354">
        <f t="shared" si="134"/>
        <v>0</v>
      </c>
      <c r="N121" s="354">
        <f t="shared" si="134"/>
        <v>0</v>
      </c>
      <c r="O121" s="354">
        <f t="shared" si="121"/>
        <v>0</v>
      </c>
      <c r="P121" s="354">
        <f>+J121+E121</f>
        <v>147491</v>
      </c>
    </row>
    <row r="122" spans="1:16" ht="276" thickTop="1" thickBot="1" x14ac:dyDescent="0.25">
      <c r="A122" s="407" t="s">
        <v>530</v>
      </c>
      <c r="B122" s="407" t="s">
        <v>531</v>
      </c>
      <c r="C122" s="407" t="s">
        <v>220</v>
      </c>
      <c r="D122" s="407" t="s">
        <v>532</v>
      </c>
      <c r="E122" s="404">
        <f t="shared" si="122"/>
        <v>147491</v>
      </c>
      <c r="F122" s="242">
        <v>147491</v>
      </c>
      <c r="G122" s="242"/>
      <c r="H122" s="242"/>
      <c r="I122" s="242"/>
      <c r="J122" s="404">
        <f t="shared" si="111"/>
        <v>0</v>
      </c>
      <c r="K122" s="404"/>
      <c r="L122" s="242"/>
      <c r="M122" s="242"/>
      <c r="N122" s="242"/>
      <c r="O122" s="406">
        <f t="shared" si="121"/>
        <v>0</v>
      </c>
      <c r="P122" s="404">
        <f>+J122+E122</f>
        <v>147491</v>
      </c>
    </row>
    <row r="123" spans="1:16" ht="367.5" thickTop="1" thickBot="1" x14ac:dyDescent="0.25">
      <c r="A123" s="200" t="s">
        <v>376</v>
      </c>
      <c r="B123" s="200" t="s">
        <v>375</v>
      </c>
      <c r="C123" s="200" t="s">
        <v>52</v>
      </c>
      <c r="D123" s="200" t="s">
        <v>492</v>
      </c>
      <c r="E123" s="241">
        <f t="shared" si="122"/>
        <v>2625425</v>
      </c>
      <c r="F123" s="242">
        <v>2625425</v>
      </c>
      <c r="G123" s="242"/>
      <c r="H123" s="242"/>
      <c r="I123" s="242"/>
      <c r="J123" s="241">
        <f t="shared" si="111"/>
        <v>0</v>
      </c>
      <c r="K123" s="241"/>
      <c r="L123" s="242"/>
      <c r="M123" s="242"/>
      <c r="N123" s="242"/>
      <c r="O123" s="243">
        <f t="shared" si="121"/>
        <v>0</v>
      </c>
      <c r="P123" s="241">
        <f>E123+J123</f>
        <v>2625425</v>
      </c>
    </row>
    <row r="124" spans="1:16" s="37" customFormat="1" ht="93" thickTop="1" thickBot="1" x14ac:dyDescent="0.25">
      <c r="A124" s="353" t="s">
        <v>896</v>
      </c>
      <c r="B124" s="353" t="s">
        <v>897</v>
      </c>
      <c r="C124" s="353"/>
      <c r="D124" s="353" t="s">
        <v>898</v>
      </c>
      <c r="E124" s="354">
        <f>E125</f>
        <v>500000</v>
      </c>
      <c r="F124" s="354">
        <f t="shared" ref="F124:P124" si="135">F125</f>
        <v>500000</v>
      </c>
      <c r="G124" s="354">
        <f t="shared" si="135"/>
        <v>0</v>
      </c>
      <c r="H124" s="354">
        <f t="shared" si="135"/>
        <v>0</v>
      </c>
      <c r="I124" s="354">
        <f t="shared" si="135"/>
        <v>0</v>
      </c>
      <c r="J124" s="354">
        <f t="shared" si="135"/>
        <v>0</v>
      </c>
      <c r="K124" s="354">
        <f t="shared" si="135"/>
        <v>0</v>
      </c>
      <c r="L124" s="354">
        <f t="shared" si="135"/>
        <v>0</v>
      </c>
      <c r="M124" s="354">
        <f t="shared" si="135"/>
        <v>0</v>
      </c>
      <c r="N124" s="354">
        <f t="shared" si="135"/>
        <v>0</v>
      </c>
      <c r="O124" s="354">
        <f t="shared" si="135"/>
        <v>0</v>
      </c>
      <c r="P124" s="354">
        <f t="shared" si="135"/>
        <v>500000</v>
      </c>
    </row>
    <row r="125" spans="1:16" ht="230.25" thickTop="1" thickBot="1" x14ac:dyDescent="0.25">
      <c r="A125" s="200" t="s">
        <v>352</v>
      </c>
      <c r="B125" s="200" t="s">
        <v>353</v>
      </c>
      <c r="C125" s="200" t="s">
        <v>226</v>
      </c>
      <c r="D125" s="200" t="s">
        <v>794</v>
      </c>
      <c r="E125" s="241">
        <f t="shared" si="122"/>
        <v>500000</v>
      </c>
      <c r="F125" s="242">
        <f>(500000)</f>
        <v>500000</v>
      </c>
      <c r="G125" s="242"/>
      <c r="H125" s="242"/>
      <c r="I125" s="242"/>
      <c r="J125" s="241">
        <f t="shared" si="111"/>
        <v>0</v>
      </c>
      <c r="K125" s="242"/>
      <c r="L125" s="242"/>
      <c r="M125" s="242"/>
      <c r="N125" s="242"/>
      <c r="O125" s="243">
        <f t="shared" si="121"/>
        <v>0</v>
      </c>
      <c r="P125" s="241">
        <f>E125+J125</f>
        <v>500000</v>
      </c>
    </row>
    <row r="126" spans="1:16" s="37" customFormat="1" ht="184.5" thickTop="1" thickBot="1" x14ac:dyDescent="0.25">
      <c r="A126" s="353" t="s">
        <v>899</v>
      </c>
      <c r="B126" s="353" t="s">
        <v>900</v>
      </c>
      <c r="C126" s="353"/>
      <c r="D126" s="353" t="s">
        <v>901</v>
      </c>
      <c r="E126" s="354">
        <f t="shared" ref="E126:P126" si="136">E127</f>
        <v>100040</v>
      </c>
      <c r="F126" s="354">
        <f t="shared" si="136"/>
        <v>100040</v>
      </c>
      <c r="G126" s="354">
        <f t="shared" si="136"/>
        <v>82000</v>
      </c>
      <c r="H126" s="354">
        <f t="shared" si="136"/>
        <v>0</v>
      </c>
      <c r="I126" s="354">
        <f t="shared" si="136"/>
        <v>0</v>
      </c>
      <c r="J126" s="354">
        <f t="shared" si="136"/>
        <v>0</v>
      </c>
      <c r="K126" s="354">
        <f t="shared" si="136"/>
        <v>0</v>
      </c>
      <c r="L126" s="354">
        <f t="shared" si="136"/>
        <v>0</v>
      </c>
      <c r="M126" s="354">
        <f t="shared" si="136"/>
        <v>0</v>
      </c>
      <c r="N126" s="354">
        <f t="shared" si="136"/>
        <v>0</v>
      </c>
      <c r="O126" s="354">
        <f t="shared" si="136"/>
        <v>0</v>
      </c>
      <c r="P126" s="354">
        <f t="shared" si="136"/>
        <v>100040</v>
      </c>
    </row>
    <row r="127" spans="1:16" ht="93" thickTop="1" thickBot="1" x14ac:dyDescent="0.25">
      <c r="A127" s="200" t="s">
        <v>458</v>
      </c>
      <c r="B127" s="200" t="s">
        <v>400</v>
      </c>
      <c r="C127" s="200" t="s">
        <v>401</v>
      </c>
      <c r="D127" s="200" t="s">
        <v>399</v>
      </c>
      <c r="E127" s="260">
        <f t="shared" si="122"/>
        <v>100040</v>
      </c>
      <c r="F127" s="242">
        <v>100040</v>
      </c>
      <c r="G127" s="242">
        <v>82000</v>
      </c>
      <c r="H127" s="242"/>
      <c r="I127" s="242"/>
      <c r="J127" s="241">
        <f t="shared" si="111"/>
        <v>0</v>
      </c>
      <c r="K127" s="242"/>
      <c r="L127" s="242"/>
      <c r="M127" s="242"/>
      <c r="N127" s="242"/>
      <c r="O127" s="243">
        <f t="shared" si="121"/>
        <v>0</v>
      </c>
      <c r="P127" s="241">
        <f>E127+J127</f>
        <v>100040</v>
      </c>
    </row>
    <row r="128" spans="1:16" s="37" customFormat="1" ht="48" thickTop="1" thickBot="1" x14ac:dyDescent="0.25">
      <c r="A128" s="353" t="s">
        <v>902</v>
      </c>
      <c r="B128" s="353" t="s">
        <v>903</v>
      </c>
      <c r="C128" s="353"/>
      <c r="D128" s="353" t="s">
        <v>904</v>
      </c>
      <c r="E128" s="354">
        <f>SUM(E129:E130)</f>
        <v>38099435</v>
      </c>
      <c r="F128" s="354">
        <f t="shared" ref="F128:P128" si="137">SUM(F129:F130)</f>
        <v>38099435</v>
      </c>
      <c r="G128" s="354">
        <f t="shared" si="137"/>
        <v>4244615</v>
      </c>
      <c r="H128" s="354">
        <f t="shared" si="137"/>
        <v>490327</v>
      </c>
      <c r="I128" s="354">
        <f t="shared" si="137"/>
        <v>0</v>
      </c>
      <c r="J128" s="354">
        <f t="shared" si="137"/>
        <v>781340</v>
      </c>
      <c r="K128" s="354">
        <f t="shared" si="137"/>
        <v>636340</v>
      </c>
      <c r="L128" s="354">
        <f t="shared" si="137"/>
        <v>145000</v>
      </c>
      <c r="M128" s="354">
        <f t="shared" si="137"/>
        <v>4000</v>
      </c>
      <c r="N128" s="354">
        <f t="shared" si="137"/>
        <v>134000</v>
      </c>
      <c r="O128" s="354">
        <f t="shared" si="137"/>
        <v>636340</v>
      </c>
      <c r="P128" s="354">
        <f t="shared" si="137"/>
        <v>38880775</v>
      </c>
    </row>
    <row r="129" spans="1:16" ht="184.5" thickTop="1" thickBot="1" x14ac:dyDescent="0.25">
      <c r="A129" s="200" t="s">
        <v>354</v>
      </c>
      <c r="B129" s="200" t="s">
        <v>356</v>
      </c>
      <c r="C129" s="200" t="s">
        <v>212</v>
      </c>
      <c r="D129" s="259" t="s">
        <v>358</v>
      </c>
      <c r="E129" s="252">
        <f t="shared" si="122"/>
        <v>7868312</v>
      </c>
      <c r="F129" s="242">
        <f>9000+5940+6350+((8173362-388340)+17000+45000)</f>
        <v>7868312</v>
      </c>
      <c r="G129" s="148">
        <f>(1948670+2295945)</f>
        <v>4244615</v>
      </c>
      <c r="H129" s="148">
        <f>(245557+131600+6000+27000+40000+39000+1170)</f>
        <v>490327</v>
      </c>
      <c r="I129" s="242"/>
      <c r="J129" s="241">
        <f t="shared" ref="J129:J140" si="138">L129+O129</f>
        <v>631340</v>
      </c>
      <c r="K129" s="242">
        <f>98000+((72894+138259+40788+136399))</f>
        <v>486340</v>
      </c>
      <c r="L129" s="242">
        <f>(4000+900+6100+23000+65000+45000+1000)</f>
        <v>145000</v>
      </c>
      <c r="M129" s="242">
        <v>4000</v>
      </c>
      <c r="N129" s="242">
        <f>(23000+65000+45000+1000)</f>
        <v>134000</v>
      </c>
      <c r="O129" s="243">
        <f t="shared" ref="O129:O140" si="139">K129</f>
        <v>486340</v>
      </c>
      <c r="P129" s="241">
        <f t="shared" ref="P129:P140" si="140">E129+J129</f>
        <v>8499652</v>
      </c>
    </row>
    <row r="130" spans="1:16" ht="138.75" thickTop="1" thickBot="1" x14ac:dyDescent="0.25">
      <c r="A130" s="200" t="s">
        <v>355</v>
      </c>
      <c r="B130" s="200" t="s">
        <v>357</v>
      </c>
      <c r="C130" s="200" t="s">
        <v>212</v>
      </c>
      <c r="D130" s="259" t="s">
        <v>359</v>
      </c>
      <c r="E130" s="241">
        <f t="shared" si="122"/>
        <v>30231123</v>
      </c>
      <c r="F130" s="242">
        <f>2000000+400000+52000+((27403151)+44000+81972+200000+50000)</f>
        <v>30231123</v>
      </c>
      <c r="G130" s="242"/>
      <c r="H130" s="242"/>
      <c r="I130" s="242"/>
      <c r="J130" s="241">
        <f t="shared" si="138"/>
        <v>150000</v>
      </c>
      <c r="K130" s="242">
        <v>150000</v>
      </c>
      <c r="L130" s="242"/>
      <c r="M130" s="242"/>
      <c r="N130" s="242"/>
      <c r="O130" s="243">
        <f t="shared" si="139"/>
        <v>150000</v>
      </c>
      <c r="P130" s="241">
        <f t="shared" si="140"/>
        <v>30381123</v>
      </c>
    </row>
    <row r="131" spans="1:16" s="306" customFormat="1" ht="91.5" thickTop="1" thickBot="1" x14ac:dyDescent="0.25">
      <c r="A131" s="152" t="s">
        <v>905</v>
      </c>
      <c r="B131" s="152" t="s">
        <v>906</v>
      </c>
      <c r="C131" s="152"/>
      <c r="D131" s="356" t="s">
        <v>907</v>
      </c>
      <c r="E131" s="309">
        <f>SUM(E132)</f>
        <v>0</v>
      </c>
      <c r="F131" s="309">
        <f t="shared" ref="F131:P132" si="141">SUM(F132)</f>
        <v>0</v>
      </c>
      <c r="G131" s="309">
        <f t="shared" si="141"/>
        <v>0</v>
      </c>
      <c r="H131" s="309">
        <f t="shared" si="141"/>
        <v>0</v>
      </c>
      <c r="I131" s="309">
        <f t="shared" si="141"/>
        <v>0</v>
      </c>
      <c r="J131" s="309">
        <f t="shared" si="141"/>
        <v>4000000</v>
      </c>
      <c r="K131" s="309">
        <f t="shared" si="141"/>
        <v>4000000</v>
      </c>
      <c r="L131" s="309">
        <f t="shared" si="141"/>
        <v>0</v>
      </c>
      <c r="M131" s="309">
        <f t="shared" si="141"/>
        <v>0</v>
      </c>
      <c r="N131" s="309">
        <f t="shared" si="141"/>
        <v>0</v>
      </c>
      <c r="O131" s="309">
        <f t="shared" si="141"/>
        <v>4000000</v>
      </c>
      <c r="P131" s="309">
        <f t="shared" si="141"/>
        <v>4000000</v>
      </c>
    </row>
    <row r="132" spans="1:16" s="37" customFormat="1" ht="93" thickTop="1" thickBot="1" x14ac:dyDescent="0.25">
      <c r="A132" s="353" t="s">
        <v>908</v>
      </c>
      <c r="B132" s="353" t="s">
        <v>909</v>
      </c>
      <c r="C132" s="353"/>
      <c r="D132" s="358" t="s">
        <v>910</v>
      </c>
      <c r="E132" s="354">
        <f>SUM(E133)</f>
        <v>0</v>
      </c>
      <c r="F132" s="354">
        <f t="shared" si="141"/>
        <v>0</v>
      </c>
      <c r="G132" s="354">
        <f t="shared" si="141"/>
        <v>0</v>
      </c>
      <c r="H132" s="354">
        <f t="shared" si="141"/>
        <v>0</v>
      </c>
      <c r="I132" s="354">
        <f t="shared" si="141"/>
        <v>0</v>
      </c>
      <c r="J132" s="354">
        <f t="shared" si="141"/>
        <v>4000000</v>
      </c>
      <c r="K132" s="354">
        <f t="shared" si="141"/>
        <v>4000000</v>
      </c>
      <c r="L132" s="354">
        <f t="shared" si="141"/>
        <v>0</v>
      </c>
      <c r="M132" s="354">
        <f t="shared" si="141"/>
        <v>0</v>
      </c>
      <c r="N132" s="354">
        <f t="shared" si="141"/>
        <v>0</v>
      </c>
      <c r="O132" s="354">
        <f t="shared" si="141"/>
        <v>4000000</v>
      </c>
      <c r="P132" s="354">
        <f t="shared" si="141"/>
        <v>4000000</v>
      </c>
    </row>
    <row r="133" spans="1:16" ht="138.75" thickTop="1" thickBot="1" x14ac:dyDescent="0.25">
      <c r="A133" s="200" t="s">
        <v>395</v>
      </c>
      <c r="B133" s="200" t="s">
        <v>393</v>
      </c>
      <c r="C133" s="200" t="s">
        <v>367</v>
      </c>
      <c r="D133" s="259" t="s">
        <v>394</v>
      </c>
      <c r="E133" s="241">
        <f t="shared" si="122"/>
        <v>0</v>
      </c>
      <c r="F133" s="242"/>
      <c r="G133" s="242"/>
      <c r="H133" s="242"/>
      <c r="I133" s="242"/>
      <c r="J133" s="241">
        <f t="shared" si="138"/>
        <v>4000000</v>
      </c>
      <c r="K133" s="242">
        <v>4000000</v>
      </c>
      <c r="L133" s="242"/>
      <c r="M133" s="242"/>
      <c r="N133" s="242"/>
      <c r="O133" s="243">
        <f t="shared" si="139"/>
        <v>4000000</v>
      </c>
      <c r="P133" s="241">
        <f t="shared" si="140"/>
        <v>4000000</v>
      </c>
    </row>
    <row r="134" spans="1:16" s="306" customFormat="1" ht="47.25" thickTop="1" thickBot="1" x14ac:dyDescent="0.25">
      <c r="A134" s="360" t="s">
        <v>915</v>
      </c>
      <c r="B134" s="359" t="s">
        <v>912</v>
      </c>
      <c r="C134" s="359"/>
      <c r="D134" s="359" t="s">
        <v>913</v>
      </c>
      <c r="E134" s="309">
        <f t="shared" ref="E134:P134" si="142">E138+E135</f>
        <v>0</v>
      </c>
      <c r="F134" s="488">
        <f t="shared" si="142"/>
        <v>0</v>
      </c>
      <c r="G134" s="488">
        <f t="shared" si="142"/>
        <v>0</v>
      </c>
      <c r="H134" s="488">
        <f t="shared" si="142"/>
        <v>0</v>
      </c>
      <c r="I134" s="488">
        <f t="shared" si="142"/>
        <v>0</v>
      </c>
      <c r="J134" s="488">
        <f t="shared" si="142"/>
        <v>542000</v>
      </c>
      <c r="K134" s="488">
        <f t="shared" si="142"/>
        <v>220000</v>
      </c>
      <c r="L134" s="488">
        <f t="shared" si="142"/>
        <v>322000</v>
      </c>
      <c r="M134" s="488">
        <f t="shared" si="142"/>
        <v>0</v>
      </c>
      <c r="N134" s="488">
        <f t="shared" si="142"/>
        <v>0</v>
      </c>
      <c r="O134" s="488">
        <f t="shared" si="142"/>
        <v>220000</v>
      </c>
      <c r="P134" s="488">
        <f t="shared" si="142"/>
        <v>542000</v>
      </c>
    </row>
    <row r="135" spans="1:16" s="485" customFormat="1" ht="91.5" thickTop="1" thickBot="1" x14ac:dyDescent="0.25">
      <c r="A135" s="319" t="s">
        <v>1149</v>
      </c>
      <c r="B135" s="320" t="s">
        <v>968</v>
      </c>
      <c r="C135" s="320"/>
      <c r="D135" s="320" t="s">
        <v>969</v>
      </c>
      <c r="E135" s="355">
        <f>E136</f>
        <v>0</v>
      </c>
      <c r="F135" s="355">
        <f t="shared" ref="F135:P139" si="143">F136</f>
        <v>0</v>
      </c>
      <c r="G135" s="355">
        <f t="shared" si="143"/>
        <v>0</v>
      </c>
      <c r="H135" s="355">
        <f t="shared" si="143"/>
        <v>0</v>
      </c>
      <c r="I135" s="355">
        <f t="shared" si="143"/>
        <v>0</v>
      </c>
      <c r="J135" s="355">
        <f t="shared" si="143"/>
        <v>220000</v>
      </c>
      <c r="K135" s="355">
        <f t="shared" si="143"/>
        <v>220000</v>
      </c>
      <c r="L135" s="355">
        <f t="shared" si="143"/>
        <v>0</v>
      </c>
      <c r="M135" s="355">
        <f t="shared" si="143"/>
        <v>0</v>
      </c>
      <c r="N135" s="355">
        <f t="shared" si="143"/>
        <v>0</v>
      </c>
      <c r="O135" s="355">
        <f t="shared" si="143"/>
        <v>220000</v>
      </c>
      <c r="P135" s="355">
        <f t="shared" si="143"/>
        <v>220000</v>
      </c>
    </row>
    <row r="136" spans="1:16" s="485" customFormat="1" ht="146.25" thickTop="1" thickBot="1" x14ac:dyDescent="0.25">
      <c r="A136" s="287" t="s">
        <v>1145</v>
      </c>
      <c r="B136" s="287" t="s">
        <v>987</v>
      </c>
      <c r="C136" s="287"/>
      <c r="D136" s="287" t="s">
        <v>988</v>
      </c>
      <c r="E136" s="289">
        <f>E137</f>
        <v>0</v>
      </c>
      <c r="F136" s="289">
        <f t="shared" si="143"/>
        <v>0</v>
      </c>
      <c r="G136" s="289">
        <f t="shared" si="143"/>
        <v>0</v>
      </c>
      <c r="H136" s="289">
        <f t="shared" si="143"/>
        <v>0</v>
      </c>
      <c r="I136" s="289">
        <f t="shared" si="143"/>
        <v>0</v>
      </c>
      <c r="J136" s="289">
        <f t="shared" si="143"/>
        <v>220000</v>
      </c>
      <c r="K136" s="289">
        <f t="shared" si="143"/>
        <v>220000</v>
      </c>
      <c r="L136" s="289">
        <f t="shared" si="143"/>
        <v>0</v>
      </c>
      <c r="M136" s="289">
        <f t="shared" si="143"/>
        <v>0</v>
      </c>
      <c r="N136" s="289">
        <f t="shared" si="143"/>
        <v>0</v>
      </c>
      <c r="O136" s="289">
        <f t="shared" si="143"/>
        <v>220000</v>
      </c>
      <c r="P136" s="289">
        <f t="shared" si="143"/>
        <v>220000</v>
      </c>
    </row>
    <row r="137" spans="1:16" s="485" customFormat="1" ht="99.75" thickTop="1" thickBot="1" x14ac:dyDescent="0.25">
      <c r="A137" s="491" t="s">
        <v>1146</v>
      </c>
      <c r="B137" s="491" t="s">
        <v>1147</v>
      </c>
      <c r="C137" s="491" t="s">
        <v>326</v>
      </c>
      <c r="D137" s="491" t="s">
        <v>1148</v>
      </c>
      <c r="E137" s="492">
        <f>E138</f>
        <v>0</v>
      </c>
      <c r="F137" s="233"/>
      <c r="G137" s="233"/>
      <c r="H137" s="233"/>
      <c r="I137" s="233"/>
      <c r="J137" s="492">
        <f>L137+O137</f>
        <v>220000</v>
      </c>
      <c r="K137" s="233">
        <f>180000+40000</f>
        <v>220000</v>
      </c>
      <c r="L137" s="233"/>
      <c r="M137" s="233"/>
      <c r="N137" s="233"/>
      <c r="O137" s="489">
        <f>K137</f>
        <v>220000</v>
      </c>
      <c r="P137" s="492">
        <f>E137+J137</f>
        <v>220000</v>
      </c>
    </row>
    <row r="138" spans="1:16" s="306" customFormat="1" ht="136.5" thickTop="1" thickBot="1" x14ac:dyDescent="0.25">
      <c r="A138" s="319" t="s">
        <v>917</v>
      </c>
      <c r="B138" s="320" t="s">
        <v>851</v>
      </c>
      <c r="C138" s="320"/>
      <c r="D138" s="320" t="s">
        <v>849</v>
      </c>
      <c r="E138" s="355">
        <f>E139</f>
        <v>0</v>
      </c>
      <c r="F138" s="355">
        <f t="shared" si="143"/>
        <v>0</v>
      </c>
      <c r="G138" s="355">
        <f t="shared" si="143"/>
        <v>0</v>
      </c>
      <c r="H138" s="355">
        <f t="shared" si="143"/>
        <v>0</v>
      </c>
      <c r="I138" s="355">
        <f t="shared" si="143"/>
        <v>0</v>
      </c>
      <c r="J138" s="355">
        <f t="shared" si="143"/>
        <v>322000</v>
      </c>
      <c r="K138" s="355">
        <f t="shared" si="143"/>
        <v>0</v>
      </c>
      <c r="L138" s="355">
        <f t="shared" si="143"/>
        <v>322000</v>
      </c>
      <c r="M138" s="355">
        <f t="shared" si="143"/>
        <v>0</v>
      </c>
      <c r="N138" s="355">
        <f t="shared" si="143"/>
        <v>0</v>
      </c>
      <c r="O138" s="355">
        <f t="shared" si="143"/>
        <v>0</v>
      </c>
      <c r="P138" s="355">
        <f t="shared" si="143"/>
        <v>322000</v>
      </c>
    </row>
    <row r="139" spans="1:16" s="306" customFormat="1" ht="48" thickTop="1" thickBot="1" x14ac:dyDescent="0.25">
      <c r="A139" s="318" t="s">
        <v>916</v>
      </c>
      <c r="B139" s="318" t="s">
        <v>854</v>
      </c>
      <c r="C139" s="318"/>
      <c r="D139" s="358" t="s">
        <v>852</v>
      </c>
      <c r="E139" s="354">
        <f>E140</f>
        <v>0</v>
      </c>
      <c r="F139" s="354">
        <f t="shared" si="143"/>
        <v>0</v>
      </c>
      <c r="G139" s="354">
        <f t="shared" si="143"/>
        <v>0</v>
      </c>
      <c r="H139" s="354">
        <f t="shared" si="143"/>
        <v>0</v>
      </c>
      <c r="I139" s="354">
        <f t="shared" si="143"/>
        <v>0</v>
      </c>
      <c r="J139" s="354">
        <f t="shared" si="143"/>
        <v>322000</v>
      </c>
      <c r="K139" s="354">
        <f t="shared" si="143"/>
        <v>0</v>
      </c>
      <c r="L139" s="354">
        <f t="shared" si="143"/>
        <v>322000</v>
      </c>
      <c r="M139" s="354">
        <f t="shared" si="143"/>
        <v>0</v>
      </c>
      <c r="N139" s="354">
        <f t="shared" si="143"/>
        <v>0</v>
      </c>
      <c r="O139" s="354">
        <f t="shared" si="143"/>
        <v>0</v>
      </c>
      <c r="P139" s="354">
        <f t="shared" si="143"/>
        <v>322000</v>
      </c>
    </row>
    <row r="140" spans="1:16" ht="409.6" thickTop="1" thickBot="1" x14ac:dyDescent="0.7">
      <c r="A140" s="783" t="s">
        <v>453</v>
      </c>
      <c r="B140" s="783" t="s">
        <v>365</v>
      </c>
      <c r="C140" s="783" t="s">
        <v>187</v>
      </c>
      <c r="D140" s="246" t="s">
        <v>475</v>
      </c>
      <c r="E140" s="786">
        <f t="shared" si="122"/>
        <v>0</v>
      </c>
      <c r="F140" s="781"/>
      <c r="G140" s="781"/>
      <c r="H140" s="781"/>
      <c r="I140" s="781"/>
      <c r="J140" s="786">
        <f t="shared" si="138"/>
        <v>322000</v>
      </c>
      <c r="K140" s="781"/>
      <c r="L140" s="781">
        <v>322000</v>
      </c>
      <c r="M140" s="781"/>
      <c r="N140" s="781"/>
      <c r="O140" s="792">
        <f t="shared" si="139"/>
        <v>0</v>
      </c>
      <c r="P140" s="794">
        <f t="shared" si="140"/>
        <v>322000</v>
      </c>
    </row>
    <row r="141" spans="1:16" ht="184.5" thickTop="1" thickBot="1" x14ac:dyDescent="0.25">
      <c r="A141" s="784"/>
      <c r="B141" s="785"/>
      <c r="C141" s="784"/>
      <c r="D141" s="250" t="s">
        <v>476</v>
      </c>
      <c r="E141" s="784"/>
      <c r="F141" s="782"/>
      <c r="G141" s="782"/>
      <c r="H141" s="782"/>
      <c r="I141" s="782"/>
      <c r="J141" s="784"/>
      <c r="K141" s="784"/>
      <c r="L141" s="782"/>
      <c r="M141" s="782"/>
      <c r="N141" s="782"/>
      <c r="O141" s="793"/>
      <c r="P141" s="795"/>
    </row>
    <row r="142" spans="1:16" ht="181.5" thickTop="1" thickBot="1" x14ac:dyDescent="0.25">
      <c r="A142" s="691">
        <v>1000000</v>
      </c>
      <c r="B142" s="691"/>
      <c r="C142" s="691"/>
      <c r="D142" s="692" t="s">
        <v>24</v>
      </c>
      <c r="E142" s="693">
        <f>E143</f>
        <v>125674028</v>
      </c>
      <c r="F142" s="694">
        <f t="shared" ref="F142:G142" si="144">F143</f>
        <v>125674028</v>
      </c>
      <c r="G142" s="694">
        <f t="shared" si="144"/>
        <v>90762390</v>
      </c>
      <c r="H142" s="694">
        <f>H143</f>
        <v>3908556</v>
      </c>
      <c r="I142" s="694">
        <f>I143</f>
        <v>0</v>
      </c>
      <c r="J142" s="693">
        <f>J143</f>
        <v>17477025</v>
      </c>
      <c r="K142" s="694">
        <f>K143</f>
        <v>7646625</v>
      </c>
      <c r="L142" s="694">
        <f>L143</f>
        <v>9724400</v>
      </c>
      <c r="M142" s="694">
        <f t="shared" ref="M142" si="145">M143</f>
        <v>7345900</v>
      </c>
      <c r="N142" s="693">
        <f>N143</f>
        <v>257400</v>
      </c>
      <c r="O142" s="693">
        <f>O143</f>
        <v>7752625</v>
      </c>
      <c r="P142" s="694">
        <f t="shared" ref="P142" si="146">P143</f>
        <v>143151053</v>
      </c>
    </row>
    <row r="143" spans="1:16" ht="181.5" thickTop="1" thickBot="1" x14ac:dyDescent="0.25">
      <c r="A143" s="695">
        <v>1010000</v>
      </c>
      <c r="B143" s="695"/>
      <c r="C143" s="695"/>
      <c r="D143" s="696" t="s">
        <v>41</v>
      </c>
      <c r="E143" s="697">
        <f>E144+E146+E157+E154</f>
        <v>125674028</v>
      </c>
      <c r="F143" s="697">
        <f>F144+F146+F157+F154</f>
        <v>125674028</v>
      </c>
      <c r="G143" s="697">
        <f>G144+G146+G157+G154</f>
        <v>90762390</v>
      </c>
      <c r="H143" s="697">
        <f>H144+H146+H157+H154</f>
        <v>3908556</v>
      </c>
      <c r="I143" s="697">
        <f>I144+I146+I157+I154</f>
        <v>0</v>
      </c>
      <c r="J143" s="697">
        <f t="shared" ref="J143:J153" si="147">L143+O143</f>
        <v>17477025</v>
      </c>
      <c r="K143" s="697">
        <f>K144+K146+K157+K154</f>
        <v>7646625</v>
      </c>
      <c r="L143" s="697">
        <f>L144+L146+L157+L154</f>
        <v>9724400</v>
      </c>
      <c r="M143" s="697">
        <f>M144+M146+M157+M154</f>
        <v>7345900</v>
      </c>
      <c r="N143" s="697">
        <f>N144+N146+N157+N154</f>
        <v>257400</v>
      </c>
      <c r="O143" s="697">
        <f>O144+O146+O157+O154</f>
        <v>7752625</v>
      </c>
      <c r="P143" s="698">
        <f t="shared" ref="P143:P153" si="148">E143+J143</f>
        <v>143151053</v>
      </c>
    </row>
    <row r="144" spans="1:16" s="306" customFormat="1" ht="47.25" thickTop="1" thickBot="1" x14ac:dyDescent="0.25">
      <c r="A144" s="360" t="s">
        <v>918</v>
      </c>
      <c r="B144" s="360" t="s">
        <v>868</v>
      </c>
      <c r="C144" s="360"/>
      <c r="D144" s="360" t="s">
        <v>869</v>
      </c>
      <c r="E144" s="307">
        <f>E145</f>
        <v>69368356</v>
      </c>
      <c r="F144" s="307">
        <f t="shared" ref="F144:P144" si="149">F145</f>
        <v>69368356</v>
      </c>
      <c r="G144" s="307">
        <f t="shared" si="149"/>
        <v>54485440</v>
      </c>
      <c r="H144" s="307">
        <f t="shared" si="149"/>
        <v>2249246</v>
      </c>
      <c r="I144" s="307">
        <f t="shared" si="149"/>
        <v>0</v>
      </c>
      <c r="J144" s="307">
        <f t="shared" si="149"/>
        <v>10111100</v>
      </c>
      <c r="K144" s="307">
        <f t="shared" si="149"/>
        <v>1049000</v>
      </c>
      <c r="L144" s="307">
        <f t="shared" si="149"/>
        <v>9029100</v>
      </c>
      <c r="M144" s="307">
        <f t="shared" si="149"/>
        <v>6977500</v>
      </c>
      <c r="N144" s="307">
        <f t="shared" si="149"/>
        <v>190100</v>
      </c>
      <c r="O144" s="307">
        <f t="shared" si="149"/>
        <v>1082000</v>
      </c>
      <c r="P144" s="307">
        <f t="shared" si="149"/>
        <v>79479456</v>
      </c>
    </row>
    <row r="145" spans="1:16" ht="93" thickTop="1" thickBot="1" x14ac:dyDescent="0.25">
      <c r="A145" s="254" t="s">
        <v>795</v>
      </c>
      <c r="B145" s="254" t="s">
        <v>796</v>
      </c>
      <c r="C145" s="254" t="s">
        <v>202</v>
      </c>
      <c r="D145" s="254" t="s">
        <v>548</v>
      </c>
      <c r="E145" s="252">
        <f>F145</f>
        <v>69368356</v>
      </c>
      <c r="F145" s="233">
        <f>320540+76800+1220+13+198+(54164900+11916270+176295+394855+51550+1849900+30235+235500+100600+31580+17900)</f>
        <v>69368356</v>
      </c>
      <c r="G145" s="233">
        <f>(54164900)+320540</f>
        <v>54485440</v>
      </c>
      <c r="H145" s="233">
        <f>(1849900+30235+235500+100600+31580)+1220+13+198</f>
        <v>2249246</v>
      </c>
      <c r="I145" s="233"/>
      <c r="J145" s="252">
        <f t="shared" si="147"/>
        <v>10111100</v>
      </c>
      <c r="K145" s="233">
        <f>(1000000)+49000</f>
        <v>1049000</v>
      </c>
      <c r="L145" s="233">
        <f>(6977500+1530200+218650+101550+5500+190100+4000+1600)</f>
        <v>9029100</v>
      </c>
      <c r="M145" s="233">
        <v>6977500</v>
      </c>
      <c r="N145" s="233">
        <f>(160400+4900+18800+6000)</f>
        <v>190100</v>
      </c>
      <c r="O145" s="253">
        <f>K145+33000</f>
        <v>1082000</v>
      </c>
      <c r="P145" s="252">
        <f t="shared" si="148"/>
        <v>79479456</v>
      </c>
    </row>
    <row r="146" spans="1:16" s="2" customFormat="1" ht="47.25" thickTop="1" thickBot="1" x14ac:dyDescent="0.25">
      <c r="A146" s="360" t="s">
        <v>919</v>
      </c>
      <c r="B146" s="360" t="s">
        <v>920</v>
      </c>
      <c r="C146" s="360"/>
      <c r="D146" s="360" t="s">
        <v>921</v>
      </c>
      <c r="E146" s="307">
        <f>SUM(E147:E153)-E151</f>
        <v>55747535</v>
      </c>
      <c r="F146" s="307">
        <f t="shared" ref="F146:P146" si="150">SUM(F147:F153)-F151</f>
        <v>55747535</v>
      </c>
      <c r="G146" s="307">
        <f t="shared" si="150"/>
        <v>36276950</v>
      </c>
      <c r="H146" s="307">
        <f t="shared" si="150"/>
        <v>1659310</v>
      </c>
      <c r="I146" s="307">
        <f t="shared" si="150"/>
        <v>0</v>
      </c>
      <c r="J146" s="307">
        <f t="shared" si="150"/>
        <v>7065925</v>
      </c>
      <c r="K146" s="307">
        <f t="shared" si="150"/>
        <v>6297625</v>
      </c>
      <c r="L146" s="307">
        <f t="shared" si="150"/>
        <v>695300</v>
      </c>
      <c r="M146" s="307">
        <f t="shared" si="150"/>
        <v>368400</v>
      </c>
      <c r="N146" s="307">
        <f t="shared" si="150"/>
        <v>67300</v>
      </c>
      <c r="O146" s="307">
        <f t="shared" si="150"/>
        <v>6370625</v>
      </c>
      <c r="P146" s="307">
        <f t="shared" si="150"/>
        <v>62813460</v>
      </c>
    </row>
    <row r="147" spans="1:16" ht="48" thickTop="1" thickBot="1" x14ac:dyDescent="0.25">
      <c r="A147" s="254" t="s">
        <v>188</v>
      </c>
      <c r="B147" s="254" t="s">
        <v>189</v>
      </c>
      <c r="C147" s="254" t="s">
        <v>191</v>
      </c>
      <c r="D147" s="254" t="s">
        <v>192</v>
      </c>
      <c r="E147" s="252">
        <f t="shared" ref="E147:E150" si="151">F147</f>
        <v>1030790</v>
      </c>
      <c r="F147" s="233">
        <f>(964300)+66490</f>
        <v>1030790</v>
      </c>
      <c r="G147" s="233"/>
      <c r="H147" s="233"/>
      <c r="I147" s="233"/>
      <c r="J147" s="252">
        <f t="shared" si="147"/>
        <v>0</v>
      </c>
      <c r="K147" s="233"/>
      <c r="L147" s="233"/>
      <c r="M147" s="233"/>
      <c r="N147" s="233"/>
      <c r="O147" s="253">
        <f t="shared" ref="O147:O153" si="152">K147</f>
        <v>0</v>
      </c>
      <c r="P147" s="252">
        <f t="shared" si="148"/>
        <v>1030790</v>
      </c>
    </row>
    <row r="148" spans="1:16" ht="93" thickTop="1" thickBot="1" x14ac:dyDescent="0.25">
      <c r="A148" s="254" t="s">
        <v>193</v>
      </c>
      <c r="B148" s="254" t="s">
        <v>194</v>
      </c>
      <c r="C148" s="254" t="s">
        <v>195</v>
      </c>
      <c r="D148" s="254" t="s">
        <v>196</v>
      </c>
      <c r="E148" s="252">
        <f t="shared" si="151"/>
        <v>13805895</v>
      </c>
      <c r="F148" s="233">
        <f>49500+((10344300+2275745+143250+311400+5000+399000+9000+108420+19500+19280+56000+55000)+10500)</f>
        <v>13805895</v>
      </c>
      <c r="G148" s="233">
        <v>10344300</v>
      </c>
      <c r="H148" s="233">
        <f>(399000+9000+108420+19500+19280)</f>
        <v>555200</v>
      </c>
      <c r="I148" s="233"/>
      <c r="J148" s="252">
        <f t="shared" si="147"/>
        <v>1050000</v>
      </c>
      <c r="K148" s="233">
        <f>(10000+84000+28000+67000)+766000</f>
        <v>955000</v>
      </c>
      <c r="L148" s="233">
        <f>(15600+4400+29500+26200+19000+300)</f>
        <v>95000</v>
      </c>
      <c r="M148" s="233">
        <v>15600</v>
      </c>
      <c r="N148" s="233">
        <f>(17500+500+1000)</f>
        <v>19000</v>
      </c>
      <c r="O148" s="253">
        <f t="shared" si="152"/>
        <v>955000</v>
      </c>
      <c r="P148" s="252">
        <f t="shared" si="148"/>
        <v>14855895</v>
      </c>
    </row>
    <row r="149" spans="1:16" ht="93" thickTop="1" thickBot="1" x14ac:dyDescent="0.25">
      <c r="A149" s="254" t="s">
        <v>197</v>
      </c>
      <c r="B149" s="254" t="s">
        <v>198</v>
      </c>
      <c r="C149" s="254" t="s">
        <v>195</v>
      </c>
      <c r="D149" s="254" t="s">
        <v>502</v>
      </c>
      <c r="E149" s="252">
        <f t="shared" si="151"/>
        <v>1856955</v>
      </c>
      <c r="F149" s="233">
        <f>(1328500+292270+14055+20330+139800+4305+53715+3980)</f>
        <v>1856955</v>
      </c>
      <c r="G149" s="233">
        <v>1328500</v>
      </c>
      <c r="H149" s="233">
        <f>(139800+4305+53715+3980)</f>
        <v>201800</v>
      </c>
      <c r="I149" s="233"/>
      <c r="J149" s="252">
        <f t="shared" si="147"/>
        <v>5245100</v>
      </c>
      <c r="K149" s="233">
        <f>(3000000)+2000000+14900+150000</f>
        <v>5164900</v>
      </c>
      <c r="L149" s="233">
        <f>(8100+1900+35800+27700+5700+1000)</f>
        <v>80200</v>
      </c>
      <c r="M149" s="233">
        <v>8100</v>
      </c>
      <c r="N149" s="233">
        <f>(3800+400+1500)</f>
        <v>5700</v>
      </c>
      <c r="O149" s="253">
        <f t="shared" si="152"/>
        <v>5164900</v>
      </c>
      <c r="P149" s="252">
        <f t="shared" si="148"/>
        <v>7102055</v>
      </c>
    </row>
    <row r="150" spans="1:16" ht="184.5" thickTop="1" thickBot="1" x14ac:dyDescent="0.25">
      <c r="A150" s="254" t="s">
        <v>199</v>
      </c>
      <c r="B150" s="254" t="s">
        <v>190</v>
      </c>
      <c r="C150" s="254" t="s">
        <v>200</v>
      </c>
      <c r="D150" s="254" t="s">
        <v>201</v>
      </c>
      <c r="E150" s="252">
        <f t="shared" si="151"/>
        <v>13555465</v>
      </c>
      <c r="F150" s="233">
        <f>39000+8550+15000+((8640350+1900875+330000+342570+7900+428200+11375+288695+93120+37570+3760+24800)+7500+7000+1122300+246900)</f>
        <v>13555465</v>
      </c>
      <c r="G150" s="233">
        <f>39000+((8640350)+1122300)</f>
        <v>9801650</v>
      </c>
      <c r="H150" s="233">
        <f>(428200+11375+288695+93120+37570)</f>
        <v>858960</v>
      </c>
      <c r="I150" s="233"/>
      <c r="J150" s="252">
        <f t="shared" si="147"/>
        <v>602200</v>
      </c>
      <c r="K150" s="233">
        <f>(124500)+16500+5100</f>
        <v>146100</v>
      </c>
      <c r="L150" s="233">
        <f>(334300+73600+5500+42600+100)</f>
        <v>456100</v>
      </c>
      <c r="M150" s="233">
        <v>334300</v>
      </c>
      <c r="N150" s="233">
        <f>(32600+800+9200)</f>
        <v>42600</v>
      </c>
      <c r="O150" s="253">
        <f>K150</f>
        <v>146100</v>
      </c>
      <c r="P150" s="252">
        <f t="shared" si="148"/>
        <v>14157665</v>
      </c>
    </row>
    <row r="151" spans="1:16" s="306" customFormat="1" ht="93" thickTop="1" thickBot="1" x14ac:dyDescent="0.25">
      <c r="A151" s="287" t="s">
        <v>922</v>
      </c>
      <c r="B151" s="287" t="s">
        <v>923</v>
      </c>
      <c r="C151" s="287"/>
      <c r="D151" s="287" t="s">
        <v>924</v>
      </c>
      <c r="E151" s="289">
        <f>SUM(E152:E153)</f>
        <v>25498430</v>
      </c>
      <c r="F151" s="289">
        <f t="shared" ref="F151:P151" si="153">SUM(F152:F153)</f>
        <v>25498430</v>
      </c>
      <c r="G151" s="289">
        <f t="shared" si="153"/>
        <v>14802500</v>
      </c>
      <c r="H151" s="289">
        <f t="shared" si="153"/>
        <v>43350</v>
      </c>
      <c r="I151" s="289">
        <f t="shared" si="153"/>
        <v>0</v>
      </c>
      <c r="J151" s="289">
        <f t="shared" si="153"/>
        <v>168625</v>
      </c>
      <c r="K151" s="289">
        <f t="shared" si="153"/>
        <v>31625</v>
      </c>
      <c r="L151" s="289">
        <f t="shared" si="153"/>
        <v>64000</v>
      </c>
      <c r="M151" s="289">
        <f t="shared" si="153"/>
        <v>10400</v>
      </c>
      <c r="N151" s="289">
        <f t="shared" si="153"/>
        <v>0</v>
      </c>
      <c r="O151" s="289">
        <f t="shared" si="153"/>
        <v>104625</v>
      </c>
      <c r="P151" s="289">
        <f t="shared" si="153"/>
        <v>25667055</v>
      </c>
    </row>
    <row r="152" spans="1:16" ht="138.75" thickTop="1" thickBot="1" x14ac:dyDescent="0.25">
      <c r="A152" s="254" t="s">
        <v>360</v>
      </c>
      <c r="B152" s="254" t="s">
        <v>361</v>
      </c>
      <c r="C152" s="254" t="s">
        <v>203</v>
      </c>
      <c r="D152" s="254" t="s">
        <v>503</v>
      </c>
      <c r="E152" s="252">
        <f>F152</f>
        <v>19182270</v>
      </c>
      <c r="F152" s="233">
        <f>(14802500+3256550+131640+99230+39000+3900+450+804000)+45000</f>
        <v>19182270</v>
      </c>
      <c r="G152" s="233">
        <v>14802500</v>
      </c>
      <c r="H152" s="233">
        <f>(39000+3900+450)</f>
        <v>43350</v>
      </c>
      <c r="I152" s="233"/>
      <c r="J152" s="252">
        <f t="shared" si="147"/>
        <v>168625</v>
      </c>
      <c r="K152" s="233">
        <v>31625</v>
      </c>
      <c r="L152" s="233">
        <f>(10400+2200+6000+45400)</f>
        <v>64000</v>
      </c>
      <c r="M152" s="233">
        <v>10400</v>
      </c>
      <c r="N152" s="233"/>
      <c r="O152" s="253">
        <f>K152+73000</f>
        <v>104625</v>
      </c>
      <c r="P152" s="252">
        <f t="shared" si="148"/>
        <v>19350895</v>
      </c>
    </row>
    <row r="153" spans="1:16" ht="93" thickTop="1" thickBot="1" x14ac:dyDescent="0.25">
      <c r="A153" s="254" t="s">
        <v>362</v>
      </c>
      <c r="B153" s="254" t="s">
        <v>363</v>
      </c>
      <c r="C153" s="254" t="s">
        <v>203</v>
      </c>
      <c r="D153" s="254" t="s">
        <v>504</v>
      </c>
      <c r="E153" s="252">
        <f>F153</f>
        <v>6316160</v>
      </c>
      <c r="F153" s="233">
        <f>(1195320+2805840+315000)+2000000</f>
        <v>6316160</v>
      </c>
      <c r="G153" s="233"/>
      <c r="H153" s="233"/>
      <c r="I153" s="233"/>
      <c r="J153" s="252">
        <f t="shared" si="147"/>
        <v>0</v>
      </c>
      <c r="K153" s="233"/>
      <c r="L153" s="233"/>
      <c r="M153" s="233"/>
      <c r="N153" s="233"/>
      <c r="O153" s="253">
        <f t="shared" si="152"/>
        <v>0</v>
      </c>
      <c r="P153" s="252">
        <f t="shared" si="148"/>
        <v>6316160</v>
      </c>
    </row>
    <row r="154" spans="1:16" s="449" customFormat="1" ht="47.25" thickTop="1" thickBot="1" x14ac:dyDescent="0.25">
      <c r="A154" s="360" t="s">
        <v>1127</v>
      </c>
      <c r="B154" s="359" t="s">
        <v>912</v>
      </c>
      <c r="C154" s="359"/>
      <c r="D154" s="359" t="s">
        <v>913</v>
      </c>
      <c r="E154" s="450">
        <f>SUM(E155)</f>
        <v>0</v>
      </c>
      <c r="F154" s="450">
        <f t="shared" ref="F154:P155" si="154">SUM(F155)</f>
        <v>0</v>
      </c>
      <c r="G154" s="450">
        <f t="shared" si="154"/>
        <v>0</v>
      </c>
      <c r="H154" s="450">
        <f t="shared" si="154"/>
        <v>0</v>
      </c>
      <c r="I154" s="450">
        <f t="shared" si="154"/>
        <v>0</v>
      </c>
      <c r="J154" s="450">
        <f t="shared" si="154"/>
        <v>300000</v>
      </c>
      <c r="K154" s="450">
        <f t="shared" si="154"/>
        <v>300000</v>
      </c>
      <c r="L154" s="450">
        <f t="shared" si="154"/>
        <v>0</v>
      </c>
      <c r="M154" s="450">
        <f t="shared" si="154"/>
        <v>0</v>
      </c>
      <c r="N154" s="450">
        <f t="shared" si="154"/>
        <v>0</v>
      </c>
      <c r="O154" s="450">
        <f t="shared" si="154"/>
        <v>300000</v>
      </c>
      <c r="P154" s="450">
        <f t="shared" si="154"/>
        <v>300000</v>
      </c>
    </row>
    <row r="155" spans="1:16" s="449" customFormat="1" ht="136.5" thickTop="1" thickBot="1" x14ac:dyDescent="0.25">
      <c r="A155" s="319" t="s">
        <v>1128</v>
      </c>
      <c r="B155" s="319" t="s">
        <v>851</v>
      </c>
      <c r="C155" s="319"/>
      <c r="D155" s="319" t="s">
        <v>849</v>
      </c>
      <c r="E155" s="288">
        <f>SUM(E156)</f>
        <v>0</v>
      </c>
      <c r="F155" s="288">
        <f t="shared" si="154"/>
        <v>0</v>
      </c>
      <c r="G155" s="288">
        <f t="shared" si="154"/>
        <v>0</v>
      </c>
      <c r="H155" s="288">
        <f t="shared" si="154"/>
        <v>0</v>
      </c>
      <c r="I155" s="288">
        <f t="shared" si="154"/>
        <v>0</v>
      </c>
      <c r="J155" s="288">
        <f t="shared" si="154"/>
        <v>300000</v>
      </c>
      <c r="K155" s="288">
        <f t="shared" si="154"/>
        <v>300000</v>
      </c>
      <c r="L155" s="288">
        <f t="shared" si="154"/>
        <v>0</v>
      </c>
      <c r="M155" s="288">
        <f t="shared" si="154"/>
        <v>0</v>
      </c>
      <c r="N155" s="288">
        <f t="shared" si="154"/>
        <v>0</v>
      </c>
      <c r="O155" s="288">
        <f t="shared" si="154"/>
        <v>300000</v>
      </c>
      <c r="P155" s="288">
        <f t="shared" si="154"/>
        <v>300000</v>
      </c>
    </row>
    <row r="156" spans="1:16" s="449" customFormat="1" ht="93" thickTop="1" thickBot="1" x14ac:dyDescent="0.25">
      <c r="A156" s="453" t="s">
        <v>1129</v>
      </c>
      <c r="B156" s="453" t="s">
        <v>218</v>
      </c>
      <c r="C156" s="453" t="s">
        <v>187</v>
      </c>
      <c r="D156" s="453" t="s">
        <v>36</v>
      </c>
      <c r="E156" s="450">
        <f t="shared" ref="E156" si="155">F156</f>
        <v>0</v>
      </c>
      <c r="F156" s="233"/>
      <c r="G156" s="233"/>
      <c r="H156" s="233"/>
      <c r="I156" s="233"/>
      <c r="J156" s="450">
        <f t="shared" ref="J156" si="156">L156+O156</f>
        <v>300000</v>
      </c>
      <c r="K156" s="233">
        <f>200000+100000</f>
        <v>300000</v>
      </c>
      <c r="L156" s="233"/>
      <c r="M156" s="233"/>
      <c r="N156" s="233"/>
      <c r="O156" s="452">
        <f t="shared" ref="O156" si="157">K156</f>
        <v>300000</v>
      </c>
      <c r="P156" s="450">
        <f t="shared" ref="P156" si="158">E156+J156</f>
        <v>300000</v>
      </c>
    </row>
    <row r="157" spans="1:16" s="306" customFormat="1" ht="47.25" thickTop="1" thickBot="1" x14ac:dyDescent="0.25">
      <c r="A157" s="360" t="s">
        <v>925</v>
      </c>
      <c r="B157" s="360" t="s">
        <v>862</v>
      </c>
      <c r="C157" s="360"/>
      <c r="D157" s="360" t="s">
        <v>863</v>
      </c>
      <c r="E157" s="307">
        <f>E158</f>
        <v>558137</v>
      </c>
      <c r="F157" s="307">
        <f t="shared" ref="F157:P158" si="159">F158</f>
        <v>558137</v>
      </c>
      <c r="G157" s="307">
        <f t="shared" si="159"/>
        <v>0</v>
      </c>
      <c r="H157" s="307">
        <f t="shared" si="159"/>
        <v>0</v>
      </c>
      <c r="I157" s="307">
        <f t="shared" si="159"/>
        <v>0</v>
      </c>
      <c r="J157" s="307">
        <f t="shared" si="159"/>
        <v>0</v>
      </c>
      <c r="K157" s="307">
        <f t="shared" si="159"/>
        <v>0</v>
      </c>
      <c r="L157" s="307">
        <f t="shared" si="159"/>
        <v>0</v>
      </c>
      <c r="M157" s="307">
        <f t="shared" si="159"/>
        <v>0</v>
      </c>
      <c r="N157" s="307">
        <f t="shared" si="159"/>
        <v>0</v>
      </c>
      <c r="O157" s="307">
        <f t="shared" si="159"/>
        <v>0</v>
      </c>
      <c r="P157" s="307">
        <f t="shared" si="159"/>
        <v>558137</v>
      </c>
    </row>
    <row r="158" spans="1:16" s="306" customFormat="1" ht="271.5" thickTop="1" thickBot="1" x14ac:dyDescent="0.25">
      <c r="A158" s="319" t="s">
        <v>926</v>
      </c>
      <c r="B158" s="319" t="s">
        <v>865</v>
      </c>
      <c r="C158" s="319"/>
      <c r="D158" s="319" t="s">
        <v>866</v>
      </c>
      <c r="E158" s="288">
        <f>E159</f>
        <v>558137</v>
      </c>
      <c r="F158" s="288">
        <f t="shared" si="159"/>
        <v>558137</v>
      </c>
      <c r="G158" s="288">
        <f t="shared" si="159"/>
        <v>0</v>
      </c>
      <c r="H158" s="288">
        <f t="shared" si="159"/>
        <v>0</v>
      </c>
      <c r="I158" s="288">
        <f t="shared" si="159"/>
        <v>0</v>
      </c>
      <c r="J158" s="288">
        <f t="shared" si="159"/>
        <v>0</v>
      </c>
      <c r="K158" s="288">
        <f t="shared" si="159"/>
        <v>0</v>
      </c>
      <c r="L158" s="288">
        <f t="shared" si="159"/>
        <v>0</v>
      </c>
      <c r="M158" s="288">
        <f t="shared" si="159"/>
        <v>0</v>
      </c>
      <c r="N158" s="288">
        <f t="shared" si="159"/>
        <v>0</v>
      </c>
      <c r="O158" s="288">
        <f t="shared" si="159"/>
        <v>0</v>
      </c>
      <c r="P158" s="288">
        <f t="shared" si="159"/>
        <v>558137</v>
      </c>
    </row>
    <row r="159" spans="1:16" s="172" customFormat="1" ht="93" thickTop="1" thickBot="1" x14ac:dyDescent="0.25">
      <c r="A159" s="254" t="s">
        <v>714</v>
      </c>
      <c r="B159" s="254" t="s">
        <v>391</v>
      </c>
      <c r="C159" s="254" t="s">
        <v>45</v>
      </c>
      <c r="D159" s="254" t="s">
        <v>392</v>
      </c>
      <c r="E159" s="252">
        <f t="shared" ref="E159" si="160">F159</f>
        <v>558137</v>
      </c>
      <c r="F159" s="233">
        <v>558137</v>
      </c>
      <c r="G159" s="233"/>
      <c r="H159" s="233"/>
      <c r="I159" s="233"/>
      <c r="J159" s="252">
        <f>L159+O159</f>
        <v>0</v>
      </c>
      <c r="K159" s="233"/>
      <c r="L159" s="233"/>
      <c r="M159" s="233"/>
      <c r="N159" s="233"/>
      <c r="O159" s="253">
        <f>K159</f>
        <v>0</v>
      </c>
      <c r="P159" s="252">
        <f>E159+J159</f>
        <v>558137</v>
      </c>
    </row>
    <row r="160" spans="1:16" ht="136.5" thickTop="1" thickBot="1" x14ac:dyDescent="0.25">
      <c r="A160" s="691" t="s">
        <v>22</v>
      </c>
      <c r="B160" s="691"/>
      <c r="C160" s="691"/>
      <c r="D160" s="692" t="s">
        <v>23</v>
      </c>
      <c r="E160" s="693">
        <f>E161</f>
        <v>94491048.530000001</v>
      </c>
      <c r="F160" s="694">
        <f t="shared" ref="F160:G160" si="161">F161</f>
        <v>94491048.530000001</v>
      </c>
      <c r="G160" s="694">
        <f t="shared" si="161"/>
        <v>42269095</v>
      </c>
      <c r="H160" s="694">
        <f>H161</f>
        <v>2293040</v>
      </c>
      <c r="I160" s="694">
        <f t="shared" ref="I160" si="162">I161</f>
        <v>0</v>
      </c>
      <c r="J160" s="693">
        <f>J161</f>
        <v>7374431</v>
      </c>
      <c r="K160" s="694">
        <f>K161</f>
        <v>5470186</v>
      </c>
      <c r="L160" s="694">
        <f>L161</f>
        <v>1894298</v>
      </c>
      <c r="M160" s="694">
        <f t="shared" ref="M160" si="163">M161</f>
        <v>880762</v>
      </c>
      <c r="N160" s="693">
        <f>N161</f>
        <v>290578</v>
      </c>
      <c r="O160" s="693">
        <f>O161</f>
        <v>5480133</v>
      </c>
      <c r="P160" s="694">
        <f t="shared" ref="P160" si="164">P161</f>
        <v>101865479.53</v>
      </c>
    </row>
    <row r="161" spans="1:16" ht="136.5" thickTop="1" thickBot="1" x14ac:dyDescent="0.25">
      <c r="A161" s="695" t="s">
        <v>21</v>
      </c>
      <c r="B161" s="695"/>
      <c r="C161" s="695"/>
      <c r="D161" s="696" t="s">
        <v>37</v>
      </c>
      <c r="E161" s="697">
        <f>E162+E168+E181+E184</f>
        <v>94491048.530000001</v>
      </c>
      <c r="F161" s="697">
        <f t="shared" ref="F161:I161" si="165">F162+F168+F181+F184</f>
        <v>94491048.530000001</v>
      </c>
      <c r="G161" s="697">
        <f t="shared" si="165"/>
        <v>42269095</v>
      </c>
      <c r="H161" s="697">
        <f t="shared" si="165"/>
        <v>2293040</v>
      </c>
      <c r="I161" s="697">
        <f t="shared" si="165"/>
        <v>0</v>
      </c>
      <c r="J161" s="697">
        <f>L161+O161</f>
        <v>7374431</v>
      </c>
      <c r="K161" s="697">
        <f t="shared" ref="K161:N161" si="166">K162+K168+K181+K184</f>
        <v>5470186</v>
      </c>
      <c r="L161" s="697">
        <f t="shared" si="166"/>
        <v>1894298</v>
      </c>
      <c r="M161" s="697">
        <f t="shared" si="166"/>
        <v>880762</v>
      </c>
      <c r="N161" s="697">
        <f t="shared" si="166"/>
        <v>290578</v>
      </c>
      <c r="O161" s="697">
        <f>O162+O168+O181+O184</f>
        <v>5480133</v>
      </c>
      <c r="P161" s="698">
        <f>E161+J161</f>
        <v>101865479.53</v>
      </c>
    </row>
    <row r="162" spans="1:16" s="306" customFormat="1" ht="91.5" thickTop="1" thickBot="1" x14ac:dyDescent="0.25">
      <c r="A162" s="360" t="s">
        <v>927</v>
      </c>
      <c r="B162" s="360" t="s">
        <v>871</v>
      </c>
      <c r="C162" s="360"/>
      <c r="D162" s="360" t="s">
        <v>872</v>
      </c>
      <c r="E162" s="364">
        <f>SUM(E163:E167)-E163-E165</f>
        <v>16783772</v>
      </c>
      <c r="F162" s="364">
        <f t="shared" ref="F162:P162" si="167">SUM(F163:F167)-F163-F165</f>
        <v>16783772</v>
      </c>
      <c r="G162" s="364">
        <f t="shared" si="167"/>
        <v>7871695</v>
      </c>
      <c r="H162" s="364">
        <f t="shared" si="167"/>
        <v>636305</v>
      </c>
      <c r="I162" s="364">
        <f t="shared" si="167"/>
        <v>0</v>
      </c>
      <c r="J162" s="364">
        <f t="shared" si="167"/>
        <v>1061957</v>
      </c>
      <c r="K162" s="364">
        <f t="shared" si="167"/>
        <v>733957</v>
      </c>
      <c r="L162" s="364">
        <f t="shared" si="167"/>
        <v>318053</v>
      </c>
      <c r="M162" s="364">
        <f t="shared" si="167"/>
        <v>175000</v>
      </c>
      <c r="N162" s="364">
        <f t="shared" si="167"/>
        <v>78200</v>
      </c>
      <c r="O162" s="364">
        <f t="shared" si="167"/>
        <v>743904</v>
      </c>
      <c r="P162" s="364">
        <f t="shared" si="167"/>
        <v>17845729</v>
      </c>
    </row>
    <row r="163" spans="1:16" s="37" customFormat="1" ht="138.75" thickTop="1" thickBot="1" x14ac:dyDescent="0.25">
      <c r="A163" s="287" t="s">
        <v>928</v>
      </c>
      <c r="B163" s="287" t="s">
        <v>929</v>
      </c>
      <c r="C163" s="287"/>
      <c r="D163" s="287" t="s">
        <v>930</v>
      </c>
      <c r="E163" s="361">
        <f>E164</f>
        <v>5308676</v>
      </c>
      <c r="F163" s="361">
        <f t="shared" ref="F163:P163" si="168">F164</f>
        <v>5308676</v>
      </c>
      <c r="G163" s="361">
        <f t="shared" si="168"/>
        <v>4125520</v>
      </c>
      <c r="H163" s="361">
        <f t="shared" si="168"/>
        <v>90420</v>
      </c>
      <c r="I163" s="361">
        <f t="shared" si="168"/>
        <v>0</v>
      </c>
      <c r="J163" s="361">
        <f t="shared" si="168"/>
        <v>0</v>
      </c>
      <c r="K163" s="361">
        <f t="shared" si="168"/>
        <v>0</v>
      </c>
      <c r="L163" s="361">
        <f t="shared" si="168"/>
        <v>0</v>
      </c>
      <c r="M163" s="361">
        <f t="shared" si="168"/>
        <v>0</v>
      </c>
      <c r="N163" s="361">
        <f t="shared" si="168"/>
        <v>0</v>
      </c>
      <c r="O163" s="361">
        <f t="shared" si="168"/>
        <v>0</v>
      </c>
      <c r="P163" s="361">
        <f t="shared" si="168"/>
        <v>5308676</v>
      </c>
    </row>
    <row r="164" spans="1:16" ht="138.75" thickTop="1" thickBot="1" x14ac:dyDescent="0.25">
      <c r="A164" s="254" t="s">
        <v>204</v>
      </c>
      <c r="B164" s="254" t="s">
        <v>205</v>
      </c>
      <c r="C164" s="254" t="s">
        <v>206</v>
      </c>
      <c r="D164" s="254" t="s">
        <v>797</v>
      </c>
      <c r="E164" s="244">
        <f t="shared" ref="E164:E179" si="169">F164</f>
        <v>5308676</v>
      </c>
      <c r="F164" s="148">
        <f>((4125520+907615+59600+79015+35280+49795+2585+34440+3600+2145)+3500)+3301+2280</f>
        <v>5308676</v>
      </c>
      <c r="G164" s="148">
        <v>4125520</v>
      </c>
      <c r="H164" s="148">
        <f>(49795+2585+34440+3600)</f>
        <v>90420</v>
      </c>
      <c r="I164" s="148"/>
      <c r="J164" s="252">
        <f t="shared" ref="J164:J186" si="170">L164+O164</f>
        <v>0</v>
      </c>
      <c r="K164" s="148"/>
      <c r="L164" s="149"/>
      <c r="M164" s="149"/>
      <c r="N164" s="149"/>
      <c r="O164" s="253">
        <f t="shared" ref="O164:O186" si="171">K164</f>
        <v>0</v>
      </c>
      <c r="P164" s="252">
        <f>+J164+E164</f>
        <v>5308676</v>
      </c>
    </row>
    <row r="165" spans="1:16" s="37" customFormat="1" ht="93" thickTop="1" thickBot="1" x14ac:dyDescent="0.25">
      <c r="A165" s="287" t="s">
        <v>931</v>
      </c>
      <c r="B165" s="287" t="s">
        <v>932</v>
      </c>
      <c r="C165" s="287"/>
      <c r="D165" s="287" t="s">
        <v>933</v>
      </c>
      <c r="E165" s="363">
        <f>SUM(E166:E167)</f>
        <v>11475096</v>
      </c>
      <c r="F165" s="363">
        <f t="shared" ref="F165:P165" si="172">SUM(F166:F167)</f>
        <v>11475096</v>
      </c>
      <c r="G165" s="363">
        <f t="shared" si="172"/>
        <v>3746175</v>
      </c>
      <c r="H165" s="363">
        <f t="shared" si="172"/>
        <v>545885</v>
      </c>
      <c r="I165" s="363">
        <f t="shared" si="172"/>
        <v>0</v>
      </c>
      <c r="J165" s="363">
        <f t="shared" si="172"/>
        <v>1061957</v>
      </c>
      <c r="K165" s="363">
        <f t="shared" si="172"/>
        <v>733957</v>
      </c>
      <c r="L165" s="363">
        <f t="shared" si="172"/>
        <v>318053</v>
      </c>
      <c r="M165" s="363">
        <f t="shared" si="172"/>
        <v>175000</v>
      </c>
      <c r="N165" s="363">
        <f t="shared" si="172"/>
        <v>78200</v>
      </c>
      <c r="O165" s="363">
        <f t="shared" si="172"/>
        <v>743904</v>
      </c>
      <c r="P165" s="363">
        <f t="shared" si="172"/>
        <v>12537053</v>
      </c>
    </row>
    <row r="166" spans="1:16" s="401" customFormat="1" ht="93" thickTop="1" thickBot="1" x14ac:dyDescent="0.25">
      <c r="A166" s="413" t="s">
        <v>210</v>
      </c>
      <c r="B166" s="413" t="s">
        <v>211</v>
      </c>
      <c r="C166" s="413" t="s">
        <v>206</v>
      </c>
      <c r="D166" s="413" t="s">
        <v>10</v>
      </c>
      <c r="E166" s="244">
        <f t="shared" si="169"/>
        <v>4435310</v>
      </c>
      <c r="F166" s="148">
        <f>(2725415+599590+377485+251835+384905+4560+86670+3450+1400)</f>
        <v>4435310</v>
      </c>
      <c r="G166" s="148">
        <v>2725415</v>
      </c>
      <c r="H166" s="148">
        <f>(384905+4560+86670+3450)</f>
        <v>479585</v>
      </c>
      <c r="I166" s="148"/>
      <c r="J166" s="411">
        <f t="shared" si="170"/>
        <v>1058957</v>
      </c>
      <c r="K166" s="148">
        <f>(733957)</f>
        <v>733957</v>
      </c>
      <c r="L166" s="149">
        <f>(175000+38500+27300+5000+36500+4800+35400+1500+1000)-9947</f>
        <v>315053</v>
      </c>
      <c r="M166" s="149">
        <v>175000</v>
      </c>
      <c r="N166" s="149">
        <f>(36500+4800+35400+1500)</f>
        <v>78200</v>
      </c>
      <c r="O166" s="412">
        <f>K166+9947</f>
        <v>743904</v>
      </c>
      <c r="P166" s="411">
        <f t="shared" ref="P166:P186" si="173">E166+J166</f>
        <v>5494267</v>
      </c>
    </row>
    <row r="167" spans="1:16" s="402" customFormat="1" ht="93" thickTop="1" thickBot="1" x14ac:dyDescent="0.25">
      <c r="A167" s="397" t="s">
        <v>379</v>
      </c>
      <c r="B167" s="397" t="s">
        <v>380</v>
      </c>
      <c r="C167" s="397" t="s">
        <v>206</v>
      </c>
      <c r="D167" s="397" t="s">
        <v>381</v>
      </c>
      <c r="E167" s="244">
        <f t="shared" si="169"/>
        <v>7039786</v>
      </c>
      <c r="F167" s="148">
        <f>200000+60000+((83645+830710+1020760+224570+61795+14860+37320+2075+23905+3000+2478500+545270+473390+27940+536310+404810)+10926)</f>
        <v>7039786</v>
      </c>
      <c r="G167" s="148">
        <v>1020760</v>
      </c>
      <c r="H167" s="148">
        <f>(37320+2075+23905+3000)</f>
        <v>66300</v>
      </c>
      <c r="I167" s="148"/>
      <c r="J167" s="395">
        <f t="shared" si="170"/>
        <v>3000</v>
      </c>
      <c r="K167" s="148"/>
      <c r="L167" s="149">
        <v>3000</v>
      </c>
      <c r="M167" s="149"/>
      <c r="N167" s="149"/>
      <c r="O167" s="396">
        <f t="shared" si="171"/>
        <v>0</v>
      </c>
      <c r="P167" s="395">
        <f t="shared" si="173"/>
        <v>7042786</v>
      </c>
    </row>
    <row r="168" spans="1:16" s="306" customFormat="1" ht="47.25" thickTop="1" thickBot="1" x14ac:dyDescent="0.25">
      <c r="A168" s="360" t="s">
        <v>934</v>
      </c>
      <c r="B168" s="360" t="s">
        <v>935</v>
      </c>
      <c r="C168" s="310"/>
      <c r="D168" s="360" t="s">
        <v>936</v>
      </c>
      <c r="E168" s="244">
        <f>SUM(E169:E180)-E169-E172-E174-E177</f>
        <v>77681852</v>
      </c>
      <c r="F168" s="244">
        <f t="shared" ref="F168:P168" si="174">SUM(F169:F180)-F169-F172-F174-F177</f>
        <v>77681852</v>
      </c>
      <c r="G168" s="244">
        <f t="shared" si="174"/>
        <v>34397400</v>
      </c>
      <c r="H168" s="244">
        <f t="shared" si="174"/>
        <v>1656735</v>
      </c>
      <c r="I168" s="244">
        <f t="shared" si="174"/>
        <v>0</v>
      </c>
      <c r="J168" s="244">
        <f t="shared" si="174"/>
        <v>5291000</v>
      </c>
      <c r="K168" s="244">
        <f t="shared" si="174"/>
        <v>3714755</v>
      </c>
      <c r="L168" s="244">
        <f t="shared" si="174"/>
        <v>1576245</v>
      </c>
      <c r="M168" s="244">
        <f t="shared" si="174"/>
        <v>705762</v>
      </c>
      <c r="N168" s="244">
        <f t="shared" si="174"/>
        <v>212378</v>
      </c>
      <c r="O168" s="244">
        <f t="shared" si="174"/>
        <v>3714755</v>
      </c>
      <c r="P168" s="244">
        <f t="shared" si="174"/>
        <v>82972852</v>
      </c>
    </row>
    <row r="169" spans="1:16" s="37" customFormat="1" ht="93" thickTop="1" thickBot="1" x14ac:dyDescent="0.25">
      <c r="A169" s="287" t="s">
        <v>937</v>
      </c>
      <c r="B169" s="287" t="s">
        <v>938</v>
      </c>
      <c r="C169" s="287"/>
      <c r="D169" s="287" t="s">
        <v>939</v>
      </c>
      <c r="E169" s="363">
        <f>SUM(E170:E171)</f>
        <v>17074487</v>
      </c>
      <c r="F169" s="363">
        <f t="shared" ref="F169:P169" si="175">SUM(F170:F171)</f>
        <v>17074487</v>
      </c>
      <c r="G169" s="363">
        <f t="shared" si="175"/>
        <v>0</v>
      </c>
      <c r="H169" s="363">
        <f t="shared" si="175"/>
        <v>0</v>
      </c>
      <c r="I169" s="363">
        <f t="shared" si="175"/>
        <v>0</v>
      </c>
      <c r="J169" s="363">
        <f t="shared" si="175"/>
        <v>0</v>
      </c>
      <c r="K169" s="363">
        <f t="shared" si="175"/>
        <v>0</v>
      </c>
      <c r="L169" s="363">
        <f t="shared" si="175"/>
        <v>0</v>
      </c>
      <c r="M169" s="363">
        <f t="shared" si="175"/>
        <v>0</v>
      </c>
      <c r="N169" s="363">
        <f t="shared" si="175"/>
        <v>0</v>
      </c>
      <c r="O169" s="363">
        <f t="shared" si="175"/>
        <v>0</v>
      </c>
      <c r="P169" s="363">
        <f t="shared" si="175"/>
        <v>17074487</v>
      </c>
    </row>
    <row r="170" spans="1:16" s="401" customFormat="1" ht="138.75" thickTop="1" thickBot="1" x14ac:dyDescent="0.25">
      <c r="A170" s="413" t="s">
        <v>46</v>
      </c>
      <c r="B170" s="413" t="s">
        <v>207</v>
      </c>
      <c r="C170" s="413" t="s">
        <v>216</v>
      </c>
      <c r="D170" s="413" t="s">
        <v>47</v>
      </c>
      <c r="E170" s="244">
        <f t="shared" si="169"/>
        <v>15164902</v>
      </c>
      <c r="F170" s="148">
        <f>3000000+((171260+11395570)+500000+98072)</f>
        <v>15164902</v>
      </c>
      <c r="G170" s="233"/>
      <c r="H170" s="233"/>
      <c r="I170" s="233"/>
      <c r="J170" s="411">
        <f t="shared" si="170"/>
        <v>0</v>
      </c>
      <c r="K170" s="233"/>
      <c r="L170" s="233"/>
      <c r="M170" s="233"/>
      <c r="N170" s="233"/>
      <c r="O170" s="412">
        <f t="shared" si="171"/>
        <v>0</v>
      </c>
      <c r="P170" s="411">
        <f t="shared" si="173"/>
        <v>15164902</v>
      </c>
    </row>
    <row r="171" spans="1:16" s="401" customFormat="1" ht="138.75" thickTop="1" thickBot="1" x14ac:dyDescent="0.25">
      <c r="A171" s="413" t="s">
        <v>48</v>
      </c>
      <c r="B171" s="413" t="s">
        <v>208</v>
      </c>
      <c r="C171" s="413" t="s">
        <v>216</v>
      </c>
      <c r="D171" s="413" t="s">
        <v>4</v>
      </c>
      <c r="E171" s="244">
        <f t="shared" si="169"/>
        <v>1909585</v>
      </c>
      <c r="F171" s="148">
        <f>(99315+1810270)</f>
        <v>1909585</v>
      </c>
      <c r="G171" s="233"/>
      <c r="H171" s="233"/>
      <c r="I171" s="233"/>
      <c r="J171" s="411">
        <f t="shared" si="170"/>
        <v>0</v>
      </c>
      <c r="K171" s="233"/>
      <c r="L171" s="233"/>
      <c r="M171" s="233"/>
      <c r="N171" s="233"/>
      <c r="O171" s="412">
        <f t="shared" si="171"/>
        <v>0</v>
      </c>
      <c r="P171" s="411">
        <f t="shared" si="173"/>
        <v>1909585</v>
      </c>
    </row>
    <row r="172" spans="1:16" s="37" customFormat="1" ht="184.5" thickTop="1" thickBot="1" x14ac:dyDescent="0.25">
      <c r="A172" s="287" t="s">
        <v>940</v>
      </c>
      <c r="B172" s="287" t="s">
        <v>941</v>
      </c>
      <c r="C172" s="287"/>
      <c r="D172" s="287" t="s">
        <v>942</v>
      </c>
      <c r="E172" s="363">
        <f>E173</f>
        <v>60300</v>
      </c>
      <c r="F172" s="363">
        <f t="shared" ref="F172:P172" si="176">F173</f>
        <v>60300</v>
      </c>
      <c r="G172" s="363">
        <f t="shared" si="176"/>
        <v>0</v>
      </c>
      <c r="H172" s="363">
        <f t="shared" si="176"/>
        <v>0</v>
      </c>
      <c r="I172" s="363">
        <f t="shared" si="176"/>
        <v>0</v>
      </c>
      <c r="J172" s="363">
        <f t="shared" si="176"/>
        <v>0</v>
      </c>
      <c r="K172" s="363">
        <f t="shared" si="176"/>
        <v>0</v>
      </c>
      <c r="L172" s="363">
        <f t="shared" si="176"/>
        <v>0</v>
      </c>
      <c r="M172" s="363">
        <f t="shared" si="176"/>
        <v>0</v>
      </c>
      <c r="N172" s="363">
        <f t="shared" si="176"/>
        <v>0</v>
      </c>
      <c r="O172" s="363">
        <f t="shared" si="176"/>
        <v>0</v>
      </c>
      <c r="P172" s="363">
        <f t="shared" si="176"/>
        <v>60300</v>
      </c>
    </row>
    <row r="173" spans="1:16" s="401" customFormat="1" ht="184.5" thickTop="1" thickBot="1" x14ac:dyDescent="0.25">
      <c r="A173" s="413" t="s">
        <v>49</v>
      </c>
      <c r="B173" s="413" t="s">
        <v>209</v>
      </c>
      <c r="C173" s="413" t="s">
        <v>216</v>
      </c>
      <c r="D173" s="413" t="s">
        <v>377</v>
      </c>
      <c r="E173" s="244">
        <f>F173</f>
        <v>60300</v>
      </c>
      <c r="F173" s="148">
        <f>(4295+56005)</f>
        <v>60300</v>
      </c>
      <c r="G173" s="148"/>
      <c r="H173" s="148"/>
      <c r="I173" s="233"/>
      <c r="J173" s="411">
        <f t="shared" si="170"/>
        <v>0</v>
      </c>
      <c r="K173" s="233"/>
      <c r="L173" s="148"/>
      <c r="M173" s="148"/>
      <c r="N173" s="148"/>
      <c r="O173" s="412">
        <f t="shared" si="171"/>
        <v>0</v>
      </c>
      <c r="P173" s="411">
        <f t="shared" si="173"/>
        <v>60300</v>
      </c>
    </row>
    <row r="174" spans="1:16" s="306" customFormat="1" ht="93" thickTop="1" thickBot="1" x14ac:dyDescent="0.25">
      <c r="A174" s="287" t="s">
        <v>943</v>
      </c>
      <c r="B174" s="287" t="s">
        <v>944</v>
      </c>
      <c r="C174" s="287"/>
      <c r="D174" s="287" t="s">
        <v>945</v>
      </c>
      <c r="E174" s="363">
        <f>SUM(E175:E176)</f>
        <v>56032394</v>
      </c>
      <c r="F174" s="363">
        <f t="shared" ref="F174:P174" si="177">SUM(F175:F176)</f>
        <v>56032394</v>
      </c>
      <c r="G174" s="363">
        <f t="shared" si="177"/>
        <v>33190670</v>
      </c>
      <c r="H174" s="363">
        <f t="shared" si="177"/>
        <v>1656735</v>
      </c>
      <c r="I174" s="363">
        <f t="shared" si="177"/>
        <v>0</v>
      </c>
      <c r="J174" s="363">
        <f t="shared" si="177"/>
        <v>5261000</v>
      </c>
      <c r="K174" s="363">
        <f t="shared" si="177"/>
        <v>3684755</v>
      </c>
      <c r="L174" s="363">
        <f t="shared" si="177"/>
        <v>1576245</v>
      </c>
      <c r="M174" s="363">
        <f t="shared" si="177"/>
        <v>705762</v>
      </c>
      <c r="N174" s="363">
        <f t="shared" si="177"/>
        <v>212378</v>
      </c>
      <c r="O174" s="363">
        <f t="shared" si="177"/>
        <v>3684755</v>
      </c>
      <c r="P174" s="363">
        <f t="shared" si="177"/>
        <v>61293394</v>
      </c>
    </row>
    <row r="175" spans="1:16" s="401" customFormat="1" ht="184.5" thickTop="1" thickBot="1" x14ac:dyDescent="0.25">
      <c r="A175" s="413" t="s">
        <v>28</v>
      </c>
      <c r="B175" s="413" t="s">
        <v>213</v>
      </c>
      <c r="C175" s="413" t="s">
        <v>216</v>
      </c>
      <c r="D175" s="413" t="s">
        <v>50</v>
      </c>
      <c r="E175" s="244">
        <f t="shared" si="169"/>
        <v>46954824</v>
      </c>
      <c r="F175" s="148">
        <f>2790+1414400+311200-31612+300000+243614+78694-2840+14875+35000+((44066325)+254271+54363+132144+3050+3780+5880+7980+8760+19000+19150+14000)</f>
        <v>46954824</v>
      </c>
      <c r="G175" s="148">
        <f>(31776270)+1414400</f>
        <v>33190670</v>
      </c>
      <c r="H175" s="148">
        <f>(559555+134000+494595+408705+10005)+14875+35000</f>
        <v>1656735</v>
      </c>
      <c r="I175" s="148"/>
      <c r="J175" s="411">
        <f t="shared" si="170"/>
        <v>5245800</v>
      </c>
      <c r="K175" s="148">
        <f>-200000+500000+31970-74322+611040+180000+154040+((91670+32400+77910+16200+405800+200000)+4838-255801+48600+1509600+86000+33250+216360)</f>
        <v>3669555</v>
      </c>
      <c r="L175" s="148">
        <f>(691362+141099+226744+1030+112354+105648+5500+230778+2000+59730)</f>
        <v>1576245</v>
      </c>
      <c r="M175" s="148">
        <f>(691362)+14400</f>
        <v>705762</v>
      </c>
      <c r="N175" s="148">
        <f>(92672+44368+72322+15587+5829)-18400</f>
        <v>212378</v>
      </c>
      <c r="O175" s="412">
        <f>(K175)</f>
        <v>3669555</v>
      </c>
      <c r="P175" s="411">
        <f t="shared" si="173"/>
        <v>52200624</v>
      </c>
    </row>
    <row r="176" spans="1:16" s="401" customFormat="1" ht="184.5" thickTop="1" thickBot="1" x14ac:dyDescent="0.25">
      <c r="A176" s="413" t="s">
        <v>29</v>
      </c>
      <c r="B176" s="413" t="s">
        <v>214</v>
      </c>
      <c r="C176" s="413" t="s">
        <v>216</v>
      </c>
      <c r="D176" s="413" t="s">
        <v>51</v>
      </c>
      <c r="E176" s="244">
        <f t="shared" si="169"/>
        <v>9077570</v>
      </c>
      <c r="F176" s="148">
        <f>581625+44400+353955+(8097590)</f>
        <v>9077570</v>
      </c>
      <c r="G176" s="148"/>
      <c r="H176" s="148"/>
      <c r="I176" s="148"/>
      <c r="J176" s="411">
        <f t="shared" si="170"/>
        <v>15200</v>
      </c>
      <c r="K176" s="148">
        <f>(15200)</f>
        <v>15200</v>
      </c>
      <c r="L176" s="148"/>
      <c r="M176" s="148"/>
      <c r="N176" s="148"/>
      <c r="O176" s="412">
        <f t="shared" si="171"/>
        <v>15200</v>
      </c>
      <c r="P176" s="411">
        <f t="shared" si="173"/>
        <v>9092770</v>
      </c>
    </row>
    <row r="177" spans="1:16" s="306" customFormat="1" ht="93" thickTop="1" thickBot="1" x14ac:dyDescent="0.25">
      <c r="A177" s="365" t="s">
        <v>946</v>
      </c>
      <c r="B177" s="287" t="s">
        <v>947</v>
      </c>
      <c r="C177" s="287"/>
      <c r="D177" s="287" t="s">
        <v>948</v>
      </c>
      <c r="E177" s="363">
        <f>SUM(E178:E180)</f>
        <v>4514671</v>
      </c>
      <c r="F177" s="363">
        <f t="shared" ref="F177:P177" si="178">SUM(F178:F180)</f>
        <v>4514671</v>
      </c>
      <c r="G177" s="363">
        <f t="shared" si="178"/>
        <v>1206730</v>
      </c>
      <c r="H177" s="363">
        <f t="shared" si="178"/>
        <v>0</v>
      </c>
      <c r="I177" s="363">
        <f t="shared" si="178"/>
        <v>0</v>
      </c>
      <c r="J177" s="363">
        <f t="shared" si="178"/>
        <v>30000</v>
      </c>
      <c r="K177" s="363">
        <f t="shared" si="178"/>
        <v>30000</v>
      </c>
      <c r="L177" s="363">
        <f t="shared" si="178"/>
        <v>0</v>
      </c>
      <c r="M177" s="363">
        <f t="shared" si="178"/>
        <v>0</v>
      </c>
      <c r="N177" s="363">
        <f t="shared" si="178"/>
        <v>0</v>
      </c>
      <c r="O177" s="363">
        <f t="shared" si="178"/>
        <v>30000</v>
      </c>
      <c r="P177" s="363">
        <f t="shared" si="178"/>
        <v>4544671</v>
      </c>
    </row>
    <row r="178" spans="1:16" s="401" customFormat="1" ht="276" thickTop="1" thickBot="1" x14ac:dyDescent="0.25">
      <c r="A178" s="414" t="s">
        <v>30</v>
      </c>
      <c r="B178" s="414" t="s">
        <v>215</v>
      </c>
      <c r="C178" s="414" t="s">
        <v>216</v>
      </c>
      <c r="D178" s="413" t="s">
        <v>31</v>
      </c>
      <c r="E178" s="244">
        <f t="shared" si="169"/>
        <v>768820</v>
      </c>
      <c r="F178" s="148">
        <f>(48380+64440)+500000+156000</f>
        <v>768820</v>
      </c>
      <c r="G178" s="233"/>
      <c r="H178" s="233"/>
      <c r="I178" s="233"/>
      <c r="J178" s="411">
        <f t="shared" si="170"/>
        <v>0</v>
      </c>
      <c r="K178" s="233"/>
      <c r="L178" s="233"/>
      <c r="M178" s="233"/>
      <c r="N178" s="233"/>
      <c r="O178" s="412">
        <f t="shared" si="171"/>
        <v>0</v>
      </c>
      <c r="P178" s="411">
        <f t="shared" si="173"/>
        <v>768820</v>
      </c>
    </row>
    <row r="179" spans="1:16" s="401" customFormat="1" ht="184.5" thickTop="1" thickBot="1" x14ac:dyDescent="0.25">
      <c r="A179" s="414" t="s">
        <v>561</v>
      </c>
      <c r="B179" s="414" t="s">
        <v>559</v>
      </c>
      <c r="C179" s="414" t="s">
        <v>216</v>
      </c>
      <c r="D179" s="413" t="s">
        <v>560</v>
      </c>
      <c r="E179" s="244">
        <f t="shared" si="169"/>
        <v>1969086</v>
      </c>
      <c r="F179" s="148">
        <f>(1968927)-98072+98231</f>
        <v>1969086</v>
      </c>
      <c r="G179" s="233"/>
      <c r="H179" s="233"/>
      <c r="I179" s="233"/>
      <c r="J179" s="411">
        <f t="shared" si="170"/>
        <v>0</v>
      </c>
      <c r="K179" s="233"/>
      <c r="L179" s="233"/>
      <c r="M179" s="233"/>
      <c r="N179" s="233"/>
      <c r="O179" s="412">
        <f t="shared" si="171"/>
        <v>0</v>
      </c>
      <c r="P179" s="411">
        <f t="shared" si="173"/>
        <v>1969086</v>
      </c>
    </row>
    <row r="180" spans="1:16" s="401" customFormat="1" ht="93" thickTop="1" thickBot="1" x14ac:dyDescent="0.25">
      <c r="A180" s="414" t="s">
        <v>32</v>
      </c>
      <c r="B180" s="414" t="s">
        <v>217</v>
      </c>
      <c r="C180" s="414" t="s">
        <v>216</v>
      </c>
      <c r="D180" s="413" t="s">
        <v>33</v>
      </c>
      <c r="E180" s="244">
        <f>F180</f>
        <v>1776765</v>
      </c>
      <c r="F180" s="148">
        <f>5100+60000+(1206730+265480+98410+141045)</f>
        <v>1776765</v>
      </c>
      <c r="G180" s="233">
        <v>1206730</v>
      </c>
      <c r="H180" s="233"/>
      <c r="I180" s="233"/>
      <c r="J180" s="411">
        <f t="shared" si="170"/>
        <v>30000</v>
      </c>
      <c r="K180" s="233">
        <f>(30000)</f>
        <v>30000</v>
      </c>
      <c r="L180" s="233"/>
      <c r="M180" s="233"/>
      <c r="N180" s="233"/>
      <c r="O180" s="412">
        <f t="shared" si="171"/>
        <v>30000</v>
      </c>
      <c r="P180" s="411">
        <f t="shared" si="173"/>
        <v>1806765</v>
      </c>
    </row>
    <row r="181" spans="1:16" s="306" customFormat="1" ht="91.5" thickTop="1" thickBot="1" x14ac:dyDescent="0.25">
      <c r="A181" s="152" t="s">
        <v>949</v>
      </c>
      <c r="B181" s="152" t="s">
        <v>906</v>
      </c>
      <c r="C181" s="152"/>
      <c r="D181" s="356" t="s">
        <v>907</v>
      </c>
      <c r="E181" s="244">
        <f>E182</f>
        <v>25424.53</v>
      </c>
      <c r="F181" s="244">
        <f t="shared" ref="F181:P182" si="179">F182</f>
        <v>25424.53</v>
      </c>
      <c r="G181" s="244">
        <f t="shared" si="179"/>
        <v>0</v>
      </c>
      <c r="H181" s="244">
        <f t="shared" si="179"/>
        <v>0</v>
      </c>
      <c r="I181" s="244">
        <f t="shared" si="179"/>
        <v>0</v>
      </c>
      <c r="J181" s="244">
        <f t="shared" si="179"/>
        <v>0</v>
      </c>
      <c r="K181" s="244">
        <f t="shared" si="179"/>
        <v>0</v>
      </c>
      <c r="L181" s="244">
        <f t="shared" si="179"/>
        <v>0</v>
      </c>
      <c r="M181" s="244">
        <f t="shared" si="179"/>
        <v>0</v>
      </c>
      <c r="N181" s="244">
        <f t="shared" si="179"/>
        <v>0</v>
      </c>
      <c r="O181" s="244">
        <f t="shared" si="179"/>
        <v>0</v>
      </c>
      <c r="P181" s="244">
        <f t="shared" si="179"/>
        <v>25424.53</v>
      </c>
    </row>
    <row r="182" spans="1:16" s="306" customFormat="1" ht="93" thickTop="1" thickBot="1" x14ac:dyDescent="0.25">
      <c r="A182" s="365" t="s">
        <v>950</v>
      </c>
      <c r="B182" s="365" t="s">
        <v>909</v>
      </c>
      <c r="C182" s="365"/>
      <c r="D182" s="287" t="s">
        <v>910</v>
      </c>
      <c r="E182" s="363">
        <f>E183</f>
        <v>25424.53</v>
      </c>
      <c r="F182" s="363">
        <f t="shared" si="179"/>
        <v>25424.53</v>
      </c>
      <c r="G182" s="363">
        <f t="shared" si="179"/>
        <v>0</v>
      </c>
      <c r="H182" s="363">
        <f t="shared" si="179"/>
        <v>0</v>
      </c>
      <c r="I182" s="363">
        <f t="shared" si="179"/>
        <v>0</v>
      </c>
      <c r="J182" s="363">
        <f t="shared" si="179"/>
        <v>0</v>
      </c>
      <c r="K182" s="363">
        <f t="shared" si="179"/>
        <v>0</v>
      </c>
      <c r="L182" s="363">
        <f t="shared" si="179"/>
        <v>0</v>
      </c>
      <c r="M182" s="363">
        <f t="shared" si="179"/>
        <v>0</v>
      </c>
      <c r="N182" s="363">
        <f t="shared" si="179"/>
        <v>0</v>
      </c>
      <c r="O182" s="363">
        <f t="shared" si="179"/>
        <v>0</v>
      </c>
      <c r="P182" s="363">
        <f t="shared" si="179"/>
        <v>25424.53</v>
      </c>
    </row>
    <row r="183" spans="1:16" s="401" customFormat="1" ht="276" thickTop="1" thickBot="1" x14ac:dyDescent="0.25">
      <c r="A183" s="414" t="s">
        <v>369</v>
      </c>
      <c r="B183" s="414" t="s">
        <v>368</v>
      </c>
      <c r="C183" s="414" t="s">
        <v>367</v>
      </c>
      <c r="D183" s="413" t="s">
        <v>798</v>
      </c>
      <c r="E183" s="244">
        <f>F183</f>
        <v>25424.53</v>
      </c>
      <c r="F183" s="148">
        <f>(18000)+7424.53</f>
        <v>25424.53</v>
      </c>
      <c r="G183" s="233"/>
      <c r="H183" s="233"/>
      <c r="I183" s="233"/>
      <c r="J183" s="411">
        <f t="shared" si="170"/>
        <v>0</v>
      </c>
      <c r="K183" s="233"/>
      <c r="L183" s="233"/>
      <c r="M183" s="233"/>
      <c r="N183" s="233"/>
      <c r="O183" s="412">
        <f t="shared" si="171"/>
        <v>0</v>
      </c>
      <c r="P183" s="411">
        <f t="shared" si="173"/>
        <v>25424.53</v>
      </c>
    </row>
    <row r="184" spans="1:16" s="306" customFormat="1" ht="47.25" thickTop="1" thickBot="1" x14ac:dyDescent="0.25">
      <c r="A184" s="360" t="s">
        <v>951</v>
      </c>
      <c r="B184" s="359" t="s">
        <v>912</v>
      </c>
      <c r="C184" s="359"/>
      <c r="D184" s="359" t="s">
        <v>913</v>
      </c>
      <c r="E184" s="244">
        <f>E185</f>
        <v>0</v>
      </c>
      <c r="F184" s="244">
        <f t="shared" ref="F184:P185" si="180">F185</f>
        <v>0</v>
      </c>
      <c r="G184" s="244">
        <f t="shared" si="180"/>
        <v>0</v>
      </c>
      <c r="H184" s="244">
        <f t="shared" si="180"/>
        <v>0</v>
      </c>
      <c r="I184" s="244">
        <f t="shared" si="180"/>
        <v>0</v>
      </c>
      <c r="J184" s="244">
        <f t="shared" si="180"/>
        <v>1021474</v>
      </c>
      <c r="K184" s="244">
        <f t="shared" si="180"/>
        <v>1021474</v>
      </c>
      <c r="L184" s="244">
        <f t="shared" si="180"/>
        <v>0</v>
      </c>
      <c r="M184" s="244">
        <f t="shared" si="180"/>
        <v>0</v>
      </c>
      <c r="N184" s="244">
        <f t="shared" si="180"/>
        <v>0</v>
      </c>
      <c r="O184" s="244">
        <f t="shared" si="180"/>
        <v>1021474</v>
      </c>
      <c r="P184" s="244">
        <f t="shared" si="180"/>
        <v>1021474</v>
      </c>
    </row>
    <row r="185" spans="1:16" s="306" customFormat="1" ht="136.5" thickTop="1" thickBot="1" x14ac:dyDescent="0.25">
      <c r="A185" s="319" t="s">
        <v>952</v>
      </c>
      <c r="B185" s="319" t="s">
        <v>851</v>
      </c>
      <c r="C185" s="319"/>
      <c r="D185" s="319" t="s">
        <v>849</v>
      </c>
      <c r="E185" s="362">
        <f>E186</f>
        <v>0</v>
      </c>
      <c r="F185" s="362">
        <f t="shared" si="180"/>
        <v>0</v>
      </c>
      <c r="G185" s="362">
        <f t="shared" si="180"/>
        <v>0</v>
      </c>
      <c r="H185" s="362">
        <f t="shared" si="180"/>
        <v>0</v>
      </c>
      <c r="I185" s="362">
        <f t="shared" si="180"/>
        <v>0</v>
      </c>
      <c r="J185" s="362">
        <f t="shared" si="180"/>
        <v>1021474</v>
      </c>
      <c r="K185" s="362">
        <f t="shared" si="180"/>
        <v>1021474</v>
      </c>
      <c r="L185" s="362">
        <f t="shared" si="180"/>
        <v>0</v>
      </c>
      <c r="M185" s="362">
        <f t="shared" si="180"/>
        <v>0</v>
      </c>
      <c r="N185" s="362">
        <f t="shared" si="180"/>
        <v>0</v>
      </c>
      <c r="O185" s="362">
        <f t="shared" si="180"/>
        <v>1021474</v>
      </c>
      <c r="P185" s="362">
        <f t="shared" si="180"/>
        <v>1021474</v>
      </c>
    </row>
    <row r="186" spans="1:16" s="401" customFormat="1" ht="93" thickTop="1" thickBot="1" x14ac:dyDescent="0.25">
      <c r="A186" s="413" t="s">
        <v>743</v>
      </c>
      <c r="B186" s="413" t="s">
        <v>218</v>
      </c>
      <c r="C186" s="413" t="s">
        <v>187</v>
      </c>
      <c r="D186" s="413" t="s">
        <v>36</v>
      </c>
      <c r="E186" s="411">
        <f t="shared" ref="E186" si="181">F186</f>
        <v>0</v>
      </c>
      <c r="F186" s="233"/>
      <c r="G186" s="233"/>
      <c r="H186" s="233"/>
      <c r="I186" s="233"/>
      <c r="J186" s="411">
        <f t="shared" si="170"/>
        <v>1021474</v>
      </c>
      <c r="K186" s="233">
        <f>(45144)+976330</f>
        <v>1021474</v>
      </c>
      <c r="L186" s="233"/>
      <c r="M186" s="233"/>
      <c r="N186" s="233"/>
      <c r="O186" s="412">
        <f t="shared" si="171"/>
        <v>1021474</v>
      </c>
      <c r="P186" s="411">
        <f t="shared" si="173"/>
        <v>1021474</v>
      </c>
    </row>
    <row r="187" spans="1:16" s="138" customFormat="1" ht="181.5" thickTop="1" thickBot="1" x14ac:dyDescent="0.25">
      <c r="A187" s="691" t="s">
        <v>175</v>
      </c>
      <c r="B187" s="691"/>
      <c r="C187" s="691"/>
      <c r="D187" s="692" t="s">
        <v>675</v>
      </c>
      <c r="E187" s="693">
        <f>E188</f>
        <v>25062295</v>
      </c>
      <c r="F187" s="694">
        <f t="shared" ref="F187:G187" si="182">F188</f>
        <v>25062295</v>
      </c>
      <c r="G187" s="694">
        <f t="shared" si="182"/>
        <v>5441675</v>
      </c>
      <c r="H187" s="694">
        <f>H188</f>
        <v>137385</v>
      </c>
      <c r="I187" s="694">
        <f t="shared" ref="I187" si="183">I188</f>
        <v>0</v>
      </c>
      <c r="J187" s="693">
        <f>J188</f>
        <v>31565149</v>
      </c>
      <c r="K187" s="694">
        <f>K188</f>
        <v>30575149</v>
      </c>
      <c r="L187" s="694">
        <f>L188</f>
        <v>990000</v>
      </c>
      <c r="M187" s="694">
        <f t="shared" ref="M187" si="184">M188</f>
        <v>0</v>
      </c>
      <c r="N187" s="693">
        <f>N188</f>
        <v>0</v>
      </c>
      <c r="O187" s="693">
        <f>O188</f>
        <v>30575149</v>
      </c>
      <c r="P187" s="694">
        <f>P188</f>
        <v>56627444</v>
      </c>
    </row>
    <row r="188" spans="1:16" s="138" customFormat="1" ht="181.5" thickTop="1" thickBot="1" x14ac:dyDescent="0.25">
      <c r="A188" s="695" t="s">
        <v>176</v>
      </c>
      <c r="B188" s="695"/>
      <c r="C188" s="695"/>
      <c r="D188" s="696" t="s">
        <v>676</v>
      </c>
      <c r="E188" s="697">
        <f>E189+E192+E199</f>
        <v>25062295</v>
      </c>
      <c r="F188" s="697">
        <f t="shared" ref="F188:I188" si="185">F189+F192+F199</f>
        <v>25062295</v>
      </c>
      <c r="G188" s="697">
        <f t="shared" si="185"/>
        <v>5441675</v>
      </c>
      <c r="H188" s="697">
        <f t="shared" si="185"/>
        <v>137385</v>
      </c>
      <c r="I188" s="697">
        <f t="shared" si="185"/>
        <v>0</v>
      </c>
      <c r="J188" s="697">
        <f t="shared" ref="J188:J204" si="186">L188+O188</f>
        <v>31565149</v>
      </c>
      <c r="K188" s="697">
        <f t="shared" ref="K188:O188" si="187">K189+K192+K199</f>
        <v>30575149</v>
      </c>
      <c r="L188" s="697">
        <f t="shared" si="187"/>
        <v>990000</v>
      </c>
      <c r="M188" s="697">
        <f t="shared" si="187"/>
        <v>0</v>
      </c>
      <c r="N188" s="697">
        <f t="shared" si="187"/>
        <v>0</v>
      </c>
      <c r="O188" s="697">
        <f t="shared" si="187"/>
        <v>30575149</v>
      </c>
      <c r="P188" s="698">
        <f>E188+J188</f>
        <v>56627444</v>
      </c>
    </row>
    <row r="189" spans="1:16" s="306" customFormat="1" ht="47.25" thickTop="1" thickBot="1" x14ac:dyDescent="0.25">
      <c r="A189" s="360" t="s">
        <v>953</v>
      </c>
      <c r="B189" s="360" t="s">
        <v>844</v>
      </c>
      <c r="C189" s="360"/>
      <c r="D189" s="360" t="s">
        <v>845</v>
      </c>
      <c r="E189" s="307">
        <f>SUM(E190:E191)</f>
        <v>7556995</v>
      </c>
      <c r="F189" s="307">
        <f t="shared" ref="F189" si="188">SUM(F190:F191)</f>
        <v>7556995</v>
      </c>
      <c r="G189" s="307">
        <f t="shared" ref="G189" si="189">SUM(G190:G191)</f>
        <v>5441675</v>
      </c>
      <c r="H189" s="307">
        <f t="shared" ref="H189" si="190">SUM(H190:H191)</f>
        <v>137385</v>
      </c>
      <c r="I189" s="307">
        <f t="shared" ref="I189" si="191">SUM(I190:I191)</f>
        <v>0</v>
      </c>
      <c r="J189" s="307">
        <f t="shared" ref="J189" si="192">SUM(J190:J191)</f>
        <v>163248</v>
      </c>
      <c r="K189" s="307">
        <f t="shared" ref="K189" si="193">SUM(K190:K191)</f>
        <v>163248</v>
      </c>
      <c r="L189" s="307">
        <f t="shared" ref="L189" si="194">SUM(L190:L191)</f>
        <v>0</v>
      </c>
      <c r="M189" s="307">
        <f t="shared" ref="M189" si="195">SUM(M190:M191)</f>
        <v>0</v>
      </c>
      <c r="N189" s="307">
        <f t="shared" ref="N189" si="196">SUM(N190:N191)</f>
        <v>0</v>
      </c>
      <c r="O189" s="307">
        <f>SUM(O190:O191)</f>
        <v>163248</v>
      </c>
      <c r="P189" s="307">
        <f t="shared" ref="P189" si="197">SUM(P190:P191)</f>
        <v>7720243</v>
      </c>
    </row>
    <row r="190" spans="1:16" s="138" customFormat="1" ht="230.25" thickTop="1" thickBot="1" x14ac:dyDescent="0.25">
      <c r="A190" s="200" t="s">
        <v>451</v>
      </c>
      <c r="B190" s="200" t="s">
        <v>257</v>
      </c>
      <c r="C190" s="200" t="s">
        <v>255</v>
      </c>
      <c r="D190" s="200" t="s">
        <v>256</v>
      </c>
      <c r="E190" s="244">
        <f>F190</f>
        <v>7544995</v>
      </c>
      <c r="F190" s="148">
        <f>(5441675+1197170+253395+210390+14760+39015+5208+25686+4476+3400+34020-12000)+199000+65800+39500+23500</f>
        <v>7544995</v>
      </c>
      <c r="G190" s="148">
        <v>5441675</v>
      </c>
      <c r="H190" s="148">
        <f>(39015+5208+25686+4476)+39500+23500</f>
        <v>137385</v>
      </c>
      <c r="I190" s="148"/>
      <c r="J190" s="241">
        <f t="shared" si="186"/>
        <v>163248</v>
      </c>
      <c r="K190" s="148">
        <f>(36000)+31812+95436</f>
        <v>163248</v>
      </c>
      <c r="L190" s="149"/>
      <c r="M190" s="149"/>
      <c r="N190" s="149"/>
      <c r="O190" s="243">
        <f t="shared" ref="O190:O201" si="198">K190</f>
        <v>163248</v>
      </c>
      <c r="P190" s="241">
        <f t="shared" ref="P190:P196" si="199">+J190+E190</f>
        <v>7708243</v>
      </c>
    </row>
    <row r="191" spans="1:16" s="235" customFormat="1" ht="184.5" thickTop="1" thickBot="1" x14ac:dyDescent="0.25">
      <c r="A191" s="237" t="s">
        <v>786</v>
      </c>
      <c r="B191" s="237" t="s">
        <v>390</v>
      </c>
      <c r="C191" s="237" t="s">
        <v>779</v>
      </c>
      <c r="D191" s="237" t="s">
        <v>780</v>
      </c>
      <c r="E191" s="238">
        <f t="shared" ref="E191" si="200">F191</f>
        <v>12000</v>
      </c>
      <c r="F191" s="225">
        <v>12000</v>
      </c>
      <c r="G191" s="225"/>
      <c r="H191" s="225"/>
      <c r="I191" s="225"/>
      <c r="J191" s="238">
        <f t="shared" si="186"/>
        <v>0</v>
      </c>
      <c r="K191" s="225"/>
      <c r="L191" s="226"/>
      <c r="M191" s="227"/>
      <c r="N191" s="227"/>
      <c r="O191" s="236">
        <f t="shared" si="198"/>
        <v>0</v>
      </c>
      <c r="P191" s="238">
        <f>+J191+E191</f>
        <v>12000</v>
      </c>
    </row>
    <row r="192" spans="1:16" s="306" customFormat="1" ht="91.5" thickTop="1" thickBot="1" x14ac:dyDescent="0.25">
      <c r="A192" s="152" t="s">
        <v>954</v>
      </c>
      <c r="B192" s="359" t="s">
        <v>906</v>
      </c>
      <c r="C192" s="359"/>
      <c r="D192" s="356" t="s">
        <v>907</v>
      </c>
      <c r="E192" s="308">
        <f>SUM(E193:E198)-E193</f>
        <v>16355300</v>
      </c>
      <c r="F192" s="308">
        <f t="shared" ref="F192:P192" si="201">SUM(F193:F198)-F193</f>
        <v>16355300</v>
      </c>
      <c r="G192" s="308">
        <f t="shared" si="201"/>
        <v>0</v>
      </c>
      <c r="H192" s="308">
        <f t="shared" si="201"/>
        <v>0</v>
      </c>
      <c r="I192" s="308">
        <f t="shared" si="201"/>
        <v>0</v>
      </c>
      <c r="J192" s="308">
        <f t="shared" si="201"/>
        <v>30061901</v>
      </c>
      <c r="K192" s="308">
        <f t="shared" si="201"/>
        <v>30061901</v>
      </c>
      <c r="L192" s="308">
        <f t="shared" si="201"/>
        <v>0</v>
      </c>
      <c r="M192" s="308">
        <f t="shared" si="201"/>
        <v>0</v>
      </c>
      <c r="N192" s="308">
        <f t="shared" si="201"/>
        <v>0</v>
      </c>
      <c r="O192" s="308">
        <f t="shared" si="201"/>
        <v>30061901</v>
      </c>
      <c r="P192" s="308">
        <f t="shared" si="201"/>
        <v>46417201</v>
      </c>
    </row>
    <row r="193" spans="1:16" s="37" customFormat="1" ht="184.5" thickTop="1" thickBot="1" x14ac:dyDescent="0.25">
      <c r="A193" s="353" t="s">
        <v>955</v>
      </c>
      <c r="B193" s="318" t="s">
        <v>956</v>
      </c>
      <c r="C193" s="318"/>
      <c r="D193" s="318" t="s">
        <v>957</v>
      </c>
      <c r="E193" s="366">
        <f>SUM(E194:E196)</f>
        <v>2025300</v>
      </c>
      <c r="F193" s="366">
        <f t="shared" ref="F193:P193" si="202">SUM(F194:F196)</f>
        <v>2025300</v>
      </c>
      <c r="G193" s="366">
        <f t="shared" si="202"/>
        <v>0</v>
      </c>
      <c r="H193" s="366">
        <f t="shared" si="202"/>
        <v>0</v>
      </c>
      <c r="I193" s="366">
        <f t="shared" si="202"/>
        <v>0</v>
      </c>
      <c r="J193" s="366">
        <f t="shared" si="202"/>
        <v>30061901</v>
      </c>
      <c r="K193" s="366">
        <f t="shared" si="202"/>
        <v>30061901</v>
      </c>
      <c r="L193" s="366">
        <f t="shared" si="202"/>
        <v>0</v>
      </c>
      <c r="M193" s="366">
        <f t="shared" si="202"/>
        <v>0</v>
      </c>
      <c r="N193" s="366">
        <f t="shared" si="202"/>
        <v>0</v>
      </c>
      <c r="O193" s="366">
        <f t="shared" si="202"/>
        <v>30061901</v>
      </c>
      <c r="P193" s="366">
        <f t="shared" si="202"/>
        <v>32087201</v>
      </c>
    </row>
    <row r="194" spans="1:16" s="138" customFormat="1" ht="138.75" thickTop="1" thickBot="1" x14ac:dyDescent="0.25">
      <c r="A194" s="200" t="s">
        <v>301</v>
      </c>
      <c r="B194" s="200" t="s">
        <v>302</v>
      </c>
      <c r="C194" s="200" t="s">
        <v>367</v>
      </c>
      <c r="D194" s="200" t="s">
        <v>303</v>
      </c>
      <c r="E194" s="244">
        <f t="shared" ref="E194:E204" si="203">F194</f>
        <v>1475300</v>
      </c>
      <c r="F194" s="148">
        <f>((2675300)-200000)-1000000</f>
        <v>1475300</v>
      </c>
      <c r="G194" s="148"/>
      <c r="H194" s="148"/>
      <c r="I194" s="148"/>
      <c r="J194" s="241">
        <f t="shared" si="186"/>
        <v>8993440</v>
      </c>
      <c r="K194" s="148">
        <f>(10345240)-1351800</f>
        <v>8993440</v>
      </c>
      <c r="L194" s="149"/>
      <c r="M194" s="149"/>
      <c r="N194" s="149"/>
      <c r="O194" s="243">
        <f t="shared" si="198"/>
        <v>8993440</v>
      </c>
      <c r="P194" s="241">
        <f t="shared" si="199"/>
        <v>10468740</v>
      </c>
    </row>
    <row r="195" spans="1:16" s="138" customFormat="1" ht="138.75" thickTop="1" thickBot="1" x14ac:dyDescent="0.25">
      <c r="A195" s="200" t="s">
        <v>323</v>
      </c>
      <c r="B195" s="200" t="s">
        <v>324</v>
      </c>
      <c r="C195" s="200" t="s">
        <v>304</v>
      </c>
      <c r="D195" s="200" t="s">
        <v>325</v>
      </c>
      <c r="E195" s="244">
        <f t="shared" si="203"/>
        <v>0</v>
      </c>
      <c r="F195" s="148"/>
      <c r="G195" s="148"/>
      <c r="H195" s="148"/>
      <c r="I195" s="148"/>
      <c r="J195" s="241">
        <f t="shared" si="186"/>
        <v>8000000</v>
      </c>
      <c r="K195" s="148">
        <f>(5000000)+3000000</f>
        <v>8000000</v>
      </c>
      <c r="L195" s="149"/>
      <c r="M195" s="149"/>
      <c r="N195" s="149"/>
      <c r="O195" s="243">
        <f t="shared" si="198"/>
        <v>8000000</v>
      </c>
      <c r="P195" s="241">
        <f t="shared" si="199"/>
        <v>8000000</v>
      </c>
    </row>
    <row r="196" spans="1:16" s="138" customFormat="1" ht="184.5" thickTop="1" thickBot="1" x14ac:dyDescent="0.25">
      <c r="A196" s="200" t="s">
        <v>305</v>
      </c>
      <c r="B196" s="200" t="s">
        <v>306</v>
      </c>
      <c r="C196" s="200" t="s">
        <v>304</v>
      </c>
      <c r="D196" s="200" t="s">
        <v>505</v>
      </c>
      <c r="E196" s="244">
        <f t="shared" si="203"/>
        <v>550000</v>
      </c>
      <c r="F196" s="148">
        <v>550000</v>
      </c>
      <c r="G196" s="148"/>
      <c r="H196" s="148"/>
      <c r="I196" s="148"/>
      <c r="J196" s="241">
        <f t="shared" si="186"/>
        <v>13068461</v>
      </c>
      <c r="K196" s="148">
        <f>(13120761)-52300</f>
        <v>13068461</v>
      </c>
      <c r="L196" s="149"/>
      <c r="M196" s="149"/>
      <c r="N196" s="149"/>
      <c r="O196" s="243">
        <f t="shared" si="198"/>
        <v>13068461</v>
      </c>
      <c r="P196" s="241">
        <f t="shared" si="199"/>
        <v>13618461</v>
      </c>
    </row>
    <row r="197" spans="1:16" s="485" customFormat="1" ht="230.25" thickTop="1" thickBot="1" x14ac:dyDescent="0.25">
      <c r="A197" s="487" t="s">
        <v>1160</v>
      </c>
      <c r="B197" s="487" t="s">
        <v>319</v>
      </c>
      <c r="C197" s="487" t="s">
        <v>304</v>
      </c>
      <c r="D197" s="487" t="s">
        <v>320</v>
      </c>
      <c r="E197" s="244">
        <f t="shared" ref="E197" si="204">F197</f>
        <v>230000</v>
      </c>
      <c r="F197" s="148">
        <f>(200000)+30000</f>
        <v>230000</v>
      </c>
      <c r="G197" s="148"/>
      <c r="H197" s="148"/>
      <c r="I197" s="148"/>
      <c r="J197" s="488">
        <f t="shared" ref="J197" si="205">L197+O197</f>
        <v>0</v>
      </c>
      <c r="K197" s="148"/>
      <c r="L197" s="149"/>
      <c r="M197" s="149"/>
      <c r="N197" s="149"/>
      <c r="O197" s="490">
        <f t="shared" ref="O197" si="206">K197</f>
        <v>0</v>
      </c>
      <c r="P197" s="488">
        <f t="shared" ref="P197" si="207">+J197+E197</f>
        <v>230000</v>
      </c>
    </row>
    <row r="198" spans="1:16" s="138" customFormat="1" ht="93" thickTop="1" thickBot="1" x14ac:dyDescent="0.25">
      <c r="A198" s="200" t="s">
        <v>309</v>
      </c>
      <c r="B198" s="200" t="s">
        <v>310</v>
      </c>
      <c r="C198" s="200" t="s">
        <v>304</v>
      </c>
      <c r="D198" s="200" t="s">
        <v>311</v>
      </c>
      <c r="E198" s="244">
        <f t="shared" si="203"/>
        <v>14100000</v>
      </c>
      <c r="F198" s="148">
        <v>14100000</v>
      </c>
      <c r="G198" s="148"/>
      <c r="H198" s="148"/>
      <c r="I198" s="148"/>
      <c r="J198" s="241">
        <f t="shared" si="186"/>
        <v>0</v>
      </c>
      <c r="K198" s="242"/>
      <c r="L198" s="148"/>
      <c r="M198" s="148"/>
      <c r="N198" s="148"/>
      <c r="O198" s="243">
        <f t="shared" si="198"/>
        <v>0</v>
      </c>
      <c r="P198" s="241">
        <f t="shared" ref="P198" si="208">E198+J198</f>
        <v>14100000</v>
      </c>
    </row>
    <row r="199" spans="1:16" s="306" customFormat="1" ht="47.25" thickTop="1" thickBot="1" x14ac:dyDescent="0.25">
      <c r="A199" s="152" t="s">
        <v>958</v>
      </c>
      <c r="B199" s="152" t="s">
        <v>912</v>
      </c>
      <c r="C199" s="152"/>
      <c r="D199" s="152" t="s">
        <v>959</v>
      </c>
      <c r="E199" s="244">
        <f>E200</f>
        <v>1150000</v>
      </c>
      <c r="F199" s="244">
        <f t="shared" ref="F199:P199" si="209">F200</f>
        <v>1150000</v>
      </c>
      <c r="G199" s="244">
        <f t="shared" si="209"/>
        <v>0</v>
      </c>
      <c r="H199" s="244">
        <f t="shared" si="209"/>
        <v>0</v>
      </c>
      <c r="I199" s="244">
        <f t="shared" si="209"/>
        <v>0</v>
      </c>
      <c r="J199" s="244">
        <f>J200</f>
        <v>1340000</v>
      </c>
      <c r="K199" s="244">
        <f t="shared" si="209"/>
        <v>350000</v>
      </c>
      <c r="L199" s="244">
        <f t="shared" si="209"/>
        <v>990000</v>
      </c>
      <c r="M199" s="244">
        <f t="shared" si="209"/>
        <v>0</v>
      </c>
      <c r="N199" s="244">
        <f t="shared" si="209"/>
        <v>0</v>
      </c>
      <c r="O199" s="244">
        <f t="shared" si="209"/>
        <v>350000</v>
      </c>
      <c r="P199" s="244">
        <f t="shared" si="209"/>
        <v>2490000</v>
      </c>
    </row>
    <row r="200" spans="1:16" s="306" customFormat="1" ht="136.5" thickTop="1" thickBot="1" x14ac:dyDescent="0.25">
      <c r="A200" s="357" t="s">
        <v>960</v>
      </c>
      <c r="B200" s="357" t="s">
        <v>851</v>
      </c>
      <c r="C200" s="357"/>
      <c r="D200" s="357" t="s">
        <v>849</v>
      </c>
      <c r="E200" s="362">
        <f t="shared" ref="E200:P200" si="210">E201+E203+E202</f>
        <v>1150000</v>
      </c>
      <c r="F200" s="362">
        <f t="shared" si="210"/>
        <v>1150000</v>
      </c>
      <c r="G200" s="362">
        <f t="shared" si="210"/>
        <v>0</v>
      </c>
      <c r="H200" s="362">
        <f t="shared" si="210"/>
        <v>0</v>
      </c>
      <c r="I200" s="362">
        <f t="shared" si="210"/>
        <v>0</v>
      </c>
      <c r="J200" s="362">
        <f t="shared" si="210"/>
        <v>1340000</v>
      </c>
      <c r="K200" s="362">
        <f t="shared" si="210"/>
        <v>350000</v>
      </c>
      <c r="L200" s="362">
        <f t="shared" si="210"/>
        <v>990000</v>
      </c>
      <c r="M200" s="362">
        <f t="shared" si="210"/>
        <v>0</v>
      </c>
      <c r="N200" s="362">
        <f t="shared" si="210"/>
        <v>0</v>
      </c>
      <c r="O200" s="362">
        <f t="shared" si="210"/>
        <v>350000</v>
      </c>
      <c r="P200" s="362">
        <f t="shared" si="210"/>
        <v>2490000</v>
      </c>
    </row>
    <row r="201" spans="1:16" s="138" customFormat="1" ht="48" thickTop="1" thickBot="1" x14ac:dyDescent="0.25">
      <c r="A201" s="200" t="s">
        <v>318</v>
      </c>
      <c r="B201" s="200" t="s">
        <v>233</v>
      </c>
      <c r="C201" s="200" t="s">
        <v>234</v>
      </c>
      <c r="D201" s="200" t="s">
        <v>43</v>
      </c>
      <c r="E201" s="244">
        <f t="shared" si="203"/>
        <v>1150000</v>
      </c>
      <c r="F201" s="148">
        <f>(500000)+650000</f>
        <v>1150000</v>
      </c>
      <c r="G201" s="148"/>
      <c r="H201" s="148"/>
      <c r="I201" s="148"/>
      <c r="J201" s="241">
        <f t="shared" si="186"/>
        <v>50000</v>
      </c>
      <c r="K201" s="242">
        <f>(2100000)-2050000</f>
        <v>50000</v>
      </c>
      <c r="L201" s="148"/>
      <c r="M201" s="148"/>
      <c r="N201" s="148"/>
      <c r="O201" s="243">
        <f t="shared" si="198"/>
        <v>50000</v>
      </c>
      <c r="P201" s="241">
        <f>E201+J201</f>
        <v>1200000</v>
      </c>
    </row>
    <row r="202" spans="1:16" s="461" customFormat="1" ht="93" thickTop="1" thickBot="1" x14ac:dyDescent="0.25">
      <c r="A202" s="468" t="s">
        <v>1132</v>
      </c>
      <c r="B202" s="468" t="s">
        <v>218</v>
      </c>
      <c r="C202" s="468" t="s">
        <v>187</v>
      </c>
      <c r="D202" s="468" t="s">
        <v>36</v>
      </c>
      <c r="E202" s="244">
        <f t="shared" ref="E202" si="211">F202</f>
        <v>0</v>
      </c>
      <c r="F202" s="148"/>
      <c r="G202" s="148"/>
      <c r="H202" s="148"/>
      <c r="I202" s="148"/>
      <c r="J202" s="463">
        <f t="shared" ref="J202" si="212">L202+O202</f>
        <v>300000</v>
      </c>
      <c r="K202" s="242">
        <f>(390000)-90000</f>
        <v>300000</v>
      </c>
      <c r="L202" s="148"/>
      <c r="M202" s="148"/>
      <c r="N202" s="148"/>
      <c r="O202" s="467">
        <f t="shared" ref="O202" si="213">K202</f>
        <v>300000</v>
      </c>
      <c r="P202" s="463">
        <f>E202+J202</f>
        <v>300000</v>
      </c>
    </row>
    <row r="203" spans="1:16" s="306" customFormat="1" ht="48" thickTop="1" thickBot="1" x14ac:dyDescent="0.25">
      <c r="A203" s="353" t="s">
        <v>961</v>
      </c>
      <c r="B203" s="353" t="s">
        <v>854</v>
      </c>
      <c r="C203" s="353"/>
      <c r="D203" s="353" t="s">
        <v>962</v>
      </c>
      <c r="E203" s="363">
        <f>E204</f>
        <v>0</v>
      </c>
      <c r="F203" s="363">
        <f t="shared" ref="F203:P203" si="214">F204</f>
        <v>0</v>
      </c>
      <c r="G203" s="363">
        <f t="shared" si="214"/>
        <v>0</v>
      </c>
      <c r="H203" s="363">
        <f t="shared" si="214"/>
        <v>0</v>
      </c>
      <c r="I203" s="363">
        <f t="shared" si="214"/>
        <v>0</v>
      </c>
      <c r="J203" s="363">
        <f t="shared" si="214"/>
        <v>990000</v>
      </c>
      <c r="K203" s="363">
        <f t="shared" si="214"/>
        <v>0</v>
      </c>
      <c r="L203" s="363">
        <f t="shared" si="214"/>
        <v>990000</v>
      </c>
      <c r="M203" s="363">
        <f t="shared" si="214"/>
        <v>0</v>
      </c>
      <c r="N203" s="363">
        <f t="shared" si="214"/>
        <v>0</v>
      </c>
      <c r="O203" s="363">
        <f t="shared" si="214"/>
        <v>0</v>
      </c>
      <c r="P203" s="363">
        <f t="shared" si="214"/>
        <v>990000</v>
      </c>
    </row>
    <row r="204" spans="1:16" s="138" customFormat="1" ht="409.6" thickTop="1" thickBot="1" x14ac:dyDescent="0.7">
      <c r="A204" s="765" t="s">
        <v>454</v>
      </c>
      <c r="B204" s="765" t="s">
        <v>365</v>
      </c>
      <c r="C204" s="765" t="s">
        <v>187</v>
      </c>
      <c r="D204" s="246" t="s">
        <v>475</v>
      </c>
      <c r="E204" s="758">
        <f t="shared" si="203"/>
        <v>0</v>
      </c>
      <c r="F204" s="759"/>
      <c r="G204" s="759"/>
      <c r="H204" s="759"/>
      <c r="I204" s="759"/>
      <c r="J204" s="758">
        <f t="shared" si="186"/>
        <v>990000</v>
      </c>
      <c r="K204" s="759"/>
      <c r="L204" s="759">
        <f>(190000)+800000</f>
        <v>990000</v>
      </c>
      <c r="M204" s="759"/>
      <c r="N204" s="759"/>
      <c r="O204" s="796">
        <f>K204+0</f>
        <v>0</v>
      </c>
      <c r="P204" s="791">
        <f>E204+J204</f>
        <v>990000</v>
      </c>
    </row>
    <row r="205" spans="1:16" s="138" customFormat="1" ht="184.5" thickTop="1" thickBot="1" x14ac:dyDescent="0.25">
      <c r="A205" s="765"/>
      <c r="B205" s="765"/>
      <c r="C205" s="765"/>
      <c r="D205" s="250" t="s">
        <v>476</v>
      </c>
      <c r="E205" s="758"/>
      <c r="F205" s="759"/>
      <c r="G205" s="759"/>
      <c r="H205" s="759"/>
      <c r="I205" s="759"/>
      <c r="J205" s="758"/>
      <c r="K205" s="759"/>
      <c r="L205" s="759"/>
      <c r="M205" s="759"/>
      <c r="N205" s="759"/>
      <c r="O205" s="796"/>
      <c r="P205" s="791"/>
    </row>
    <row r="206" spans="1:16" s="138" customFormat="1" ht="181.5" thickTop="1" thickBot="1" x14ac:dyDescent="0.25">
      <c r="A206" s="691" t="s">
        <v>643</v>
      </c>
      <c r="B206" s="691"/>
      <c r="C206" s="691"/>
      <c r="D206" s="692" t="s">
        <v>673</v>
      </c>
      <c r="E206" s="693">
        <f>E207</f>
        <v>266554629</v>
      </c>
      <c r="F206" s="694">
        <f t="shared" ref="F206:G206" si="215">F207</f>
        <v>266554629</v>
      </c>
      <c r="G206" s="694">
        <f t="shared" si="215"/>
        <v>8182274</v>
      </c>
      <c r="H206" s="694">
        <f>H207</f>
        <v>154170</v>
      </c>
      <c r="I206" s="694">
        <f t="shared" ref="I206" si="216">I207</f>
        <v>0</v>
      </c>
      <c r="J206" s="693">
        <f>J207</f>
        <v>151919550.61000001</v>
      </c>
      <c r="K206" s="694">
        <f>K207</f>
        <v>150622013.57999998</v>
      </c>
      <c r="L206" s="694">
        <f>L207</f>
        <v>140000</v>
      </c>
      <c r="M206" s="694">
        <f t="shared" ref="M206" si="217">M207</f>
        <v>0</v>
      </c>
      <c r="N206" s="693">
        <f>N207</f>
        <v>0</v>
      </c>
      <c r="O206" s="693">
        <f>O207</f>
        <v>151779550.61000001</v>
      </c>
      <c r="P206" s="694">
        <f>P207</f>
        <v>418474179.61000001</v>
      </c>
    </row>
    <row r="207" spans="1:16" s="138" customFormat="1" ht="181.5" thickTop="1" thickBot="1" x14ac:dyDescent="0.25">
      <c r="A207" s="695" t="s">
        <v>644</v>
      </c>
      <c r="B207" s="695"/>
      <c r="C207" s="695"/>
      <c r="D207" s="696" t="s">
        <v>674</v>
      </c>
      <c r="E207" s="697">
        <f>E208+E212+E218+E230</f>
        <v>266554629</v>
      </c>
      <c r="F207" s="697">
        <f t="shared" ref="F207:I207" si="218">F208+F212+F218+F230</f>
        <v>266554629</v>
      </c>
      <c r="G207" s="697">
        <f t="shared" si="218"/>
        <v>8182274</v>
      </c>
      <c r="H207" s="697">
        <f t="shared" si="218"/>
        <v>154170</v>
      </c>
      <c r="I207" s="697">
        <f t="shared" si="218"/>
        <v>0</v>
      </c>
      <c r="J207" s="697">
        <f t="shared" ref="J207:J228" si="219">L207+O207</f>
        <v>151919550.61000001</v>
      </c>
      <c r="K207" s="697">
        <f t="shared" ref="K207:O207" si="220">K208+K212+K218+K230</f>
        <v>150622013.57999998</v>
      </c>
      <c r="L207" s="697">
        <f t="shared" si="220"/>
        <v>140000</v>
      </c>
      <c r="M207" s="697">
        <f t="shared" si="220"/>
        <v>0</v>
      </c>
      <c r="N207" s="697">
        <f t="shared" si="220"/>
        <v>0</v>
      </c>
      <c r="O207" s="697">
        <f t="shared" si="220"/>
        <v>151779550.61000001</v>
      </c>
      <c r="P207" s="698">
        <f>E207+J207</f>
        <v>418474179.61000001</v>
      </c>
    </row>
    <row r="208" spans="1:16" s="306" customFormat="1" ht="47.25" thickTop="1" thickBot="1" x14ac:dyDescent="0.25">
      <c r="A208" s="360" t="s">
        <v>963</v>
      </c>
      <c r="B208" s="360" t="s">
        <v>844</v>
      </c>
      <c r="C208" s="360"/>
      <c r="D208" s="360" t="s">
        <v>845</v>
      </c>
      <c r="E208" s="307">
        <f>SUM(E209:E211)</f>
        <v>8498737</v>
      </c>
      <c r="F208" s="307">
        <f t="shared" ref="F208:P208" si="221">SUM(F209:F211)</f>
        <v>8498737</v>
      </c>
      <c r="G208" s="307">
        <f t="shared" si="221"/>
        <v>6393415</v>
      </c>
      <c r="H208" s="307">
        <f t="shared" si="221"/>
        <v>74385</v>
      </c>
      <c r="I208" s="307">
        <f t="shared" si="221"/>
        <v>0</v>
      </c>
      <c r="J208" s="307">
        <f t="shared" si="221"/>
        <v>144000</v>
      </c>
      <c r="K208" s="307">
        <f t="shared" si="221"/>
        <v>144000</v>
      </c>
      <c r="L208" s="307">
        <f t="shared" si="221"/>
        <v>0</v>
      </c>
      <c r="M208" s="307">
        <f t="shared" si="221"/>
        <v>0</v>
      </c>
      <c r="N208" s="307">
        <f t="shared" si="221"/>
        <v>0</v>
      </c>
      <c r="O208" s="307">
        <f t="shared" si="221"/>
        <v>144000</v>
      </c>
      <c r="P208" s="307">
        <f t="shared" si="221"/>
        <v>8642737</v>
      </c>
    </row>
    <row r="209" spans="1:16" s="138" customFormat="1" ht="230.25" thickTop="1" thickBot="1" x14ac:dyDescent="0.25">
      <c r="A209" s="200" t="s">
        <v>645</v>
      </c>
      <c r="B209" s="200" t="s">
        <v>257</v>
      </c>
      <c r="C209" s="200" t="s">
        <v>255</v>
      </c>
      <c r="D209" s="200" t="s">
        <v>256</v>
      </c>
      <c r="E209" s="244">
        <f>F209</f>
        <v>8390737</v>
      </c>
      <c r="F209" s="148">
        <f>(6393415+1406550+212730+120360+12160+22680+39015+5208+25686+4476-8000)+3600+6087+47020+36500+5000+41700+6400+10150</f>
        <v>8390737</v>
      </c>
      <c r="G209" s="148">
        <v>6393415</v>
      </c>
      <c r="H209" s="148">
        <f>(39015+5208+25686+4476)</f>
        <v>74385</v>
      </c>
      <c r="I209" s="148"/>
      <c r="J209" s="241">
        <f t="shared" si="219"/>
        <v>144000</v>
      </c>
      <c r="K209" s="148">
        <v>144000</v>
      </c>
      <c r="L209" s="149"/>
      <c r="M209" s="149"/>
      <c r="N209" s="149"/>
      <c r="O209" s="243">
        <f t="shared" ref="O209:O226" si="222">K209</f>
        <v>144000</v>
      </c>
      <c r="P209" s="241">
        <f t="shared" ref="P209:P215" si="223">+J209+E209</f>
        <v>8534737</v>
      </c>
    </row>
    <row r="210" spans="1:16" s="239" customFormat="1" ht="184.5" thickTop="1" thickBot="1" x14ac:dyDescent="0.25">
      <c r="A210" s="240" t="s">
        <v>788</v>
      </c>
      <c r="B210" s="240" t="s">
        <v>390</v>
      </c>
      <c r="C210" s="240" t="s">
        <v>779</v>
      </c>
      <c r="D210" s="240" t="s">
        <v>780</v>
      </c>
      <c r="E210" s="244">
        <f>F210</f>
        <v>8000</v>
      </c>
      <c r="F210" s="148">
        <v>8000</v>
      </c>
      <c r="G210" s="148"/>
      <c r="H210" s="148"/>
      <c r="I210" s="148"/>
      <c r="J210" s="241">
        <f t="shared" ref="J210" si="224">L210+O210</f>
        <v>0</v>
      </c>
      <c r="K210" s="148"/>
      <c r="L210" s="149"/>
      <c r="M210" s="149"/>
      <c r="N210" s="149"/>
      <c r="O210" s="243">
        <f t="shared" ref="O210" si="225">K210</f>
        <v>0</v>
      </c>
      <c r="P210" s="241">
        <f t="shared" ref="P210" si="226">+J210+E210</f>
        <v>8000</v>
      </c>
    </row>
    <row r="211" spans="1:16" s="138" customFormat="1" ht="93" thickTop="1" thickBot="1" x14ac:dyDescent="0.25">
      <c r="A211" s="200" t="s">
        <v>646</v>
      </c>
      <c r="B211" s="200" t="s">
        <v>45</v>
      </c>
      <c r="C211" s="200" t="s">
        <v>44</v>
      </c>
      <c r="D211" s="200" t="s">
        <v>269</v>
      </c>
      <c r="E211" s="244">
        <f>F211</f>
        <v>100000</v>
      </c>
      <c r="F211" s="148">
        <v>100000</v>
      </c>
      <c r="G211" s="148"/>
      <c r="H211" s="148"/>
      <c r="I211" s="148"/>
      <c r="J211" s="241">
        <f t="shared" si="219"/>
        <v>0</v>
      </c>
      <c r="K211" s="148"/>
      <c r="L211" s="149"/>
      <c r="M211" s="149"/>
      <c r="N211" s="149"/>
      <c r="O211" s="243">
        <f t="shared" si="222"/>
        <v>0</v>
      </c>
      <c r="P211" s="241">
        <f t="shared" si="223"/>
        <v>100000</v>
      </c>
    </row>
    <row r="212" spans="1:16" s="306" customFormat="1" ht="91.5" thickTop="1" thickBot="1" x14ac:dyDescent="0.25">
      <c r="A212" s="152" t="s">
        <v>964</v>
      </c>
      <c r="B212" s="359" t="s">
        <v>906</v>
      </c>
      <c r="C212" s="359"/>
      <c r="D212" s="356" t="s">
        <v>907</v>
      </c>
      <c r="E212" s="244">
        <f>SUM(E213:E217)-E213</f>
        <v>205415948</v>
      </c>
      <c r="F212" s="244">
        <f t="shared" ref="F212:O212" si="227">SUM(F213:F217)-F213</f>
        <v>205415948</v>
      </c>
      <c r="G212" s="244">
        <f t="shared" si="227"/>
        <v>0</v>
      </c>
      <c r="H212" s="244">
        <f t="shared" si="227"/>
        <v>50000</v>
      </c>
      <c r="I212" s="244">
        <f t="shared" si="227"/>
        <v>0</v>
      </c>
      <c r="J212" s="244">
        <f t="shared" si="227"/>
        <v>16490439</v>
      </c>
      <c r="K212" s="244">
        <f t="shared" si="227"/>
        <v>16490439</v>
      </c>
      <c r="L212" s="244">
        <f t="shared" si="227"/>
        <v>0</v>
      </c>
      <c r="M212" s="244">
        <f t="shared" si="227"/>
        <v>0</v>
      </c>
      <c r="N212" s="244">
        <f t="shared" si="227"/>
        <v>0</v>
      </c>
      <c r="O212" s="244">
        <f t="shared" si="227"/>
        <v>16490439</v>
      </c>
      <c r="P212" s="244">
        <f t="shared" ref="P212" si="228">SUM(P213:P217)-P213</f>
        <v>221906387</v>
      </c>
    </row>
    <row r="213" spans="1:16" s="306" customFormat="1" ht="184.5" thickTop="1" thickBot="1" x14ac:dyDescent="0.25">
      <c r="A213" s="353" t="s">
        <v>965</v>
      </c>
      <c r="B213" s="318" t="s">
        <v>956</v>
      </c>
      <c r="C213" s="318"/>
      <c r="D213" s="318" t="s">
        <v>957</v>
      </c>
      <c r="E213" s="363">
        <f>SUM(E214:E215)</f>
        <v>34561000</v>
      </c>
      <c r="F213" s="363">
        <f t="shared" ref="F213:P213" si="229">SUM(F214:F215)</f>
        <v>34561000</v>
      </c>
      <c r="G213" s="363">
        <f t="shared" si="229"/>
        <v>0</v>
      </c>
      <c r="H213" s="363">
        <f t="shared" si="229"/>
        <v>0</v>
      </c>
      <c r="I213" s="363">
        <f t="shared" si="229"/>
        <v>0</v>
      </c>
      <c r="J213" s="363">
        <f t="shared" si="229"/>
        <v>0</v>
      </c>
      <c r="K213" s="363">
        <f t="shared" si="229"/>
        <v>0</v>
      </c>
      <c r="L213" s="363">
        <f t="shared" si="229"/>
        <v>0</v>
      </c>
      <c r="M213" s="363">
        <f t="shared" si="229"/>
        <v>0</v>
      </c>
      <c r="N213" s="363">
        <f t="shared" si="229"/>
        <v>0</v>
      </c>
      <c r="O213" s="363">
        <f t="shared" si="229"/>
        <v>0</v>
      </c>
      <c r="P213" s="363">
        <f t="shared" si="229"/>
        <v>34561000</v>
      </c>
    </row>
    <row r="214" spans="1:16" s="138" customFormat="1" ht="138.75" thickTop="1" thickBot="1" x14ac:dyDescent="0.25">
      <c r="A214" s="200" t="s">
        <v>647</v>
      </c>
      <c r="B214" s="200" t="s">
        <v>405</v>
      </c>
      <c r="C214" s="200" t="s">
        <v>304</v>
      </c>
      <c r="D214" s="200" t="s">
        <v>406</v>
      </c>
      <c r="E214" s="244">
        <f t="shared" ref="E214:E226" si="230">F214</f>
        <v>31000000</v>
      </c>
      <c r="F214" s="148">
        <f>(28000000)+3000000</f>
        <v>31000000</v>
      </c>
      <c r="G214" s="148"/>
      <c r="H214" s="148"/>
      <c r="I214" s="148"/>
      <c r="J214" s="241">
        <f t="shared" si="219"/>
        <v>0</v>
      </c>
      <c r="K214" s="148"/>
      <c r="L214" s="149"/>
      <c r="M214" s="149"/>
      <c r="N214" s="149"/>
      <c r="O214" s="243">
        <f t="shared" si="222"/>
        <v>0</v>
      </c>
      <c r="P214" s="241">
        <f t="shared" si="223"/>
        <v>31000000</v>
      </c>
    </row>
    <row r="215" spans="1:16" s="138" customFormat="1" ht="138.75" thickTop="1" thickBot="1" x14ac:dyDescent="0.25">
      <c r="A215" s="200" t="s">
        <v>648</v>
      </c>
      <c r="B215" s="200" t="s">
        <v>307</v>
      </c>
      <c r="C215" s="200" t="s">
        <v>304</v>
      </c>
      <c r="D215" s="200" t="s">
        <v>308</v>
      </c>
      <c r="E215" s="244">
        <f t="shared" si="230"/>
        <v>3561000</v>
      </c>
      <c r="F215" s="148">
        <f>(3751000)-190000</f>
        <v>3561000</v>
      </c>
      <c r="G215" s="148"/>
      <c r="H215" s="148"/>
      <c r="I215" s="148"/>
      <c r="J215" s="241">
        <f t="shared" si="219"/>
        <v>0</v>
      </c>
      <c r="K215" s="148"/>
      <c r="L215" s="149"/>
      <c r="M215" s="149"/>
      <c r="N215" s="149"/>
      <c r="O215" s="243">
        <f t="shared" si="222"/>
        <v>0</v>
      </c>
      <c r="P215" s="241">
        <f t="shared" si="223"/>
        <v>3561000</v>
      </c>
    </row>
    <row r="216" spans="1:16" s="138" customFormat="1" ht="230.25" thickTop="1" thickBot="1" x14ac:dyDescent="0.25">
      <c r="A216" s="200" t="s">
        <v>649</v>
      </c>
      <c r="B216" s="200" t="s">
        <v>319</v>
      </c>
      <c r="C216" s="200" t="s">
        <v>304</v>
      </c>
      <c r="D216" s="200" t="s">
        <v>320</v>
      </c>
      <c r="E216" s="244">
        <f t="shared" si="230"/>
        <v>3930000</v>
      </c>
      <c r="F216" s="148">
        <f>(700000+2730000)+500000</f>
        <v>3930000</v>
      </c>
      <c r="G216" s="148"/>
      <c r="H216" s="148"/>
      <c r="I216" s="148"/>
      <c r="J216" s="241">
        <f t="shared" si="219"/>
        <v>0</v>
      </c>
      <c r="K216" s="242"/>
      <c r="L216" s="148"/>
      <c r="M216" s="148"/>
      <c r="N216" s="148"/>
      <c r="O216" s="243">
        <f t="shared" si="222"/>
        <v>0</v>
      </c>
      <c r="P216" s="241">
        <f t="shared" ref="P216:P220" si="231">E216+J216</f>
        <v>3930000</v>
      </c>
    </row>
    <row r="217" spans="1:16" s="138" customFormat="1" ht="93" thickTop="1" thickBot="1" x14ac:dyDescent="0.25">
      <c r="A217" s="200" t="s">
        <v>650</v>
      </c>
      <c r="B217" s="200" t="s">
        <v>310</v>
      </c>
      <c r="C217" s="200" t="s">
        <v>304</v>
      </c>
      <c r="D217" s="200" t="s">
        <v>311</v>
      </c>
      <c r="E217" s="244">
        <f t="shared" si="230"/>
        <v>166924948</v>
      </c>
      <c r="F217" s="148">
        <f>((149686023)+1365600)+15873325</f>
        <v>166924948</v>
      </c>
      <c r="G217" s="148"/>
      <c r="H217" s="148">
        <v>50000</v>
      </c>
      <c r="I217" s="148"/>
      <c r="J217" s="241">
        <f t="shared" si="219"/>
        <v>16490439</v>
      </c>
      <c r="K217" s="242">
        <f>((15915164)-1205016)+1780291</f>
        <v>16490439</v>
      </c>
      <c r="L217" s="148"/>
      <c r="M217" s="148"/>
      <c r="N217" s="148"/>
      <c r="O217" s="243">
        <f t="shared" si="222"/>
        <v>16490439</v>
      </c>
      <c r="P217" s="241">
        <f t="shared" si="231"/>
        <v>183415387</v>
      </c>
    </row>
    <row r="218" spans="1:16" s="306" customFormat="1" ht="47.25" thickTop="1" thickBot="1" x14ac:dyDescent="0.25">
      <c r="A218" s="152" t="s">
        <v>966</v>
      </c>
      <c r="B218" s="359" t="s">
        <v>912</v>
      </c>
      <c r="C218" s="359"/>
      <c r="D218" s="359" t="s">
        <v>913</v>
      </c>
      <c r="E218" s="244">
        <f>E219+E221+E224</f>
        <v>50079366</v>
      </c>
      <c r="F218" s="244">
        <f t="shared" ref="F218:P218" si="232">F219+F221+F224</f>
        <v>50079366</v>
      </c>
      <c r="G218" s="244">
        <f t="shared" si="232"/>
        <v>0</v>
      </c>
      <c r="H218" s="244">
        <f t="shared" si="232"/>
        <v>0</v>
      </c>
      <c r="I218" s="244">
        <f t="shared" si="232"/>
        <v>0</v>
      </c>
      <c r="J218" s="244">
        <f>J219+J221+J224</f>
        <v>135253111.61000001</v>
      </c>
      <c r="K218" s="244">
        <f t="shared" si="232"/>
        <v>133955574.58</v>
      </c>
      <c r="L218" s="244">
        <f t="shared" si="232"/>
        <v>140000</v>
      </c>
      <c r="M218" s="244">
        <f t="shared" si="232"/>
        <v>0</v>
      </c>
      <c r="N218" s="244">
        <f t="shared" si="232"/>
        <v>0</v>
      </c>
      <c r="O218" s="244">
        <f t="shared" si="232"/>
        <v>135113111.61000001</v>
      </c>
      <c r="P218" s="244">
        <f t="shared" si="232"/>
        <v>185332477.61000001</v>
      </c>
    </row>
    <row r="219" spans="1:16" s="306" customFormat="1" ht="91.5" thickTop="1" thickBot="1" x14ac:dyDescent="0.25">
      <c r="A219" s="357" t="s">
        <v>967</v>
      </c>
      <c r="B219" s="357" t="s">
        <v>968</v>
      </c>
      <c r="C219" s="357"/>
      <c r="D219" s="357" t="s">
        <v>969</v>
      </c>
      <c r="E219" s="362">
        <f>E220</f>
        <v>0</v>
      </c>
      <c r="F219" s="362">
        <f t="shared" ref="F219:P219" si="233">F220</f>
        <v>0</v>
      </c>
      <c r="G219" s="362">
        <f t="shared" si="233"/>
        <v>0</v>
      </c>
      <c r="H219" s="362">
        <f t="shared" si="233"/>
        <v>0</v>
      </c>
      <c r="I219" s="362">
        <f t="shared" si="233"/>
        <v>0</v>
      </c>
      <c r="J219" s="362">
        <f t="shared" si="233"/>
        <v>5300000</v>
      </c>
      <c r="K219" s="362">
        <f t="shared" si="233"/>
        <v>5300000</v>
      </c>
      <c r="L219" s="362">
        <f t="shared" si="233"/>
        <v>0</v>
      </c>
      <c r="M219" s="362">
        <f t="shared" si="233"/>
        <v>0</v>
      </c>
      <c r="N219" s="362">
        <f t="shared" si="233"/>
        <v>0</v>
      </c>
      <c r="O219" s="362">
        <f t="shared" si="233"/>
        <v>5300000</v>
      </c>
      <c r="P219" s="362">
        <f t="shared" si="233"/>
        <v>5300000</v>
      </c>
    </row>
    <row r="220" spans="1:16" s="138" customFormat="1" ht="99.75" thickTop="1" thickBot="1" x14ac:dyDescent="0.25">
      <c r="A220" s="200" t="s">
        <v>651</v>
      </c>
      <c r="B220" s="200" t="s">
        <v>327</v>
      </c>
      <c r="C220" s="200" t="s">
        <v>326</v>
      </c>
      <c r="D220" s="200" t="s">
        <v>781</v>
      </c>
      <c r="E220" s="244">
        <f t="shared" si="230"/>
        <v>0</v>
      </c>
      <c r="F220" s="148"/>
      <c r="G220" s="148"/>
      <c r="H220" s="148"/>
      <c r="I220" s="148"/>
      <c r="J220" s="241">
        <f>L220+O220</f>
        <v>5300000</v>
      </c>
      <c r="K220" s="242">
        <f>((5200000)+1080522)-980522</f>
        <v>5300000</v>
      </c>
      <c r="L220" s="148"/>
      <c r="M220" s="148"/>
      <c r="N220" s="148"/>
      <c r="O220" s="243">
        <f>K220</f>
        <v>5300000</v>
      </c>
      <c r="P220" s="241">
        <f t="shared" si="231"/>
        <v>5300000</v>
      </c>
    </row>
    <row r="221" spans="1:16" s="306" customFormat="1" ht="136.5" thickTop="1" thickBot="1" x14ac:dyDescent="0.25">
      <c r="A221" s="357" t="s">
        <v>970</v>
      </c>
      <c r="B221" s="357" t="s">
        <v>971</v>
      </c>
      <c r="C221" s="357"/>
      <c r="D221" s="357" t="s">
        <v>972</v>
      </c>
      <c r="E221" s="362">
        <f t="shared" ref="E221:P222" si="234">E222</f>
        <v>50079366</v>
      </c>
      <c r="F221" s="362">
        <f t="shared" si="234"/>
        <v>50079366</v>
      </c>
      <c r="G221" s="362">
        <f t="shared" si="234"/>
        <v>0</v>
      </c>
      <c r="H221" s="362">
        <f t="shared" si="234"/>
        <v>0</v>
      </c>
      <c r="I221" s="362">
        <f t="shared" si="234"/>
        <v>0</v>
      </c>
      <c r="J221" s="362">
        <f t="shared" si="234"/>
        <v>64664228.030000001</v>
      </c>
      <c r="K221" s="362">
        <f t="shared" si="234"/>
        <v>64537213</v>
      </c>
      <c r="L221" s="362">
        <f t="shared" si="234"/>
        <v>0</v>
      </c>
      <c r="M221" s="362">
        <f t="shared" si="234"/>
        <v>0</v>
      </c>
      <c r="N221" s="362">
        <f t="shared" si="234"/>
        <v>0</v>
      </c>
      <c r="O221" s="362">
        <f t="shared" si="234"/>
        <v>64664228.030000001</v>
      </c>
      <c r="P221" s="362">
        <f t="shared" si="234"/>
        <v>114743594.03</v>
      </c>
    </row>
    <row r="222" spans="1:16" s="608" customFormat="1" ht="138.75" thickTop="1" thickBot="1" x14ac:dyDescent="0.25">
      <c r="A222" s="609" t="s">
        <v>1247</v>
      </c>
      <c r="B222" s="353" t="s">
        <v>1248</v>
      </c>
      <c r="C222" s="357"/>
      <c r="D222" s="353" t="s">
        <v>1249</v>
      </c>
      <c r="E222" s="363">
        <f t="shared" si="234"/>
        <v>50079366</v>
      </c>
      <c r="F222" s="363">
        <f t="shared" si="234"/>
        <v>50079366</v>
      </c>
      <c r="G222" s="363">
        <f t="shared" si="234"/>
        <v>0</v>
      </c>
      <c r="H222" s="363">
        <f t="shared" si="234"/>
        <v>0</v>
      </c>
      <c r="I222" s="363">
        <f t="shared" si="234"/>
        <v>0</v>
      </c>
      <c r="J222" s="363">
        <f t="shared" si="234"/>
        <v>64664228.030000001</v>
      </c>
      <c r="K222" s="363">
        <f t="shared" si="234"/>
        <v>64537213</v>
      </c>
      <c r="L222" s="363">
        <f t="shared" si="234"/>
        <v>0</v>
      </c>
      <c r="M222" s="363">
        <f t="shared" si="234"/>
        <v>0</v>
      </c>
      <c r="N222" s="363">
        <f t="shared" si="234"/>
        <v>0</v>
      </c>
      <c r="O222" s="363">
        <f t="shared" si="234"/>
        <v>64664228.030000001</v>
      </c>
      <c r="P222" s="363">
        <f t="shared" si="234"/>
        <v>114743594.03</v>
      </c>
    </row>
    <row r="223" spans="1:16" s="138" customFormat="1" ht="230.25" thickTop="1" thickBot="1" x14ac:dyDescent="0.25">
      <c r="A223" s="200" t="s">
        <v>652</v>
      </c>
      <c r="B223" s="200" t="s">
        <v>315</v>
      </c>
      <c r="C223" s="200" t="s">
        <v>317</v>
      </c>
      <c r="D223" s="200" t="s">
        <v>316</v>
      </c>
      <c r="E223" s="244">
        <f t="shared" si="230"/>
        <v>50079366</v>
      </c>
      <c r="F223" s="148">
        <f>((48273558)+4594808)-2789000</f>
        <v>50079366</v>
      </c>
      <c r="G223" s="148"/>
      <c r="H223" s="148"/>
      <c r="I223" s="148"/>
      <c r="J223" s="241">
        <f t="shared" si="219"/>
        <v>64664228.030000001</v>
      </c>
      <c r="K223" s="148">
        <f>(16932021+60000000)-5594808-6800000</f>
        <v>64537213</v>
      </c>
      <c r="L223" s="149"/>
      <c r="M223" s="149"/>
      <c r="N223" s="149"/>
      <c r="O223" s="243">
        <f>K223+127015.03</f>
        <v>64664228.030000001</v>
      </c>
      <c r="P223" s="241">
        <f>+J223+E223</f>
        <v>114743594.03</v>
      </c>
    </row>
    <row r="224" spans="1:16" s="306" customFormat="1" ht="136.5" thickTop="1" thickBot="1" x14ac:dyDescent="0.25">
      <c r="A224" s="357" t="s">
        <v>973</v>
      </c>
      <c r="B224" s="357" t="s">
        <v>851</v>
      </c>
      <c r="C224" s="357"/>
      <c r="D224" s="357" t="s">
        <v>849</v>
      </c>
      <c r="E224" s="362">
        <f>SUM(E225:E229)-E227</f>
        <v>0</v>
      </c>
      <c r="F224" s="362">
        <f t="shared" ref="F224:I224" si="235">SUM(F225:F229)-F227</f>
        <v>0</v>
      </c>
      <c r="G224" s="362">
        <f t="shared" si="235"/>
        <v>0</v>
      </c>
      <c r="H224" s="362">
        <f t="shared" si="235"/>
        <v>0</v>
      </c>
      <c r="I224" s="362">
        <f t="shared" si="235"/>
        <v>0</v>
      </c>
      <c r="J224" s="362">
        <f>SUM(J225:J229)-J227</f>
        <v>65288883.579999998</v>
      </c>
      <c r="K224" s="362">
        <f t="shared" ref="K224:P224" si="236">SUM(K225:K229)-K227</f>
        <v>64118361.579999998</v>
      </c>
      <c r="L224" s="362">
        <f t="shared" si="236"/>
        <v>140000</v>
      </c>
      <c r="M224" s="362">
        <f t="shared" si="236"/>
        <v>0</v>
      </c>
      <c r="N224" s="362">
        <f t="shared" si="236"/>
        <v>0</v>
      </c>
      <c r="O224" s="362">
        <f t="shared" si="236"/>
        <v>65148883.579999998</v>
      </c>
      <c r="P224" s="362">
        <f t="shared" si="236"/>
        <v>65288883.579999998</v>
      </c>
    </row>
    <row r="225" spans="1:16" s="138" customFormat="1" ht="48" thickTop="1" thickBot="1" x14ac:dyDescent="0.25">
      <c r="A225" s="200" t="s">
        <v>653</v>
      </c>
      <c r="B225" s="200" t="s">
        <v>233</v>
      </c>
      <c r="C225" s="200" t="s">
        <v>234</v>
      </c>
      <c r="D225" s="200" t="s">
        <v>43</v>
      </c>
      <c r="E225" s="244">
        <f t="shared" si="230"/>
        <v>0</v>
      </c>
      <c r="F225" s="148"/>
      <c r="G225" s="148"/>
      <c r="H225" s="148"/>
      <c r="I225" s="148"/>
      <c r="J225" s="241">
        <f t="shared" si="219"/>
        <v>20549522.579999998</v>
      </c>
      <c r="K225" s="242">
        <f>(18508795.58)+2040727</f>
        <v>20549522.579999998</v>
      </c>
      <c r="L225" s="148"/>
      <c r="M225" s="148"/>
      <c r="N225" s="148"/>
      <c r="O225" s="243">
        <f t="shared" si="222"/>
        <v>20549522.579999998</v>
      </c>
      <c r="P225" s="241">
        <f>E225+J225</f>
        <v>20549522.579999998</v>
      </c>
    </row>
    <row r="226" spans="1:16" s="138" customFormat="1" ht="93" thickTop="1" thickBot="1" x14ac:dyDescent="0.25">
      <c r="A226" s="200" t="s">
        <v>654</v>
      </c>
      <c r="B226" s="200" t="s">
        <v>218</v>
      </c>
      <c r="C226" s="200" t="s">
        <v>187</v>
      </c>
      <c r="D226" s="200" t="s">
        <v>36</v>
      </c>
      <c r="E226" s="244">
        <f t="shared" si="230"/>
        <v>0</v>
      </c>
      <c r="F226" s="148"/>
      <c r="G226" s="148"/>
      <c r="H226" s="148"/>
      <c r="I226" s="148"/>
      <c r="J226" s="241">
        <f t="shared" si="219"/>
        <v>43568839</v>
      </c>
      <c r="K226" s="242">
        <f>((14547011+1000000)+25241713)+2780115</f>
        <v>43568839</v>
      </c>
      <c r="L226" s="148"/>
      <c r="M226" s="148"/>
      <c r="N226" s="148"/>
      <c r="O226" s="243">
        <f t="shared" si="222"/>
        <v>43568839</v>
      </c>
      <c r="P226" s="241">
        <f>E226+J226</f>
        <v>43568839</v>
      </c>
    </row>
    <row r="227" spans="1:16" s="306" customFormat="1" ht="48" thickTop="1" thickBot="1" x14ac:dyDescent="0.25">
      <c r="A227" s="353" t="s">
        <v>974</v>
      </c>
      <c r="B227" s="353" t="s">
        <v>854</v>
      </c>
      <c r="C227" s="353"/>
      <c r="D227" s="353" t="s">
        <v>962</v>
      </c>
      <c r="E227" s="363">
        <f>E228</f>
        <v>0</v>
      </c>
      <c r="F227" s="363">
        <f t="shared" ref="F227:P227" si="237">F228</f>
        <v>0</v>
      </c>
      <c r="G227" s="363">
        <f t="shared" si="237"/>
        <v>0</v>
      </c>
      <c r="H227" s="363">
        <f t="shared" si="237"/>
        <v>0</v>
      </c>
      <c r="I227" s="363">
        <f t="shared" si="237"/>
        <v>0</v>
      </c>
      <c r="J227" s="363">
        <f t="shared" si="237"/>
        <v>1170522</v>
      </c>
      <c r="K227" s="363">
        <f t="shared" si="237"/>
        <v>0</v>
      </c>
      <c r="L227" s="363">
        <f t="shared" si="237"/>
        <v>140000</v>
      </c>
      <c r="M227" s="363">
        <f t="shared" si="237"/>
        <v>0</v>
      </c>
      <c r="N227" s="363">
        <f t="shared" si="237"/>
        <v>0</v>
      </c>
      <c r="O227" s="363">
        <f t="shared" si="237"/>
        <v>1030522</v>
      </c>
      <c r="P227" s="363">
        <f t="shared" si="237"/>
        <v>1170522</v>
      </c>
    </row>
    <row r="228" spans="1:16" s="138" customFormat="1" ht="409.6" thickTop="1" thickBot="1" x14ac:dyDescent="0.7">
      <c r="A228" s="765" t="s">
        <v>655</v>
      </c>
      <c r="B228" s="765" t="s">
        <v>365</v>
      </c>
      <c r="C228" s="765" t="s">
        <v>187</v>
      </c>
      <c r="D228" s="246" t="s">
        <v>475</v>
      </c>
      <c r="E228" s="758"/>
      <c r="F228" s="759"/>
      <c r="G228" s="759"/>
      <c r="H228" s="759"/>
      <c r="I228" s="759"/>
      <c r="J228" s="758">
        <f t="shared" si="219"/>
        <v>1170522</v>
      </c>
      <c r="K228" s="759"/>
      <c r="L228" s="759">
        <f>((190000)-50000)</f>
        <v>140000</v>
      </c>
      <c r="M228" s="759"/>
      <c r="N228" s="759"/>
      <c r="O228" s="796">
        <f>(K228+50000)+980522</f>
        <v>1030522</v>
      </c>
      <c r="P228" s="791">
        <f>E228+J228</f>
        <v>1170522</v>
      </c>
    </row>
    <row r="229" spans="1:16" s="138" customFormat="1" ht="184.5" thickTop="1" thickBot="1" x14ac:dyDescent="0.25">
      <c r="A229" s="765"/>
      <c r="B229" s="765"/>
      <c r="C229" s="765"/>
      <c r="D229" s="250" t="s">
        <v>476</v>
      </c>
      <c r="E229" s="758"/>
      <c r="F229" s="759"/>
      <c r="G229" s="759"/>
      <c r="H229" s="759"/>
      <c r="I229" s="759"/>
      <c r="J229" s="758"/>
      <c r="K229" s="759"/>
      <c r="L229" s="759"/>
      <c r="M229" s="759"/>
      <c r="N229" s="759"/>
      <c r="O229" s="796"/>
      <c r="P229" s="791"/>
    </row>
    <row r="230" spans="1:16" s="306" customFormat="1" ht="47.25" thickTop="1" thickBot="1" x14ac:dyDescent="0.25">
      <c r="A230" s="152" t="s">
        <v>975</v>
      </c>
      <c r="B230" s="360" t="s">
        <v>856</v>
      </c>
      <c r="C230" s="360"/>
      <c r="D230" s="367" t="s">
        <v>857</v>
      </c>
      <c r="E230" s="307">
        <f>E231</f>
        <v>2560578</v>
      </c>
      <c r="F230" s="307">
        <f t="shared" ref="F230:P230" si="238">F231</f>
        <v>2560578</v>
      </c>
      <c r="G230" s="307">
        <f t="shared" si="238"/>
        <v>1788859</v>
      </c>
      <c r="H230" s="307">
        <f t="shared" si="238"/>
        <v>29785</v>
      </c>
      <c r="I230" s="307">
        <f t="shared" si="238"/>
        <v>0</v>
      </c>
      <c r="J230" s="307">
        <f t="shared" si="238"/>
        <v>32000</v>
      </c>
      <c r="K230" s="307">
        <f t="shared" si="238"/>
        <v>32000</v>
      </c>
      <c r="L230" s="307">
        <f t="shared" si="238"/>
        <v>0</v>
      </c>
      <c r="M230" s="307">
        <f t="shared" si="238"/>
        <v>0</v>
      </c>
      <c r="N230" s="307">
        <f t="shared" si="238"/>
        <v>0</v>
      </c>
      <c r="O230" s="307">
        <f t="shared" si="238"/>
        <v>32000</v>
      </c>
      <c r="P230" s="307">
        <f t="shared" si="238"/>
        <v>2592578</v>
      </c>
    </row>
    <row r="231" spans="1:16" s="306" customFormat="1" ht="181.5" thickTop="1" thickBot="1" x14ac:dyDescent="0.25">
      <c r="A231" s="357" t="s">
        <v>977</v>
      </c>
      <c r="B231" s="319" t="s">
        <v>978</v>
      </c>
      <c r="C231" s="319"/>
      <c r="D231" s="368" t="s">
        <v>976</v>
      </c>
      <c r="E231" s="288">
        <f>SUM(E232:E234)</f>
        <v>2560578</v>
      </c>
      <c r="F231" s="288">
        <f t="shared" ref="F231:P231" si="239">SUM(F232:F234)</f>
        <v>2560578</v>
      </c>
      <c r="G231" s="288">
        <f t="shared" si="239"/>
        <v>1788859</v>
      </c>
      <c r="H231" s="288">
        <f t="shared" si="239"/>
        <v>29785</v>
      </c>
      <c r="I231" s="288">
        <f t="shared" si="239"/>
        <v>0</v>
      </c>
      <c r="J231" s="288">
        <f t="shared" si="239"/>
        <v>32000</v>
      </c>
      <c r="K231" s="288">
        <f t="shared" si="239"/>
        <v>32000</v>
      </c>
      <c r="L231" s="288">
        <f t="shared" si="239"/>
        <v>0</v>
      </c>
      <c r="M231" s="288">
        <f t="shared" si="239"/>
        <v>0</v>
      </c>
      <c r="N231" s="288">
        <f t="shared" si="239"/>
        <v>0</v>
      </c>
      <c r="O231" s="288">
        <f t="shared" si="239"/>
        <v>32000</v>
      </c>
      <c r="P231" s="288">
        <f t="shared" si="239"/>
        <v>2592578</v>
      </c>
    </row>
    <row r="232" spans="1:16" s="138" customFormat="1" ht="184.5" thickTop="1" thickBot="1" x14ac:dyDescent="0.25">
      <c r="A232" s="200" t="s">
        <v>656</v>
      </c>
      <c r="B232" s="200" t="s">
        <v>567</v>
      </c>
      <c r="C232" s="200" t="s">
        <v>272</v>
      </c>
      <c r="D232" s="200" t="s">
        <v>568</v>
      </c>
      <c r="E232" s="244">
        <f>F232</f>
        <v>108400</v>
      </c>
      <c r="F232" s="148">
        <v>108400</v>
      </c>
      <c r="G232" s="148"/>
      <c r="H232" s="148"/>
      <c r="I232" s="148"/>
      <c r="J232" s="241">
        <f>L232+O232</f>
        <v>0</v>
      </c>
      <c r="K232" s="242"/>
      <c r="L232" s="148"/>
      <c r="M232" s="148"/>
      <c r="N232" s="148"/>
      <c r="O232" s="243">
        <f>K232</f>
        <v>0</v>
      </c>
      <c r="P232" s="241">
        <f>E232+J232</f>
        <v>108400</v>
      </c>
    </row>
    <row r="233" spans="1:16" s="138" customFormat="1" ht="93" thickTop="1" thickBot="1" x14ac:dyDescent="0.25">
      <c r="A233" s="465" t="s">
        <v>657</v>
      </c>
      <c r="B233" s="465" t="s">
        <v>271</v>
      </c>
      <c r="C233" s="465" t="s">
        <v>272</v>
      </c>
      <c r="D233" s="465" t="s">
        <v>270</v>
      </c>
      <c r="E233" s="244">
        <f t="shared" ref="E233:E234" si="240">F233</f>
        <v>2452178</v>
      </c>
      <c r="F233" s="148">
        <f>(1833178+1219000)-600000</f>
        <v>2452178</v>
      </c>
      <c r="G233" s="148">
        <f>((1494859)+894000)-600000</f>
        <v>1788859</v>
      </c>
      <c r="H233" s="148">
        <f>(20785)+9000</f>
        <v>29785</v>
      </c>
      <c r="I233" s="148"/>
      <c r="J233" s="462">
        <f>L233+O233</f>
        <v>32000</v>
      </c>
      <c r="K233" s="233">
        <v>32000</v>
      </c>
      <c r="L233" s="148"/>
      <c r="M233" s="148"/>
      <c r="N233" s="148"/>
      <c r="O233" s="464">
        <f>K233</f>
        <v>32000</v>
      </c>
      <c r="P233" s="462">
        <f>E233+J233</f>
        <v>2484178</v>
      </c>
    </row>
    <row r="234" spans="1:16" s="138" customFormat="1" ht="93" hidden="1" thickTop="1" thickBot="1" x14ac:dyDescent="0.25">
      <c r="A234" s="408" t="s">
        <v>658</v>
      </c>
      <c r="B234" s="408" t="s">
        <v>659</v>
      </c>
      <c r="C234" s="408" t="s">
        <v>272</v>
      </c>
      <c r="D234" s="408" t="s">
        <v>660</v>
      </c>
      <c r="E234" s="415">
        <f t="shared" si="240"/>
        <v>0</v>
      </c>
      <c r="F234" s="416">
        <f>(1219000)-1219000</f>
        <v>0</v>
      </c>
      <c r="G234" s="416">
        <f>(354000+540000)-894000</f>
        <v>0</v>
      </c>
      <c r="H234" s="416">
        <f>(6000+3000)-9000</f>
        <v>0</v>
      </c>
      <c r="I234" s="416"/>
      <c r="J234" s="417">
        <f>L234+O234</f>
        <v>0</v>
      </c>
      <c r="K234" s="418"/>
      <c r="L234" s="416"/>
      <c r="M234" s="416"/>
      <c r="N234" s="416"/>
      <c r="O234" s="419">
        <f>K234</f>
        <v>0</v>
      </c>
      <c r="P234" s="417">
        <f>E234+J234</f>
        <v>0</v>
      </c>
    </row>
    <row r="235" spans="1:16" ht="316.5" thickTop="1" thickBot="1" x14ac:dyDescent="0.25">
      <c r="A235" s="691" t="s">
        <v>25</v>
      </c>
      <c r="B235" s="691"/>
      <c r="C235" s="691"/>
      <c r="D235" s="692" t="s">
        <v>402</v>
      </c>
      <c r="E235" s="693">
        <f>E236</f>
        <v>3464607</v>
      </c>
      <c r="F235" s="694">
        <f t="shared" ref="F235:G235" si="241">F236</f>
        <v>3464607</v>
      </c>
      <c r="G235" s="694">
        <f t="shared" si="241"/>
        <v>2367850</v>
      </c>
      <c r="H235" s="694">
        <f>H236</f>
        <v>79370</v>
      </c>
      <c r="I235" s="694">
        <f t="shared" ref="I235" si="242">I236</f>
        <v>0</v>
      </c>
      <c r="J235" s="693">
        <f>J236</f>
        <v>263150566.50999999</v>
      </c>
      <c r="K235" s="694">
        <f>K236</f>
        <v>261650566.50999999</v>
      </c>
      <c r="L235" s="694">
        <f>L236</f>
        <v>0</v>
      </c>
      <c r="M235" s="694">
        <f t="shared" ref="M235" si="243">M236</f>
        <v>0</v>
      </c>
      <c r="N235" s="693">
        <f>N236</f>
        <v>0</v>
      </c>
      <c r="O235" s="693">
        <f>O236</f>
        <v>263150566.50999999</v>
      </c>
      <c r="P235" s="694">
        <f t="shared" ref="P235" si="244">P236</f>
        <v>266615173.50999999</v>
      </c>
    </row>
    <row r="236" spans="1:16" ht="181.5" thickTop="1" thickBot="1" x14ac:dyDescent="0.25">
      <c r="A236" s="695" t="s">
        <v>26</v>
      </c>
      <c r="B236" s="695"/>
      <c r="C236" s="695"/>
      <c r="D236" s="696" t="s">
        <v>1073</v>
      </c>
      <c r="E236" s="697">
        <f>E237+E241+E244</f>
        <v>3464607</v>
      </c>
      <c r="F236" s="697">
        <f t="shared" ref="F236:I236" si="245">F237+F241+F244</f>
        <v>3464607</v>
      </c>
      <c r="G236" s="697">
        <f t="shared" si="245"/>
        <v>2367850</v>
      </c>
      <c r="H236" s="697">
        <f t="shared" si="245"/>
        <v>79370</v>
      </c>
      <c r="I236" s="697">
        <f t="shared" si="245"/>
        <v>0</v>
      </c>
      <c r="J236" s="697">
        <f>L236+O236</f>
        <v>263150566.50999999</v>
      </c>
      <c r="K236" s="697">
        <f t="shared" ref="K236:O236" si="246">K237+K241+K244</f>
        <v>261650566.50999999</v>
      </c>
      <c r="L236" s="697">
        <f t="shared" si="246"/>
        <v>0</v>
      </c>
      <c r="M236" s="697">
        <f t="shared" si="246"/>
        <v>0</v>
      </c>
      <c r="N236" s="697">
        <f t="shared" si="246"/>
        <v>0</v>
      </c>
      <c r="O236" s="697">
        <f t="shared" si="246"/>
        <v>263150566.50999999</v>
      </c>
      <c r="P236" s="698">
        <f t="shared" ref="P236:P252" si="247">E236+J236</f>
        <v>266615173.50999999</v>
      </c>
    </row>
    <row r="237" spans="1:16" s="347" customFormat="1" ht="47.25" thickTop="1" thickBot="1" x14ac:dyDescent="0.25">
      <c r="A237" s="360" t="s">
        <v>979</v>
      </c>
      <c r="B237" s="360" t="s">
        <v>844</v>
      </c>
      <c r="C237" s="360"/>
      <c r="D237" s="360" t="s">
        <v>845</v>
      </c>
      <c r="E237" s="351">
        <f t="shared" ref="E237:P237" si="248">SUM(E238:E240)</f>
        <v>3464607</v>
      </c>
      <c r="F237" s="492">
        <f t="shared" si="248"/>
        <v>3464607</v>
      </c>
      <c r="G237" s="492">
        <f t="shared" si="248"/>
        <v>2367850</v>
      </c>
      <c r="H237" s="492">
        <f t="shared" si="248"/>
        <v>79370</v>
      </c>
      <c r="I237" s="492">
        <f t="shared" si="248"/>
        <v>0</v>
      </c>
      <c r="J237" s="492">
        <f t="shared" si="248"/>
        <v>0</v>
      </c>
      <c r="K237" s="492">
        <f t="shared" si="248"/>
        <v>0</v>
      </c>
      <c r="L237" s="492">
        <f t="shared" si="248"/>
        <v>0</v>
      </c>
      <c r="M237" s="492">
        <f t="shared" si="248"/>
        <v>0</v>
      </c>
      <c r="N237" s="492">
        <f t="shared" si="248"/>
        <v>0</v>
      </c>
      <c r="O237" s="492">
        <f t="shared" si="248"/>
        <v>0</v>
      </c>
      <c r="P237" s="492">
        <f t="shared" si="248"/>
        <v>3464607</v>
      </c>
    </row>
    <row r="238" spans="1:16" ht="230.25" thickTop="1" thickBot="1" x14ac:dyDescent="0.25">
      <c r="A238" s="245" t="s">
        <v>447</v>
      </c>
      <c r="B238" s="245" t="s">
        <v>257</v>
      </c>
      <c r="C238" s="245" t="s">
        <v>255</v>
      </c>
      <c r="D238" s="245" t="s">
        <v>256</v>
      </c>
      <c r="E238" s="247">
        <f>F238</f>
        <v>3309607</v>
      </c>
      <c r="F238" s="233">
        <f>(2367850+520950+61660+322000+2000+1570+24500+53300+1610+1075-5000)-145008-1000+1000+49750+17000+10000+20835+3015+1000+1500</f>
        <v>3309607</v>
      </c>
      <c r="G238" s="233">
        <v>2367850</v>
      </c>
      <c r="H238" s="233">
        <f>(1570+24500+53300)</f>
        <v>79370</v>
      </c>
      <c r="I238" s="233"/>
      <c r="J238" s="247">
        <f t="shared" ref="J238:J252" si="249">L238+O238</f>
        <v>0</v>
      </c>
      <c r="K238" s="233"/>
      <c r="L238" s="233"/>
      <c r="M238" s="233"/>
      <c r="N238" s="233"/>
      <c r="O238" s="249">
        <f>K238</f>
        <v>0</v>
      </c>
      <c r="P238" s="247">
        <f t="shared" si="247"/>
        <v>3309607</v>
      </c>
    </row>
    <row r="239" spans="1:16" s="239" customFormat="1" ht="184.5" thickTop="1" thickBot="1" x14ac:dyDescent="0.25">
      <c r="A239" s="240" t="s">
        <v>789</v>
      </c>
      <c r="B239" s="240" t="s">
        <v>390</v>
      </c>
      <c r="C239" s="240" t="s">
        <v>779</v>
      </c>
      <c r="D239" s="240" t="s">
        <v>780</v>
      </c>
      <c r="E239" s="244">
        <f>F239</f>
        <v>5000</v>
      </c>
      <c r="F239" s="148">
        <v>5000</v>
      </c>
      <c r="G239" s="148"/>
      <c r="H239" s="148"/>
      <c r="I239" s="148"/>
      <c r="J239" s="241">
        <f t="shared" si="249"/>
        <v>0</v>
      </c>
      <c r="K239" s="148"/>
      <c r="L239" s="149"/>
      <c r="M239" s="149"/>
      <c r="N239" s="149"/>
      <c r="O239" s="243">
        <f t="shared" ref="O239" si="250">K239</f>
        <v>0</v>
      </c>
      <c r="P239" s="241">
        <f t="shared" ref="P239" si="251">+J239+E239</f>
        <v>5000</v>
      </c>
    </row>
    <row r="240" spans="1:16" s="485" customFormat="1" ht="93" thickTop="1" thickBot="1" x14ac:dyDescent="0.25">
      <c r="A240" s="493" t="s">
        <v>1157</v>
      </c>
      <c r="B240" s="493" t="s">
        <v>45</v>
      </c>
      <c r="C240" s="493" t="s">
        <v>44</v>
      </c>
      <c r="D240" s="493" t="s">
        <v>269</v>
      </c>
      <c r="E240" s="244">
        <f>F240</f>
        <v>150000</v>
      </c>
      <c r="F240" s="148">
        <v>150000</v>
      </c>
      <c r="G240" s="148"/>
      <c r="H240" s="148"/>
      <c r="I240" s="148"/>
      <c r="J240" s="488">
        <f t="shared" ref="J240" si="252">L240+O240</f>
        <v>0</v>
      </c>
      <c r="K240" s="148"/>
      <c r="L240" s="149"/>
      <c r="M240" s="149"/>
      <c r="N240" s="149"/>
      <c r="O240" s="490">
        <f t="shared" ref="O240" si="253">K240</f>
        <v>0</v>
      </c>
      <c r="P240" s="488">
        <f t="shared" ref="P240" si="254">+J240+E240</f>
        <v>150000</v>
      </c>
    </row>
    <row r="241" spans="1:16" s="347" customFormat="1" ht="47.25" thickTop="1" thickBot="1" x14ac:dyDescent="0.25">
      <c r="A241" s="360" t="s">
        <v>980</v>
      </c>
      <c r="B241" s="360" t="s">
        <v>935</v>
      </c>
      <c r="C241" s="350"/>
      <c r="D241" s="360" t="s">
        <v>936</v>
      </c>
      <c r="E241" s="244">
        <f>E242</f>
        <v>0</v>
      </c>
      <c r="F241" s="244">
        <f t="shared" ref="F241:P242" si="255">F242</f>
        <v>0</v>
      </c>
      <c r="G241" s="244">
        <f t="shared" si="255"/>
        <v>0</v>
      </c>
      <c r="H241" s="244">
        <f t="shared" si="255"/>
        <v>0</v>
      </c>
      <c r="I241" s="244">
        <f t="shared" si="255"/>
        <v>0</v>
      </c>
      <c r="J241" s="244">
        <f t="shared" si="255"/>
        <v>112000000</v>
      </c>
      <c r="K241" s="244">
        <f t="shared" si="255"/>
        <v>112000000</v>
      </c>
      <c r="L241" s="244">
        <f t="shared" si="255"/>
        <v>0</v>
      </c>
      <c r="M241" s="244">
        <f t="shared" si="255"/>
        <v>0</v>
      </c>
      <c r="N241" s="244">
        <f t="shared" si="255"/>
        <v>0</v>
      </c>
      <c r="O241" s="244">
        <f t="shared" si="255"/>
        <v>112000000</v>
      </c>
      <c r="P241" s="244">
        <f t="shared" si="255"/>
        <v>112000000</v>
      </c>
    </row>
    <row r="242" spans="1:16" s="347" customFormat="1" ht="93" thickTop="1" thickBot="1" x14ac:dyDescent="0.25">
      <c r="A242" s="287" t="s">
        <v>981</v>
      </c>
      <c r="B242" s="287" t="s">
        <v>982</v>
      </c>
      <c r="C242" s="287"/>
      <c r="D242" s="287" t="s">
        <v>983</v>
      </c>
      <c r="E242" s="363">
        <f>E243</f>
        <v>0</v>
      </c>
      <c r="F242" s="363">
        <f t="shared" si="255"/>
        <v>0</v>
      </c>
      <c r="G242" s="363">
        <f t="shared" si="255"/>
        <v>0</v>
      </c>
      <c r="H242" s="363">
        <f t="shared" si="255"/>
        <v>0</v>
      </c>
      <c r="I242" s="363">
        <f t="shared" si="255"/>
        <v>0</v>
      </c>
      <c r="J242" s="363">
        <f t="shared" si="255"/>
        <v>112000000</v>
      </c>
      <c r="K242" s="363">
        <f t="shared" si="255"/>
        <v>112000000</v>
      </c>
      <c r="L242" s="363">
        <f t="shared" si="255"/>
        <v>0</v>
      </c>
      <c r="M242" s="363">
        <f t="shared" si="255"/>
        <v>0</v>
      </c>
      <c r="N242" s="363">
        <f t="shared" si="255"/>
        <v>0</v>
      </c>
      <c r="O242" s="363">
        <f t="shared" si="255"/>
        <v>112000000</v>
      </c>
      <c r="P242" s="363">
        <f t="shared" si="255"/>
        <v>112000000</v>
      </c>
    </row>
    <row r="243" spans="1:16" ht="321.75" thickTop="1" thickBot="1" x14ac:dyDescent="0.25">
      <c r="A243" s="217" t="s">
        <v>465</v>
      </c>
      <c r="B243" s="217" t="s">
        <v>467</v>
      </c>
      <c r="C243" s="217" t="s">
        <v>216</v>
      </c>
      <c r="D243" s="217" t="s">
        <v>466</v>
      </c>
      <c r="E243" s="216">
        <f t="shared" ref="E243:E250" si="256">F243</f>
        <v>0</v>
      </c>
      <c r="F243" s="233"/>
      <c r="G243" s="233"/>
      <c r="H243" s="233"/>
      <c r="I243" s="233"/>
      <c r="J243" s="216">
        <f t="shared" si="249"/>
        <v>112000000</v>
      </c>
      <c r="K243" s="233">
        <f>((8000000+2000000+7000000)+70000000)+25000000</f>
        <v>112000000</v>
      </c>
      <c r="L243" s="233"/>
      <c r="M243" s="233"/>
      <c r="N243" s="233"/>
      <c r="O243" s="215">
        <f t="shared" ref="O243" si="257">K243</f>
        <v>112000000</v>
      </c>
      <c r="P243" s="216">
        <f t="shared" si="247"/>
        <v>112000000</v>
      </c>
    </row>
    <row r="244" spans="1:16" s="347" customFormat="1" ht="47.25" thickTop="1" thickBot="1" x14ac:dyDescent="0.25">
      <c r="A244" s="360" t="s">
        <v>984</v>
      </c>
      <c r="B244" s="360" t="s">
        <v>912</v>
      </c>
      <c r="C244" s="350"/>
      <c r="D244" s="360" t="s">
        <v>959</v>
      </c>
      <c r="E244" s="351">
        <f>E245+E253</f>
        <v>0</v>
      </c>
      <c r="F244" s="669">
        <f t="shared" ref="F244:I244" si="258">F245+F253</f>
        <v>0</v>
      </c>
      <c r="G244" s="669">
        <f t="shared" si="258"/>
        <v>0</v>
      </c>
      <c r="H244" s="669">
        <f t="shared" si="258"/>
        <v>0</v>
      </c>
      <c r="I244" s="669">
        <f t="shared" si="258"/>
        <v>0</v>
      </c>
      <c r="J244" s="669">
        <f t="shared" ref="J244" si="259">J245+J253</f>
        <v>151150566.50999999</v>
      </c>
      <c r="K244" s="669">
        <f t="shared" ref="K244" si="260">K245+K253</f>
        <v>149650566.50999999</v>
      </c>
      <c r="L244" s="669">
        <f t="shared" ref="L244" si="261">L245+L253</f>
        <v>0</v>
      </c>
      <c r="M244" s="669">
        <f t="shared" ref="M244" si="262">M245+M253</f>
        <v>0</v>
      </c>
      <c r="N244" s="669">
        <f t="shared" ref="N244" si="263">N245+N253</f>
        <v>0</v>
      </c>
      <c r="O244" s="669">
        <f t="shared" ref="O244" si="264">O245+O253</f>
        <v>151150566.50999999</v>
      </c>
      <c r="P244" s="669">
        <f t="shared" ref="P244" si="265">P245+P253</f>
        <v>151150566.50999999</v>
      </c>
    </row>
    <row r="245" spans="1:16" s="347" customFormat="1" ht="91.5" thickTop="1" thickBot="1" x14ac:dyDescent="0.25">
      <c r="A245" s="319" t="s">
        <v>985</v>
      </c>
      <c r="B245" s="319" t="s">
        <v>968</v>
      </c>
      <c r="C245" s="319"/>
      <c r="D245" s="319" t="s">
        <v>969</v>
      </c>
      <c r="E245" s="288">
        <f t="shared" ref="E245:P245" si="266">SUM(E246:E252)-E247</f>
        <v>0</v>
      </c>
      <c r="F245" s="288">
        <f t="shared" si="266"/>
        <v>0</v>
      </c>
      <c r="G245" s="288">
        <f t="shared" si="266"/>
        <v>0</v>
      </c>
      <c r="H245" s="288">
        <f t="shared" si="266"/>
        <v>0</v>
      </c>
      <c r="I245" s="288">
        <f t="shared" si="266"/>
        <v>0</v>
      </c>
      <c r="J245" s="288">
        <f t="shared" si="266"/>
        <v>149650566.50999999</v>
      </c>
      <c r="K245" s="288">
        <f t="shared" si="266"/>
        <v>149650566.50999999</v>
      </c>
      <c r="L245" s="288">
        <f t="shared" si="266"/>
        <v>0</v>
      </c>
      <c r="M245" s="288">
        <f t="shared" si="266"/>
        <v>0</v>
      </c>
      <c r="N245" s="288">
        <f t="shared" si="266"/>
        <v>0</v>
      </c>
      <c r="O245" s="288">
        <f t="shared" si="266"/>
        <v>149650566.50999999</v>
      </c>
      <c r="P245" s="288">
        <f t="shared" si="266"/>
        <v>149650566.50999999</v>
      </c>
    </row>
    <row r="246" spans="1:16" s="485" customFormat="1" ht="99.75" thickTop="1" thickBot="1" x14ac:dyDescent="0.25">
      <c r="A246" s="491" t="s">
        <v>1156</v>
      </c>
      <c r="B246" s="491" t="s">
        <v>327</v>
      </c>
      <c r="C246" s="491" t="s">
        <v>326</v>
      </c>
      <c r="D246" s="491" t="s">
        <v>781</v>
      </c>
      <c r="E246" s="492">
        <f t="shared" ref="E246" si="267">F246</f>
        <v>0</v>
      </c>
      <c r="F246" s="233"/>
      <c r="G246" s="233"/>
      <c r="H246" s="233"/>
      <c r="I246" s="233"/>
      <c r="J246" s="492">
        <f t="shared" ref="J246" si="268">L246+O246</f>
        <v>36872.51</v>
      </c>
      <c r="K246" s="233">
        <v>36872.51</v>
      </c>
      <c r="L246" s="233"/>
      <c r="M246" s="233"/>
      <c r="N246" s="233"/>
      <c r="O246" s="489">
        <f>K246</f>
        <v>36872.51</v>
      </c>
      <c r="P246" s="492">
        <f t="shared" ref="P246" si="269">E246+J246</f>
        <v>36872.51</v>
      </c>
    </row>
    <row r="247" spans="1:16" s="347" customFormat="1" ht="146.25" thickTop="1" thickBot="1" x14ac:dyDescent="0.25">
      <c r="A247" s="287" t="s">
        <v>986</v>
      </c>
      <c r="B247" s="287" t="s">
        <v>987</v>
      </c>
      <c r="C247" s="287"/>
      <c r="D247" s="287" t="s">
        <v>988</v>
      </c>
      <c r="E247" s="289">
        <f>SUM(E248:E249)</f>
        <v>0</v>
      </c>
      <c r="F247" s="289">
        <f t="shared" ref="F247:P247" si="270">SUM(F248:F249)</f>
        <v>0</v>
      </c>
      <c r="G247" s="289">
        <f t="shared" si="270"/>
        <v>0</v>
      </c>
      <c r="H247" s="289">
        <f t="shared" si="270"/>
        <v>0</v>
      </c>
      <c r="I247" s="289">
        <f t="shared" si="270"/>
        <v>0</v>
      </c>
      <c r="J247" s="289">
        <f t="shared" si="270"/>
        <v>23570957</v>
      </c>
      <c r="K247" s="289">
        <f t="shared" si="270"/>
        <v>23570957</v>
      </c>
      <c r="L247" s="289">
        <f t="shared" si="270"/>
        <v>0</v>
      </c>
      <c r="M247" s="289">
        <f t="shared" si="270"/>
        <v>0</v>
      </c>
      <c r="N247" s="289">
        <f t="shared" si="270"/>
        <v>0</v>
      </c>
      <c r="O247" s="289">
        <f t="shared" si="270"/>
        <v>23570957</v>
      </c>
      <c r="P247" s="289">
        <f t="shared" si="270"/>
        <v>23570957</v>
      </c>
    </row>
    <row r="248" spans="1:16" ht="99.75" thickTop="1" thickBot="1" x14ac:dyDescent="0.25">
      <c r="A248" s="217" t="s">
        <v>336</v>
      </c>
      <c r="B248" s="217" t="s">
        <v>337</v>
      </c>
      <c r="C248" s="217" t="s">
        <v>326</v>
      </c>
      <c r="D248" s="217" t="s">
        <v>782</v>
      </c>
      <c r="E248" s="216">
        <f t="shared" si="256"/>
        <v>0</v>
      </c>
      <c r="F248" s="233"/>
      <c r="G248" s="233"/>
      <c r="H248" s="233"/>
      <c r="I248" s="233"/>
      <c r="J248" s="216">
        <f t="shared" si="249"/>
        <v>23370957</v>
      </c>
      <c r="K248" s="233">
        <f>((6855987)+16002910-1087940)+1600000</f>
        <v>23370957</v>
      </c>
      <c r="L248" s="233"/>
      <c r="M248" s="233"/>
      <c r="N248" s="233"/>
      <c r="O248" s="215">
        <f>K248</f>
        <v>23370957</v>
      </c>
      <c r="P248" s="216">
        <f t="shared" si="247"/>
        <v>23370957</v>
      </c>
    </row>
    <row r="249" spans="1:16" ht="99.75" thickTop="1" thickBot="1" x14ac:dyDescent="0.25">
      <c r="A249" s="217" t="s">
        <v>565</v>
      </c>
      <c r="B249" s="217" t="s">
        <v>566</v>
      </c>
      <c r="C249" s="217" t="s">
        <v>326</v>
      </c>
      <c r="D249" s="217" t="s">
        <v>783</v>
      </c>
      <c r="E249" s="216">
        <f t="shared" si="256"/>
        <v>0</v>
      </c>
      <c r="F249" s="233"/>
      <c r="G249" s="233"/>
      <c r="H249" s="233"/>
      <c r="I249" s="233"/>
      <c r="J249" s="216">
        <f t="shared" si="249"/>
        <v>200000</v>
      </c>
      <c r="K249" s="233">
        <v>200000</v>
      </c>
      <c r="L249" s="233"/>
      <c r="M249" s="233"/>
      <c r="N249" s="233"/>
      <c r="O249" s="215">
        <f>K249</f>
        <v>200000</v>
      </c>
      <c r="P249" s="216">
        <f t="shared" si="247"/>
        <v>200000</v>
      </c>
    </row>
    <row r="250" spans="1:16" ht="145.5" hidden="1" thickTop="1" thickBot="1" x14ac:dyDescent="0.25">
      <c r="A250" s="217" t="s">
        <v>338</v>
      </c>
      <c r="B250" s="217" t="s">
        <v>339</v>
      </c>
      <c r="C250" s="217" t="s">
        <v>326</v>
      </c>
      <c r="D250" s="217" t="s">
        <v>784</v>
      </c>
      <c r="E250" s="216">
        <f t="shared" si="256"/>
        <v>0</v>
      </c>
      <c r="F250" s="233"/>
      <c r="G250" s="233"/>
      <c r="H250" s="233"/>
      <c r="I250" s="233"/>
      <c r="J250" s="216">
        <f t="shared" si="249"/>
        <v>0</v>
      </c>
      <c r="K250" s="233">
        <v>0</v>
      </c>
      <c r="L250" s="233"/>
      <c r="M250" s="233"/>
      <c r="N250" s="233"/>
      <c r="O250" s="215">
        <f>K250</f>
        <v>0</v>
      </c>
      <c r="P250" s="216">
        <f t="shared" si="247"/>
        <v>0</v>
      </c>
    </row>
    <row r="251" spans="1:16" ht="99.75" thickTop="1" thickBot="1" x14ac:dyDescent="0.25">
      <c r="A251" s="217" t="s">
        <v>340</v>
      </c>
      <c r="B251" s="217" t="s">
        <v>341</v>
      </c>
      <c r="C251" s="217" t="s">
        <v>326</v>
      </c>
      <c r="D251" s="217" t="s">
        <v>785</v>
      </c>
      <c r="E251" s="216">
        <f>F251</f>
        <v>0</v>
      </c>
      <c r="F251" s="233"/>
      <c r="G251" s="233"/>
      <c r="H251" s="233"/>
      <c r="I251" s="233"/>
      <c r="J251" s="216">
        <f t="shared" si="249"/>
        <v>15961435</v>
      </c>
      <c r="K251" s="233">
        <f>((9126836+5000000+370000)+2068629+795970)-1400000</f>
        <v>15961435</v>
      </c>
      <c r="L251" s="233"/>
      <c r="M251" s="233"/>
      <c r="N251" s="233"/>
      <c r="O251" s="215">
        <f>K251</f>
        <v>15961435</v>
      </c>
      <c r="P251" s="216">
        <f t="shared" si="247"/>
        <v>15961435</v>
      </c>
    </row>
    <row r="252" spans="1:16" ht="138.75" thickTop="1" thickBot="1" x14ac:dyDescent="0.25">
      <c r="A252" s="217" t="s">
        <v>471</v>
      </c>
      <c r="B252" s="217" t="s">
        <v>378</v>
      </c>
      <c r="C252" s="217" t="s">
        <v>187</v>
      </c>
      <c r="D252" s="217" t="s">
        <v>283</v>
      </c>
      <c r="E252" s="216">
        <f>F252</f>
        <v>0</v>
      </c>
      <c r="F252" s="233"/>
      <c r="G252" s="233"/>
      <c r="H252" s="233"/>
      <c r="I252" s="233"/>
      <c r="J252" s="216">
        <f t="shared" si="249"/>
        <v>110081302</v>
      </c>
      <c r="K252" s="233">
        <f>((23737852+6343450)+20000000)+60000000</f>
        <v>110081302</v>
      </c>
      <c r="L252" s="233"/>
      <c r="M252" s="233"/>
      <c r="N252" s="233"/>
      <c r="O252" s="215">
        <f>K252</f>
        <v>110081302</v>
      </c>
      <c r="P252" s="216">
        <f t="shared" si="247"/>
        <v>110081302</v>
      </c>
    </row>
    <row r="253" spans="1:16" s="665" customFormat="1" ht="136.5" thickTop="1" thickBot="1" x14ac:dyDescent="0.25">
      <c r="A253" s="357" t="s">
        <v>1305</v>
      </c>
      <c r="B253" s="357" t="s">
        <v>851</v>
      </c>
      <c r="C253" s="357"/>
      <c r="D253" s="357" t="s">
        <v>849</v>
      </c>
      <c r="E253" s="362">
        <f>E254</f>
        <v>0</v>
      </c>
      <c r="F253" s="362">
        <f>F254</f>
        <v>0</v>
      </c>
      <c r="G253" s="362">
        <f>G254</f>
        <v>0</v>
      </c>
      <c r="H253" s="362">
        <f>H254</f>
        <v>0</v>
      </c>
      <c r="I253" s="362">
        <f>I254</f>
        <v>0</v>
      </c>
      <c r="J253" s="362">
        <f t="shared" ref="J253:O253" si="271">J254</f>
        <v>1500000</v>
      </c>
      <c r="K253" s="362">
        <f t="shared" si="271"/>
        <v>0</v>
      </c>
      <c r="L253" s="362">
        <f t="shared" si="271"/>
        <v>0</v>
      </c>
      <c r="M253" s="362">
        <f t="shared" si="271"/>
        <v>0</v>
      </c>
      <c r="N253" s="362">
        <f t="shared" si="271"/>
        <v>0</v>
      </c>
      <c r="O253" s="362">
        <f t="shared" si="271"/>
        <v>1500000</v>
      </c>
      <c r="P253" s="362">
        <f>P254</f>
        <v>1500000</v>
      </c>
    </row>
    <row r="254" spans="1:16" s="665" customFormat="1" ht="48" thickTop="1" thickBot="1" x14ac:dyDescent="0.25">
      <c r="A254" s="353" t="s">
        <v>1306</v>
      </c>
      <c r="B254" s="353" t="s">
        <v>854</v>
      </c>
      <c r="C254" s="353"/>
      <c r="D254" s="353" t="s">
        <v>962</v>
      </c>
      <c r="E254" s="363">
        <f>E255</f>
        <v>0</v>
      </c>
      <c r="F254" s="363">
        <f t="shared" ref="F254:P254" si="272">F255</f>
        <v>0</v>
      </c>
      <c r="G254" s="363">
        <f t="shared" si="272"/>
        <v>0</v>
      </c>
      <c r="H254" s="363">
        <f t="shared" si="272"/>
        <v>0</v>
      </c>
      <c r="I254" s="363">
        <f t="shared" si="272"/>
        <v>0</v>
      </c>
      <c r="J254" s="363">
        <f t="shared" si="272"/>
        <v>1500000</v>
      </c>
      <c r="K254" s="363">
        <f t="shared" si="272"/>
        <v>0</v>
      </c>
      <c r="L254" s="363">
        <f t="shared" si="272"/>
        <v>0</v>
      </c>
      <c r="M254" s="363">
        <f t="shared" si="272"/>
        <v>0</v>
      </c>
      <c r="N254" s="363">
        <f t="shared" si="272"/>
        <v>0</v>
      </c>
      <c r="O254" s="363">
        <f t="shared" si="272"/>
        <v>1500000</v>
      </c>
      <c r="P254" s="363">
        <f t="shared" si="272"/>
        <v>1500000</v>
      </c>
    </row>
    <row r="255" spans="1:16" s="665" customFormat="1" ht="409.6" thickTop="1" thickBot="1" x14ac:dyDescent="0.7">
      <c r="A255" s="765" t="s">
        <v>1307</v>
      </c>
      <c r="B255" s="765" t="s">
        <v>365</v>
      </c>
      <c r="C255" s="765" t="s">
        <v>187</v>
      </c>
      <c r="D255" s="246" t="s">
        <v>475</v>
      </c>
      <c r="E255" s="758">
        <f t="shared" ref="E255" si="273">F255</f>
        <v>0</v>
      </c>
      <c r="F255" s="759"/>
      <c r="G255" s="759"/>
      <c r="H255" s="759"/>
      <c r="I255" s="759"/>
      <c r="J255" s="758">
        <f t="shared" ref="J255" si="274">L255+O255</f>
        <v>1500000</v>
      </c>
      <c r="K255" s="759"/>
      <c r="L255" s="759"/>
      <c r="M255" s="759"/>
      <c r="N255" s="759"/>
      <c r="O255" s="796">
        <f>K255+1500000</f>
        <v>1500000</v>
      </c>
      <c r="P255" s="791">
        <f>E255+J255</f>
        <v>1500000</v>
      </c>
    </row>
    <row r="256" spans="1:16" s="665" customFormat="1" ht="184.5" thickTop="1" thickBot="1" x14ac:dyDescent="0.25">
      <c r="A256" s="765"/>
      <c r="B256" s="765"/>
      <c r="C256" s="765"/>
      <c r="D256" s="250" t="s">
        <v>476</v>
      </c>
      <c r="E256" s="758"/>
      <c r="F256" s="759"/>
      <c r="G256" s="759"/>
      <c r="H256" s="759"/>
      <c r="I256" s="759"/>
      <c r="J256" s="758"/>
      <c r="K256" s="759"/>
      <c r="L256" s="759"/>
      <c r="M256" s="759"/>
      <c r="N256" s="759"/>
      <c r="O256" s="796"/>
      <c r="P256" s="791"/>
    </row>
    <row r="257" spans="1:16" ht="181.5" thickTop="1" thickBot="1" x14ac:dyDescent="0.25">
      <c r="A257" s="691" t="s">
        <v>177</v>
      </c>
      <c r="B257" s="691"/>
      <c r="C257" s="691"/>
      <c r="D257" s="692" t="s">
        <v>1074</v>
      </c>
      <c r="E257" s="693">
        <f>E258</f>
        <v>6735615</v>
      </c>
      <c r="F257" s="694">
        <f t="shared" ref="F257:G257" si="275">F258</f>
        <v>6735615</v>
      </c>
      <c r="G257" s="694">
        <f t="shared" si="275"/>
        <v>4925575</v>
      </c>
      <c r="H257" s="694">
        <f>H258</f>
        <v>129045</v>
      </c>
      <c r="I257" s="694">
        <f t="shared" ref="I257" si="276">I258</f>
        <v>0</v>
      </c>
      <c r="J257" s="693">
        <f>J258</f>
        <v>787000</v>
      </c>
      <c r="K257" s="694">
        <f>K258</f>
        <v>787000</v>
      </c>
      <c r="L257" s="694">
        <f>L258</f>
        <v>0</v>
      </c>
      <c r="M257" s="694">
        <f t="shared" ref="M257" si="277">M258</f>
        <v>0</v>
      </c>
      <c r="N257" s="693">
        <f>N258</f>
        <v>0</v>
      </c>
      <c r="O257" s="693">
        <f>O258</f>
        <v>787000</v>
      </c>
      <c r="P257" s="694">
        <f t="shared" ref="P257" si="278">P258</f>
        <v>7522615</v>
      </c>
    </row>
    <row r="258" spans="1:16" ht="181.5" thickTop="1" thickBot="1" x14ac:dyDescent="0.25">
      <c r="A258" s="695" t="s">
        <v>178</v>
      </c>
      <c r="B258" s="695"/>
      <c r="C258" s="695"/>
      <c r="D258" s="696" t="s">
        <v>1075</v>
      </c>
      <c r="E258" s="697">
        <f>E259+E262</f>
        <v>6735615</v>
      </c>
      <c r="F258" s="697">
        <f>F259+F262</f>
        <v>6735615</v>
      </c>
      <c r="G258" s="697">
        <f>G259+G262</f>
        <v>4925575</v>
      </c>
      <c r="H258" s="697">
        <f>H259+H262</f>
        <v>129045</v>
      </c>
      <c r="I258" s="697">
        <f>I259+I262</f>
        <v>0</v>
      </c>
      <c r="J258" s="697">
        <f>L258+O258</f>
        <v>787000</v>
      </c>
      <c r="K258" s="697">
        <f>K259+K262</f>
        <v>787000</v>
      </c>
      <c r="L258" s="697">
        <f>L259+L262</f>
        <v>0</v>
      </c>
      <c r="M258" s="697">
        <f>M259+M262</f>
        <v>0</v>
      </c>
      <c r="N258" s="697">
        <f>N259+N262</f>
        <v>0</v>
      </c>
      <c r="O258" s="697">
        <f>O259+O262</f>
        <v>787000</v>
      </c>
      <c r="P258" s="698">
        <f>E258+J258</f>
        <v>7522615</v>
      </c>
    </row>
    <row r="259" spans="1:16" s="347" customFormat="1" ht="47.25" thickTop="1" thickBot="1" x14ac:dyDescent="0.25">
      <c r="A259" s="152" t="s">
        <v>989</v>
      </c>
      <c r="B259" s="360" t="s">
        <v>844</v>
      </c>
      <c r="C259" s="360"/>
      <c r="D259" s="360" t="s">
        <v>845</v>
      </c>
      <c r="E259" s="351">
        <f>SUM(E260:E261)</f>
        <v>6735615</v>
      </c>
      <c r="F259" s="351">
        <f t="shared" ref="F259" si="279">SUM(F260:F261)</f>
        <v>6735615</v>
      </c>
      <c r="G259" s="351">
        <f t="shared" ref="G259" si="280">SUM(G260:G261)</f>
        <v>4925575</v>
      </c>
      <c r="H259" s="351">
        <f t="shared" ref="H259" si="281">SUM(H260:H261)</f>
        <v>129045</v>
      </c>
      <c r="I259" s="351">
        <f t="shared" ref="I259" si="282">SUM(I260:I261)</f>
        <v>0</v>
      </c>
      <c r="J259" s="351">
        <f t="shared" ref="J259" si="283">SUM(J260:J261)</f>
        <v>176000</v>
      </c>
      <c r="K259" s="351">
        <f t="shared" ref="K259" si="284">SUM(K260:K261)</f>
        <v>176000</v>
      </c>
      <c r="L259" s="351">
        <f t="shared" ref="L259" si="285">SUM(L260:L261)</f>
        <v>0</v>
      </c>
      <c r="M259" s="351">
        <f t="shared" ref="M259" si="286">SUM(M260:M261)</f>
        <v>0</v>
      </c>
      <c r="N259" s="351">
        <f t="shared" ref="N259" si="287">SUM(N260:N261)</f>
        <v>0</v>
      </c>
      <c r="O259" s="351">
        <f t="shared" ref="O259" si="288">SUM(O260:O261)</f>
        <v>176000</v>
      </c>
      <c r="P259" s="351">
        <f t="shared" ref="P259" si="289">SUM(P260:P261)</f>
        <v>6911615</v>
      </c>
    </row>
    <row r="260" spans="1:16" ht="230.25" thickTop="1" thickBot="1" x14ac:dyDescent="0.25">
      <c r="A260" s="200" t="s">
        <v>449</v>
      </c>
      <c r="B260" s="200" t="s">
        <v>257</v>
      </c>
      <c r="C260" s="200" t="s">
        <v>255</v>
      </c>
      <c r="D260" s="200" t="s">
        <v>256</v>
      </c>
      <c r="E260" s="241">
        <f>F260</f>
        <v>6728615</v>
      </c>
      <c r="F260" s="242">
        <f>(6523715-7000)+55900+140000+16000</f>
        <v>6728615</v>
      </c>
      <c r="G260" s="242">
        <v>4925575</v>
      </c>
      <c r="H260" s="242">
        <f>(97095+1950+30000)</f>
        <v>129045</v>
      </c>
      <c r="I260" s="242"/>
      <c r="J260" s="241">
        <f>L260+O260</f>
        <v>176000</v>
      </c>
      <c r="K260" s="242">
        <f>(140000)+36000</f>
        <v>176000</v>
      </c>
      <c r="L260" s="242"/>
      <c r="M260" s="242"/>
      <c r="N260" s="242"/>
      <c r="O260" s="243">
        <f>K260</f>
        <v>176000</v>
      </c>
      <c r="P260" s="241">
        <f>E260+J260</f>
        <v>6904615</v>
      </c>
    </row>
    <row r="261" spans="1:16" s="239" customFormat="1" ht="184.5" thickTop="1" thickBot="1" x14ac:dyDescent="0.25">
      <c r="A261" s="245" t="s">
        <v>790</v>
      </c>
      <c r="B261" s="245" t="s">
        <v>390</v>
      </c>
      <c r="C261" s="245" t="s">
        <v>779</v>
      </c>
      <c r="D261" s="245" t="s">
        <v>780</v>
      </c>
      <c r="E261" s="244">
        <f>F261</f>
        <v>7000</v>
      </c>
      <c r="F261" s="148">
        <v>7000</v>
      </c>
      <c r="G261" s="148"/>
      <c r="H261" s="148"/>
      <c r="I261" s="148"/>
      <c r="J261" s="241">
        <f t="shared" ref="J261" si="290">L261+O261</f>
        <v>0</v>
      </c>
      <c r="K261" s="148"/>
      <c r="L261" s="149"/>
      <c r="M261" s="149"/>
      <c r="N261" s="149"/>
      <c r="O261" s="243">
        <f t="shared" ref="O261" si="291">K261</f>
        <v>0</v>
      </c>
      <c r="P261" s="241">
        <f t="shared" ref="P261" si="292">+J261+E261</f>
        <v>7000</v>
      </c>
    </row>
    <row r="262" spans="1:16" s="435" customFormat="1" ht="47.25" thickTop="1" thickBot="1" x14ac:dyDescent="0.25">
      <c r="A262" s="360" t="s">
        <v>1119</v>
      </c>
      <c r="B262" s="360" t="s">
        <v>912</v>
      </c>
      <c r="C262" s="438"/>
      <c r="D262" s="360" t="s">
        <v>959</v>
      </c>
      <c r="E262" s="439">
        <f>E263</f>
        <v>0</v>
      </c>
      <c r="F262" s="439">
        <f t="shared" ref="F262:P263" si="293">F263</f>
        <v>0</v>
      </c>
      <c r="G262" s="439">
        <f t="shared" si="293"/>
        <v>0</v>
      </c>
      <c r="H262" s="439">
        <f t="shared" si="293"/>
        <v>0</v>
      </c>
      <c r="I262" s="439">
        <f t="shared" si="293"/>
        <v>0</v>
      </c>
      <c r="J262" s="439">
        <f t="shared" si="293"/>
        <v>611000</v>
      </c>
      <c r="K262" s="439">
        <f t="shared" si="293"/>
        <v>611000</v>
      </c>
      <c r="L262" s="439">
        <f t="shared" si="293"/>
        <v>0</v>
      </c>
      <c r="M262" s="439">
        <f t="shared" si="293"/>
        <v>0</v>
      </c>
      <c r="N262" s="439">
        <f t="shared" si="293"/>
        <v>0</v>
      </c>
      <c r="O262" s="439">
        <f t="shared" si="293"/>
        <v>611000</v>
      </c>
      <c r="P262" s="439">
        <f t="shared" si="293"/>
        <v>611000</v>
      </c>
    </row>
    <row r="263" spans="1:16" s="435" customFormat="1" ht="91.5" thickTop="1" thickBot="1" x14ac:dyDescent="0.25">
      <c r="A263" s="319" t="s">
        <v>1120</v>
      </c>
      <c r="B263" s="319" t="s">
        <v>968</v>
      </c>
      <c r="C263" s="319"/>
      <c r="D263" s="319" t="s">
        <v>969</v>
      </c>
      <c r="E263" s="288">
        <f>E264</f>
        <v>0</v>
      </c>
      <c r="F263" s="288">
        <f t="shared" si="293"/>
        <v>0</v>
      </c>
      <c r="G263" s="288">
        <f t="shared" si="293"/>
        <v>0</v>
      </c>
      <c r="H263" s="288">
        <f t="shared" si="293"/>
        <v>0</v>
      </c>
      <c r="I263" s="288">
        <f t="shared" si="293"/>
        <v>0</v>
      </c>
      <c r="J263" s="288">
        <f t="shared" si="293"/>
        <v>611000</v>
      </c>
      <c r="K263" s="288">
        <f t="shared" si="293"/>
        <v>611000</v>
      </c>
      <c r="L263" s="288">
        <f t="shared" si="293"/>
        <v>0</v>
      </c>
      <c r="M263" s="288">
        <f t="shared" si="293"/>
        <v>0</v>
      </c>
      <c r="N263" s="288">
        <f t="shared" si="293"/>
        <v>0</v>
      </c>
      <c r="O263" s="288">
        <f t="shared" si="293"/>
        <v>611000</v>
      </c>
      <c r="P263" s="288">
        <f t="shared" si="293"/>
        <v>611000</v>
      </c>
    </row>
    <row r="264" spans="1:16" s="435" customFormat="1" ht="138.75" thickTop="1" thickBot="1" x14ac:dyDescent="0.25">
      <c r="A264" s="438" t="s">
        <v>1121</v>
      </c>
      <c r="B264" s="438" t="s">
        <v>1122</v>
      </c>
      <c r="C264" s="438" t="s">
        <v>326</v>
      </c>
      <c r="D264" s="438" t="s">
        <v>1123</v>
      </c>
      <c r="E264" s="244">
        <f>F264</f>
        <v>0</v>
      </c>
      <c r="F264" s="148"/>
      <c r="G264" s="148"/>
      <c r="H264" s="148"/>
      <c r="I264" s="148"/>
      <c r="J264" s="439">
        <f t="shared" ref="J264" si="294">L264+O264</f>
        <v>611000</v>
      </c>
      <c r="K264" s="148">
        <v>611000</v>
      </c>
      <c r="L264" s="149"/>
      <c r="M264" s="149"/>
      <c r="N264" s="149"/>
      <c r="O264" s="437">
        <f t="shared" ref="O264" si="295">K264</f>
        <v>611000</v>
      </c>
      <c r="P264" s="439">
        <f t="shared" ref="P264" si="296">+J264+E264</f>
        <v>611000</v>
      </c>
    </row>
    <row r="265" spans="1:16" ht="136.5" thickTop="1" thickBot="1" x14ac:dyDescent="0.25">
      <c r="A265" s="691" t="s">
        <v>479</v>
      </c>
      <c r="B265" s="691"/>
      <c r="C265" s="691"/>
      <c r="D265" s="692" t="s">
        <v>481</v>
      </c>
      <c r="E265" s="693">
        <f>E266</f>
        <v>94327131</v>
      </c>
      <c r="F265" s="694">
        <f t="shared" ref="F265:G265" si="297">F266</f>
        <v>94327131</v>
      </c>
      <c r="G265" s="694">
        <f t="shared" si="297"/>
        <v>2452610</v>
      </c>
      <c r="H265" s="694">
        <f>H266</f>
        <v>65145</v>
      </c>
      <c r="I265" s="694">
        <f t="shared" ref="I265" si="298">I266</f>
        <v>0</v>
      </c>
      <c r="J265" s="693">
        <f>J266</f>
        <v>36000</v>
      </c>
      <c r="K265" s="694">
        <f>K266</f>
        <v>36000</v>
      </c>
      <c r="L265" s="694">
        <f>L266</f>
        <v>0</v>
      </c>
      <c r="M265" s="694">
        <f t="shared" ref="M265" si="299">M266</f>
        <v>0</v>
      </c>
      <c r="N265" s="693">
        <f>N266</f>
        <v>0</v>
      </c>
      <c r="O265" s="693">
        <f>O266</f>
        <v>36000</v>
      </c>
      <c r="P265" s="694">
        <f t="shared" ref="P265" si="300">P266</f>
        <v>94363131</v>
      </c>
    </row>
    <row r="266" spans="1:16" ht="181.5" thickTop="1" thickBot="1" x14ac:dyDescent="0.25">
      <c r="A266" s="695" t="s">
        <v>480</v>
      </c>
      <c r="B266" s="695"/>
      <c r="C266" s="695"/>
      <c r="D266" s="696" t="s">
        <v>482</v>
      </c>
      <c r="E266" s="697">
        <f>E267+E271</f>
        <v>94327131</v>
      </c>
      <c r="F266" s="697">
        <f t="shared" ref="F266:I266" si="301">F267+F271</f>
        <v>94327131</v>
      </c>
      <c r="G266" s="697">
        <f t="shared" si="301"/>
        <v>2452610</v>
      </c>
      <c r="H266" s="697">
        <f t="shared" si="301"/>
        <v>65145</v>
      </c>
      <c r="I266" s="697">
        <f t="shared" si="301"/>
        <v>0</v>
      </c>
      <c r="J266" s="697">
        <f>L266+O266</f>
        <v>36000</v>
      </c>
      <c r="K266" s="697">
        <f t="shared" ref="K266:O266" si="302">K267+K271</f>
        <v>36000</v>
      </c>
      <c r="L266" s="697">
        <f t="shared" si="302"/>
        <v>0</v>
      </c>
      <c r="M266" s="697">
        <f t="shared" si="302"/>
        <v>0</v>
      </c>
      <c r="N266" s="697">
        <f t="shared" si="302"/>
        <v>0</v>
      </c>
      <c r="O266" s="697">
        <f t="shared" si="302"/>
        <v>36000</v>
      </c>
      <c r="P266" s="698">
        <f>E266+J266</f>
        <v>94363131</v>
      </c>
    </row>
    <row r="267" spans="1:16" s="347" customFormat="1" ht="47.25" thickTop="1" thickBot="1" x14ac:dyDescent="0.25">
      <c r="A267" s="152" t="s">
        <v>990</v>
      </c>
      <c r="B267" s="360" t="s">
        <v>844</v>
      </c>
      <c r="C267" s="360"/>
      <c r="D267" s="360" t="s">
        <v>845</v>
      </c>
      <c r="E267" s="351">
        <f>SUM(E268:E269)</f>
        <v>3591510</v>
      </c>
      <c r="F267" s="351">
        <f t="shared" ref="F267" si="303">SUM(F268:F269)</f>
        <v>3591510</v>
      </c>
      <c r="G267" s="351">
        <f t="shared" ref="G267" si="304">SUM(G268:G269)</f>
        <v>2452610</v>
      </c>
      <c r="H267" s="351">
        <f t="shared" ref="H267" si="305">SUM(H268:H269)</f>
        <v>65145</v>
      </c>
      <c r="I267" s="351">
        <f t="shared" ref="I267" si="306">SUM(I268:I269)</f>
        <v>0</v>
      </c>
      <c r="J267" s="351">
        <f t="shared" ref="J267" si="307">SUM(J268:J269)</f>
        <v>36000</v>
      </c>
      <c r="K267" s="351">
        <f t="shared" ref="K267" si="308">SUM(K268:K269)</f>
        <v>36000</v>
      </c>
      <c r="L267" s="351">
        <f t="shared" ref="L267" si="309">SUM(L268:L269)</f>
        <v>0</v>
      </c>
      <c r="M267" s="351">
        <f t="shared" ref="M267" si="310">SUM(M268:M269)</f>
        <v>0</v>
      </c>
      <c r="N267" s="351">
        <f t="shared" ref="N267" si="311">SUM(N268:N269)</f>
        <v>0</v>
      </c>
      <c r="O267" s="351">
        <f t="shared" ref="O267" si="312">SUM(O268:O269)</f>
        <v>36000</v>
      </c>
      <c r="P267" s="351">
        <f t="shared" ref="P267" si="313">SUM(P268:P269)</f>
        <v>3627510</v>
      </c>
    </row>
    <row r="268" spans="1:16" ht="230.25" thickTop="1" thickBot="1" x14ac:dyDescent="0.25">
      <c r="A268" s="200" t="s">
        <v>483</v>
      </c>
      <c r="B268" s="200" t="s">
        <v>257</v>
      </c>
      <c r="C268" s="200" t="s">
        <v>255</v>
      </c>
      <c r="D268" s="200" t="s">
        <v>256</v>
      </c>
      <c r="E268" s="241">
        <f>F268</f>
        <v>3586430</v>
      </c>
      <c r="F268" s="242">
        <f>(3546620-5080)+240240+4650-200000</f>
        <v>3586430</v>
      </c>
      <c r="G268" s="242">
        <v>2452610</v>
      </c>
      <c r="H268" s="242">
        <f>(40290+1200+22400+1255)</f>
        <v>65145</v>
      </c>
      <c r="I268" s="242"/>
      <c r="J268" s="241">
        <f>L268+O268</f>
        <v>36000</v>
      </c>
      <c r="K268" s="242">
        <f>(18000)+18000</f>
        <v>36000</v>
      </c>
      <c r="L268" s="242"/>
      <c r="M268" s="242"/>
      <c r="N268" s="242"/>
      <c r="O268" s="243">
        <f>K268</f>
        <v>36000</v>
      </c>
      <c r="P268" s="241">
        <f>E268+J268</f>
        <v>3622430</v>
      </c>
    </row>
    <row r="269" spans="1:16" s="239" customFormat="1" ht="184.5" thickTop="1" thickBot="1" x14ac:dyDescent="0.25">
      <c r="A269" s="245" t="s">
        <v>791</v>
      </c>
      <c r="B269" s="245" t="s">
        <v>390</v>
      </c>
      <c r="C269" s="245" t="s">
        <v>779</v>
      </c>
      <c r="D269" s="245" t="s">
        <v>780</v>
      </c>
      <c r="E269" s="244">
        <f>F269</f>
        <v>5080</v>
      </c>
      <c r="F269" s="148">
        <v>5080</v>
      </c>
      <c r="G269" s="148"/>
      <c r="H269" s="148"/>
      <c r="I269" s="148"/>
      <c r="J269" s="241">
        <f t="shared" ref="J269" si="314">L269+O269</f>
        <v>0</v>
      </c>
      <c r="K269" s="148"/>
      <c r="L269" s="149"/>
      <c r="M269" s="149"/>
      <c r="N269" s="149"/>
      <c r="O269" s="243">
        <f t="shared" ref="O269" si="315">K269</f>
        <v>0</v>
      </c>
      <c r="P269" s="241">
        <f t="shared" ref="P269" si="316">+J269+E269</f>
        <v>5080</v>
      </c>
    </row>
    <row r="270" spans="1:16" ht="93" hidden="1" thickTop="1" thickBot="1" x14ac:dyDescent="0.25">
      <c r="A270" s="165" t="s">
        <v>506</v>
      </c>
      <c r="B270" s="165" t="s">
        <v>442</v>
      </c>
      <c r="C270" s="165" t="s">
        <v>443</v>
      </c>
      <c r="D270" s="165" t="s">
        <v>444</v>
      </c>
      <c r="E270" s="219">
        <f>F270</f>
        <v>0</v>
      </c>
      <c r="F270" s="220">
        <f>(34016813)-19850000-9713396-4453417</f>
        <v>0</v>
      </c>
      <c r="G270" s="220"/>
      <c r="H270" s="220"/>
      <c r="I270" s="220"/>
      <c r="J270" s="219">
        <f>L270+O270</f>
        <v>0</v>
      </c>
      <c r="K270" s="220"/>
      <c r="L270" s="220"/>
      <c r="M270" s="220"/>
      <c r="N270" s="220"/>
      <c r="O270" s="221">
        <f>K270</f>
        <v>0</v>
      </c>
      <c r="P270" s="219">
        <f>E270+J270</f>
        <v>0</v>
      </c>
    </row>
    <row r="271" spans="1:16" s="347" customFormat="1" ht="47.25" thickTop="1" thickBot="1" x14ac:dyDescent="0.25">
      <c r="A271" s="152" t="s">
        <v>991</v>
      </c>
      <c r="B271" s="360" t="s">
        <v>912</v>
      </c>
      <c r="C271" s="350"/>
      <c r="D271" s="360" t="s">
        <v>959</v>
      </c>
      <c r="E271" s="349">
        <f>E272</f>
        <v>90735621</v>
      </c>
      <c r="F271" s="349">
        <f t="shared" ref="F271:P275" si="317">F272</f>
        <v>90735621</v>
      </c>
      <c r="G271" s="349">
        <f t="shared" si="317"/>
        <v>0</v>
      </c>
      <c r="H271" s="349">
        <f t="shared" si="317"/>
        <v>0</v>
      </c>
      <c r="I271" s="349">
        <f t="shared" si="317"/>
        <v>0</v>
      </c>
      <c r="J271" s="349">
        <f t="shared" si="317"/>
        <v>0</v>
      </c>
      <c r="K271" s="349">
        <f t="shared" si="317"/>
        <v>0</v>
      </c>
      <c r="L271" s="349">
        <f t="shared" si="317"/>
        <v>0</v>
      </c>
      <c r="M271" s="349">
        <f t="shared" si="317"/>
        <v>0</v>
      </c>
      <c r="N271" s="349">
        <f t="shared" si="317"/>
        <v>0</v>
      </c>
      <c r="O271" s="349">
        <f t="shared" si="317"/>
        <v>0</v>
      </c>
      <c r="P271" s="349">
        <f t="shared" si="317"/>
        <v>88642613</v>
      </c>
    </row>
    <row r="272" spans="1:16" s="347" customFormat="1" ht="136.5" thickTop="1" thickBot="1" x14ac:dyDescent="0.25">
      <c r="A272" s="357" t="s">
        <v>992</v>
      </c>
      <c r="B272" s="357" t="s">
        <v>971</v>
      </c>
      <c r="C272" s="357"/>
      <c r="D272" s="357" t="s">
        <v>972</v>
      </c>
      <c r="E272" s="355">
        <f>E275+E273</f>
        <v>90735621</v>
      </c>
      <c r="F272" s="355">
        <f t="shared" ref="F272:O272" si="318">F275+F273</f>
        <v>90735621</v>
      </c>
      <c r="G272" s="355">
        <f t="shared" si="318"/>
        <v>0</v>
      </c>
      <c r="H272" s="355">
        <f t="shared" si="318"/>
        <v>0</v>
      </c>
      <c r="I272" s="355">
        <f t="shared" si="318"/>
        <v>0</v>
      </c>
      <c r="J272" s="355">
        <f t="shared" si="318"/>
        <v>0</v>
      </c>
      <c r="K272" s="355">
        <f t="shared" si="318"/>
        <v>0</v>
      </c>
      <c r="L272" s="355">
        <f t="shared" si="318"/>
        <v>0</v>
      </c>
      <c r="M272" s="355">
        <f t="shared" si="318"/>
        <v>0</v>
      </c>
      <c r="N272" s="355">
        <f t="shared" si="318"/>
        <v>0</v>
      </c>
      <c r="O272" s="355">
        <f t="shared" si="318"/>
        <v>0</v>
      </c>
      <c r="P272" s="355">
        <f>P275</f>
        <v>88642613</v>
      </c>
    </row>
    <row r="273" spans="1:16" s="675" customFormat="1" ht="138.75" thickTop="1" thickBot="1" x14ac:dyDescent="0.25">
      <c r="A273" s="353" t="s">
        <v>1354</v>
      </c>
      <c r="B273" s="353" t="s">
        <v>1355</v>
      </c>
      <c r="C273" s="353"/>
      <c r="D273" s="353" t="s">
        <v>1353</v>
      </c>
      <c r="E273" s="354">
        <f>E274</f>
        <v>2093008</v>
      </c>
      <c r="F273" s="354">
        <f t="shared" ref="F273:O273" si="319">F274</f>
        <v>2093008</v>
      </c>
      <c r="G273" s="354">
        <f t="shared" si="319"/>
        <v>0</v>
      </c>
      <c r="H273" s="354">
        <f t="shared" si="319"/>
        <v>0</v>
      </c>
      <c r="I273" s="354">
        <f t="shared" si="319"/>
        <v>0</v>
      </c>
      <c r="J273" s="354">
        <f t="shared" si="319"/>
        <v>0</v>
      </c>
      <c r="K273" s="354">
        <f t="shared" si="319"/>
        <v>0</v>
      </c>
      <c r="L273" s="354">
        <f t="shared" si="319"/>
        <v>0</v>
      </c>
      <c r="M273" s="354">
        <f t="shared" si="319"/>
        <v>0</v>
      </c>
      <c r="N273" s="354">
        <f t="shared" si="319"/>
        <v>0</v>
      </c>
      <c r="O273" s="354">
        <f t="shared" si="319"/>
        <v>0</v>
      </c>
      <c r="P273" s="354">
        <f t="shared" si="317"/>
        <v>2093008</v>
      </c>
    </row>
    <row r="274" spans="1:16" s="675" customFormat="1" ht="93" thickTop="1" thickBot="1" x14ac:dyDescent="0.25">
      <c r="A274" s="685" t="s">
        <v>506</v>
      </c>
      <c r="B274" s="685" t="s">
        <v>442</v>
      </c>
      <c r="C274" s="685" t="s">
        <v>443</v>
      </c>
      <c r="D274" s="685" t="s">
        <v>444</v>
      </c>
      <c r="E274" s="681">
        <f>F274</f>
        <v>2093008</v>
      </c>
      <c r="F274" s="242">
        <v>2093008</v>
      </c>
      <c r="G274" s="242"/>
      <c r="H274" s="242"/>
      <c r="I274" s="242"/>
      <c r="J274" s="681">
        <f>L274+O274</f>
        <v>0</v>
      </c>
      <c r="K274" s="242"/>
      <c r="L274" s="242"/>
      <c r="M274" s="242"/>
      <c r="N274" s="242"/>
      <c r="O274" s="683">
        <f>K274</f>
        <v>0</v>
      </c>
      <c r="P274" s="681">
        <f>E274+J274</f>
        <v>2093008</v>
      </c>
    </row>
    <row r="275" spans="1:16" s="347" customFormat="1" ht="138.75" thickTop="1" thickBot="1" x14ac:dyDescent="0.25">
      <c r="A275" s="353" t="s">
        <v>993</v>
      </c>
      <c r="B275" s="353" t="s">
        <v>994</v>
      </c>
      <c r="C275" s="353"/>
      <c r="D275" s="353" t="s">
        <v>995</v>
      </c>
      <c r="E275" s="354">
        <f>E276</f>
        <v>88642613</v>
      </c>
      <c r="F275" s="354">
        <f t="shared" si="317"/>
        <v>88642613</v>
      </c>
      <c r="G275" s="354">
        <f t="shared" si="317"/>
        <v>0</v>
      </c>
      <c r="H275" s="354">
        <f t="shared" si="317"/>
        <v>0</v>
      </c>
      <c r="I275" s="354">
        <f t="shared" si="317"/>
        <v>0</v>
      </c>
      <c r="J275" s="354">
        <f t="shared" si="317"/>
        <v>0</v>
      </c>
      <c r="K275" s="354">
        <f t="shared" si="317"/>
        <v>0</v>
      </c>
      <c r="L275" s="354">
        <f t="shared" si="317"/>
        <v>0</v>
      </c>
      <c r="M275" s="354">
        <f t="shared" si="317"/>
        <v>0</v>
      </c>
      <c r="N275" s="354">
        <f t="shared" si="317"/>
        <v>0</v>
      </c>
      <c r="O275" s="354">
        <f t="shared" si="317"/>
        <v>0</v>
      </c>
      <c r="P275" s="354">
        <f t="shared" si="317"/>
        <v>88642613</v>
      </c>
    </row>
    <row r="276" spans="1:16" ht="93" thickTop="1" thickBot="1" x14ac:dyDescent="0.25">
      <c r="A276" s="200" t="s">
        <v>507</v>
      </c>
      <c r="B276" s="200" t="s">
        <v>312</v>
      </c>
      <c r="C276" s="200" t="s">
        <v>314</v>
      </c>
      <c r="D276" s="200" t="s">
        <v>313</v>
      </c>
      <c r="E276" s="241">
        <f>F276</f>
        <v>88642613</v>
      </c>
      <c r="F276" s="242">
        <f>(54505073)+34137540</f>
        <v>88642613</v>
      </c>
      <c r="G276" s="242"/>
      <c r="H276" s="242"/>
      <c r="I276" s="242"/>
      <c r="J276" s="241">
        <f>L276+O276</f>
        <v>0</v>
      </c>
      <c r="K276" s="242"/>
      <c r="L276" s="242"/>
      <c r="M276" s="242"/>
      <c r="N276" s="242"/>
      <c r="O276" s="243">
        <f>K276</f>
        <v>0</v>
      </c>
      <c r="P276" s="241">
        <f>E276+J276</f>
        <v>88642613</v>
      </c>
    </row>
    <row r="277" spans="1:16" ht="136.5" thickTop="1" thickBot="1" x14ac:dyDescent="0.25">
      <c r="A277" s="691" t="s">
        <v>183</v>
      </c>
      <c r="B277" s="691"/>
      <c r="C277" s="691"/>
      <c r="D277" s="692" t="s">
        <v>382</v>
      </c>
      <c r="E277" s="693">
        <f>E278</f>
        <v>11492501.41</v>
      </c>
      <c r="F277" s="694">
        <f t="shared" ref="F277:G277" si="320">F278</f>
        <v>11492501.41</v>
      </c>
      <c r="G277" s="694">
        <f t="shared" si="320"/>
        <v>0</v>
      </c>
      <c r="H277" s="694">
        <f>H278</f>
        <v>0</v>
      </c>
      <c r="I277" s="694">
        <f t="shared" ref="I277" si="321">I278</f>
        <v>0</v>
      </c>
      <c r="J277" s="693">
        <f>J278</f>
        <v>1209885</v>
      </c>
      <c r="K277" s="694">
        <f>K278</f>
        <v>1209885</v>
      </c>
      <c r="L277" s="694">
        <f>L278</f>
        <v>0</v>
      </c>
      <c r="M277" s="694">
        <f t="shared" ref="M277" si="322">M278</f>
        <v>0</v>
      </c>
      <c r="N277" s="693">
        <f>N278</f>
        <v>0</v>
      </c>
      <c r="O277" s="693">
        <f>O278</f>
        <v>1209885</v>
      </c>
      <c r="P277" s="694">
        <f t="shared" ref="P277" si="323">P278</f>
        <v>12702386.41</v>
      </c>
    </row>
    <row r="278" spans="1:16" ht="136.5" thickTop="1" thickBot="1" x14ac:dyDescent="0.25">
      <c r="A278" s="695" t="s">
        <v>184</v>
      </c>
      <c r="B278" s="695"/>
      <c r="C278" s="695"/>
      <c r="D278" s="696" t="s">
        <v>383</v>
      </c>
      <c r="E278" s="697">
        <f>E279+E287</f>
        <v>11492501.41</v>
      </c>
      <c r="F278" s="697">
        <f>F279+F287</f>
        <v>11492501.41</v>
      </c>
      <c r="G278" s="697">
        <f t="shared" ref="G278:K278" si="324">G279+G287</f>
        <v>0</v>
      </c>
      <c r="H278" s="697">
        <f t="shared" si="324"/>
        <v>0</v>
      </c>
      <c r="I278" s="697">
        <f t="shared" si="324"/>
        <v>0</v>
      </c>
      <c r="J278" s="697">
        <f t="shared" ref="J278:J286" si="325">L278+O278</f>
        <v>1209885</v>
      </c>
      <c r="K278" s="697">
        <f t="shared" si="324"/>
        <v>1209885</v>
      </c>
      <c r="L278" s="697">
        <f t="shared" ref="L278" si="326">L279+L287</f>
        <v>0</v>
      </c>
      <c r="M278" s="697">
        <f t="shared" ref="M278" si="327">M279+M287</f>
        <v>0</v>
      </c>
      <c r="N278" s="697">
        <f t="shared" ref="N278" si="328">N279+N287</f>
        <v>0</v>
      </c>
      <c r="O278" s="697">
        <f t="shared" ref="O278" si="329">O279+O287</f>
        <v>1209885</v>
      </c>
      <c r="P278" s="698">
        <f t="shared" ref="P278:P286" si="330">E278+J278</f>
        <v>12702386.41</v>
      </c>
    </row>
    <row r="279" spans="1:16" s="347" customFormat="1" ht="47.25" thickTop="1" thickBot="1" x14ac:dyDescent="0.25">
      <c r="A279" s="360" t="s">
        <v>996</v>
      </c>
      <c r="B279" s="360" t="s">
        <v>912</v>
      </c>
      <c r="C279" s="350"/>
      <c r="D279" s="360" t="s">
        <v>959</v>
      </c>
      <c r="E279" s="369">
        <f t="shared" ref="E279:P279" si="331">E282+E280</f>
        <v>9792501.4100000001</v>
      </c>
      <c r="F279" s="369">
        <f t="shared" si="331"/>
        <v>9792501.4100000001</v>
      </c>
      <c r="G279" s="369">
        <f t="shared" si="331"/>
        <v>0</v>
      </c>
      <c r="H279" s="369">
        <f t="shared" si="331"/>
        <v>0</v>
      </c>
      <c r="I279" s="369">
        <f t="shared" si="331"/>
        <v>0</v>
      </c>
      <c r="J279" s="369">
        <f t="shared" si="331"/>
        <v>209885</v>
      </c>
      <c r="K279" s="369">
        <f t="shared" si="331"/>
        <v>209885</v>
      </c>
      <c r="L279" s="369">
        <f t="shared" si="331"/>
        <v>0</v>
      </c>
      <c r="M279" s="369">
        <f t="shared" si="331"/>
        <v>0</v>
      </c>
      <c r="N279" s="369">
        <f t="shared" si="331"/>
        <v>0</v>
      </c>
      <c r="O279" s="369">
        <f t="shared" si="331"/>
        <v>209885</v>
      </c>
      <c r="P279" s="369">
        <f t="shared" si="331"/>
        <v>10002386.41</v>
      </c>
    </row>
    <row r="280" spans="1:16" s="675" customFormat="1" ht="91.5" thickTop="1" thickBot="1" x14ac:dyDescent="0.25">
      <c r="A280" s="319" t="s">
        <v>1351</v>
      </c>
      <c r="B280" s="319" t="s">
        <v>968</v>
      </c>
      <c r="C280" s="319"/>
      <c r="D280" s="319" t="s">
        <v>969</v>
      </c>
      <c r="E280" s="370">
        <f>E281</f>
        <v>70000</v>
      </c>
      <c r="F280" s="370">
        <f>F281</f>
        <v>70000</v>
      </c>
      <c r="G280" s="370">
        <f t="shared" ref="G280:O280" si="332">G281</f>
        <v>0</v>
      </c>
      <c r="H280" s="370">
        <f t="shared" si="332"/>
        <v>0</v>
      </c>
      <c r="I280" s="370">
        <f t="shared" si="332"/>
        <v>0</v>
      </c>
      <c r="J280" s="370">
        <f t="shared" si="332"/>
        <v>0</v>
      </c>
      <c r="K280" s="370">
        <f t="shared" si="332"/>
        <v>0</v>
      </c>
      <c r="L280" s="370">
        <f t="shared" si="332"/>
        <v>0</v>
      </c>
      <c r="M280" s="370">
        <f t="shared" si="332"/>
        <v>0</v>
      </c>
      <c r="N280" s="370">
        <f t="shared" si="332"/>
        <v>0</v>
      </c>
      <c r="O280" s="370">
        <f t="shared" si="332"/>
        <v>0</v>
      </c>
      <c r="P280" s="370">
        <f>P281</f>
        <v>70000</v>
      </c>
    </row>
    <row r="281" spans="1:16" s="675" customFormat="1" ht="138.75" thickTop="1" thickBot="1" x14ac:dyDescent="0.25">
      <c r="A281" s="680" t="s">
        <v>1352</v>
      </c>
      <c r="B281" s="680" t="s">
        <v>378</v>
      </c>
      <c r="C281" s="680" t="s">
        <v>187</v>
      </c>
      <c r="D281" s="680" t="s">
        <v>283</v>
      </c>
      <c r="E281" s="678">
        <f t="shared" ref="E281" si="333">F281</f>
        <v>70000</v>
      </c>
      <c r="F281" s="233">
        <v>70000</v>
      </c>
      <c r="G281" s="233"/>
      <c r="H281" s="233"/>
      <c r="I281" s="233"/>
      <c r="J281" s="678">
        <f t="shared" ref="J281" si="334">L281+O281</f>
        <v>0</v>
      </c>
      <c r="K281" s="233"/>
      <c r="L281" s="233"/>
      <c r="M281" s="233"/>
      <c r="N281" s="233"/>
      <c r="O281" s="684">
        <f>K281</f>
        <v>0</v>
      </c>
      <c r="P281" s="678">
        <f t="shared" ref="P281" si="335">E281+J281</f>
        <v>70000</v>
      </c>
    </row>
    <row r="282" spans="1:16" s="347" customFormat="1" ht="136.5" thickTop="1" thickBot="1" x14ac:dyDescent="0.25">
      <c r="A282" s="319" t="s">
        <v>997</v>
      </c>
      <c r="B282" s="319" t="s">
        <v>851</v>
      </c>
      <c r="C282" s="319"/>
      <c r="D282" s="319" t="s">
        <v>849</v>
      </c>
      <c r="E282" s="370">
        <f>SUM(E283:E286)-E285</f>
        <v>9722501.4100000001</v>
      </c>
      <c r="F282" s="370">
        <f t="shared" ref="F282:P282" si="336">SUM(F283:F286)-F285</f>
        <v>9722501.4100000001</v>
      </c>
      <c r="G282" s="370">
        <f t="shared" si="336"/>
        <v>0</v>
      </c>
      <c r="H282" s="370">
        <f t="shared" si="336"/>
        <v>0</v>
      </c>
      <c r="I282" s="370">
        <f t="shared" si="336"/>
        <v>0</v>
      </c>
      <c r="J282" s="370">
        <f t="shared" si="336"/>
        <v>209885</v>
      </c>
      <c r="K282" s="370">
        <f t="shared" si="336"/>
        <v>209885</v>
      </c>
      <c r="L282" s="370">
        <f t="shared" si="336"/>
        <v>0</v>
      </c>
      <c r="M282" s="370">
        <f t="shared" si="336"/>
        <v>0</v>
      </c>
      <c r="N282" s="370">
        <f t="shared" si="336"/>
        <v>0</v>
      </c>
      <c r="O282" s="370">
        <f t="shared" si="336"/>
        <v>209885</v>
      </c>
      <c r="P282" s="370">
        <f t="shared" si="336"/>
        <v>9932386.4100000001</v>
      </c>
    </row>
    <row r="283" spans="1:16" ht="93" thickTop="1" thickBot="1" x14ac:dyDescent="0.25">
      <c r="A283" s="257" t="s">
        <v>281</v>
      </c>
      <c r="B283" s="257" t="s">
        <v>282</v>
      </c>
      <c r="C283" s="257" t="s">
        <v>280</v>
      </c>
      <c r="D283" s="257" t="s">
        <v>279</v>
      </c>
      <c r="E283" s="258">
        <f t="shared" ref="E283:E286" si="337">F283</f>
        <v>4602230</v>
      </c>
      <c r="F283" s="233">
        <f>-490000+300000+((5588200)-795970)</f>
        <v>4602230</v>
      </c>
      <c r="G283" s="233"/>
      <c r="H283" s="233"/>
      <c r="I283" s="233"/>
      <c r="J283" s="258">
        <f t="shared" si="325"/>
        <v>0</v>
      </c>
      <c r="K283" s="233"/>
      <c r="L283" s="233"/>
      <c r="M283" s="233"/>
      <c r="N283" s="233"/>
      <c r="O283" s="256">
        <f>K283</f>
        <v>0</v>
      </c>
      <c r="P283" s="258">
        <f t="shared" si="330"/>
        <v>4602230</v>
      </c>
    </row>
    <row r="284" spans="1:16" ht="138.75" thickTop="1" thickBot="1" x14ac:dyDescent="0.25">
      <c r="A284" s="257" t="s">
        <v>273</v>
      </c>
      <c r="B284" s="257" t="s">
        <v>275</v>
      </c>
      <c r="C284" s="257" t="s">
        <v>234</v>
      </c>
      <c r="D284" s="257" t="s">
        <v>274</v>
      </c>
      <c r="E284" s="258">
        <f t="shared" si="337"/>
        <v>1235000</v>
      </c>
      <c r="F284" s="233">
        <f>(745000)+490000</f>
        <v>1235000</v>
      </c>
      <c r="G284" s="233"/>
      <c r="H284" s="233"/>
      <c r="I284" s="233"/>
      <c r="J284" s="258">
        <f t="shared" si="325"/>
        <v>0</v>
      </c>
      <c r="K284" s="233"/>
      <c r="L284" s="233"/>
      <c r="M284" s="233"/>
      <c r="N284" s="233"/>
      <c r="O284" s="256">
        <f>K284</f>
        <v>0</v>
      </c>
      <c r="P284" s="258">
        <f t="shared" si="330"/>
        <v>1235000</v>
      </c>
    </row>
    <row r="285" spans="1:16" s="347" customFormat="1" ht="48" thickTop="1" thickBot="1" x14ac:dyDescent="0.25">
      <c r="A285" s="287" t="s">
        <v>998</v>
      </c>
      <c r="B285" s="287" t="s">
        <v>854</v>
      </c>
      <c r="C285" s="287"/>
      <c r="D285" s="287" t="s">
        <v>852</v>
      </c>
      <c r="E285" s="289">
        <f>E286</f>
        <v>3885271.41</v>
      </c>
      <c r="F285" s="289">
        <f t="shared" ref="F285:P285" si="338">F286</f>
        <v>3885271.41</v>
      </c>
      <c r="G285" s="289">
        <f t="shared" si="338"/>
        <v>0</v>
      </c>
      <c r="H285" s="289">
        <f t="shared" si="338"/>
        <v>0</v>
      </c>
      <c r="I285" s="289">
        <f t="shared" si="338"/>
        <v>0</v>
      </c>
      <c r="J285" s="289">
        <f t="shared" si="338"/>
        <v>209885</v>
      </c>
      <c r="K285" s="289">
        <f t="shared" si="338"/>
        <v>209885</v>
      </c>
      <c r="L285" s="289">
        <f t="shared" si="338"/>
        <v>0</v>
      </c>
      <c r="M285" s="289">
        <f t="shared" si="338"/>
        <v>0</v>
      </c>
      <c r="N285" s="289">
        <f t="shared" si="338"/>
        <v>0</v>
      </c>
      <c r="O285" s="289">
        <f t="shared" si="338"/>
        <v>209885</v>
      </c>
      <c r="P285" s="289">
        <f t="shared" si="338"/>
        <v>4095156.41</v>
      </c>
    </row>
    <row r="286" spans="1:16" ht="93" thickTop="1" thickBot="1" x14ac:dyDescent="0.25">
      <c r="A286" s="257" t="s">
        <v>277</v>
      </c>
      <c r="B286" s="257" t="s">
        <v>278</v>
      </c>
      <c r="C286" s="257" t="s">
        <v>187</v>
      </c>
      <c r="D286" s="257" t="s">
        <v>276</v>
      </c>
      <c r="E286" s="258">
        <f t="shared" si="337"/>
        <v>3885271.41</v>
      </c>
      <c r="F286" s="233">
        <f>1500000+(30296+105938+(800000+2049580)-1600542.59+300000+700000)</f>
        <v>3885271.41</v>
      </c>
      <c r="G286" s="233"/>
      <c r="H286" s="233"/>
      <c r="I286" s="233"/>
      <c r="J286" s="258">
        <f t="shared" si="325"/>
        <v>209885</v>
      </c>
      <c r="K286" s="233">
        <f>(400000)-190115</f>
        <v>209885</v>
      </c>
      <c r="L286" s="233"/>
      <c r="M286" s="233"/>
      <c r="N286" s="233"/>
      <c r="O286" s="256">
        <f>K286</f>
        <v>209885</v>
      </c>
      <c r="P286" s="258">
        <f t="shared" si="330"/>
        <v>4095156.41</v>
      </c>
    </row>
    <row r="287" spans="1:16" s="420" customFormat="1" ht="47.25" thickTop="1" thickBot="1" x14ac:dyDescent="0.25">
      <c r="A287" s="360" t="s">
        <v>1106</v>
      </c>
      <c r="B287" s="360" t="s">
        <v>862</v>
      </c>
      <c r="C287" s="360"/>
      <c r="D287" s="360" t="s">
        <v>863</v>
      </c>
      <c r="E287" s="421">
        <f>E288</f>
        <v>1700000</v>
      </c>
      <c r="F287" s="421">
        <f t="shared" ref="F287:P288" si="339">F288</f>
        <v>1700000</v>
      </c>
      <c r="G287" s="421">
        <f t="shared" si="339"/>
        <v>0</v>
      </c>
      <c r="H287" s="421">
        <f t="shared" si="339"/>
        <v>0</v>
      </c>
      <c r="I287" s="421">
        <f t="shared" si="339"/>
        <v>0</v>
      </c>
      <c r="J287" s="421">
        <f t="shared" si="339"/>
        <v>1000000</v>
      </c>
      <c r="K287" s="421">
        <f t="shared" si="339"/>
        <v>1000000</v>
      </c>
      <c r="L287" s="421">
        <f t="shared" si="339"/>
        <v>0</v>
      </c>
      <c r="M287" s="421">
        <f t="shared" si="339"/>
        <v>0</v>
      </c>
      <c r="N287" s="421">
        <f t="shared" si="339"/>
        <v>0</v>
      </c>
      <c r="O287" s="421">
        <f t="shared" si="339"/>
        <v>1000000</v>
      </c>
      <c r="P287" s="421">
        <f t="shared" si="339"/>
        <v>2700000</v>
      </c>
    </row>
    <row r="288" spans="1:16" s="420" customFormat="1" ht="271.5" thickTop="1" thickBot="1" x14ac:dyDescent="0.25">
      <c r="A288" s="319" t="s">
        <v>1107</v>
      </c>
      <c r="B288" s="319" t="s">
        <v>865</v>
      </c>
      <c r="C288" s="319"/>
      <c r="D288" s="319" t="s">
        <v>866</v>
      </c>
      <c r="E288" s="288">
        <f>E289</f>
        <v>1700000</v>
      </c>
      <c r="F288" s="288">
        <f t="shared" si="339"/>
        <v>1700000</v>
      </c>
      <c r="G288" s="288">
        <f t="shared" si="339"/>
        <v>0</v>
      </c>
      <c r="H288" s="288">
        <f t="shared" si="339"/>
        <v>0</v>
      </c>
      <c r="I288" s="288">
        <f t="shared" si="339"/>
        <v>0</v>
      </c>
      <c r="J288" s="288">
        <f t="shared" si="339"/>
        <v>1000000</v>
      </c>
      <c r="K288" s="288">
        <f t="shared" si="339"/>
        <v>1000000</v>
      </c>
      <c r="L288" s="288">
        <f t="shared" si="339"/>
        <v>0</v>
      </c>
      <c r="M288" s="288">
        <f t="shared" si="339"/>
        <v>0</v>
      </c>
      <c r="N288" s="288">
        <f t="shared" si="339"/>
        <v>0</v>
      </c>
      <c r="O288" s="288">
        <f t="shared" si="339"/>
        <v>1000000</v>
      </c>
      <c r="P288" s="288">
        <f t="shared" si="339"/>
        <v>2700000</v>
      </c>
    </row>
    <row r="289" spans="1:16" s="420" customFormat="1" ht="93" thickTop="1" thickBot="1" x14ac:dyDescent="0.25">
      <c r="A289" s="423" t="s">
        <v>1108</v>
      </c>
      <c r="B289" s="423" t="s">
        <v>391</v>
      </c>
      <c r="C289" s="423" t="s">
        <v>45</v>
      </c>
      <c r="D289" s="423" t="s">
        <v>392</v>
      </c>
      <c r="E289" s="421">
        <f t="shared" ref="E289" si="340">F289</f>
        <v>1700000</v>
      </c>
      <c r="F289" s="233">
        <f>(700000)+1000000</f>
        <v>1700000</v>
      </c>
      <c r="G289" s="233"/>
      <c r="H289" s="233"/>
      <c r="I289" s="233"/>
      <c r="J289" s="421">
        <f>L289+O289</f>
        <v>1000000</v>
      </c>
      <c r="K289" s="233">
        <f>(1000000)</f>
        <v>1000000</v>
      </c>
      <c r="L289" s="233"/>
      <c r="M289" s="233"/>
      <c r="N289" s="233"/>
      <c r="O289" s="422">
        <f>K289</f>
        <v>1000000</v>
      </c>
      <c r="P289" s="421">
        <f>E289+J289</f>
        <v>2700000</v>
      </c>
    </row>
    <row r="290" spans="1:16" ht="226.5" thickTop="1" thickBot="1" x14ac:dyDescent="0.25">
      <c r="A290" s="691" t="s">
        <v>181</v>
      </c>
      <c r="B290" s="691"/>
      <c r="C290" s="691"/>
      <c r="D290" s="692" t="s">
        <v>1066</v>
      </c>
      <c r="E290" s="693">
        <f>E291</f>
        <v>5984385</v>
      </c>
      <c r="F290" s="694">
        <f t="shared" ref="F290:G290" si="341">F291</f>
        <v>5984385</v>
      </c>
      <c r="G290" s="694">
        <f t="shared" si="341"/>
        <v>4608055</v>
      </c>
      <c r="H290" s="694">
        <f>H291</f>
        <v>103700</v>
      </c>
      <c r="I290" s="694">
        <f t="shared" ref="I290" si="342">I291</f>
        <v>0</v>
      </c>
      <c r="J290" s="693">
        <f>J291</f>
        <v>3249138.96</v>
      </c>
      <c r="K290" s="694">
        <f>K291</f>
        <v>64000</v>
      </c>
      <c r="L290" s="694">
        <f>L291</f>
        <v>1485138.96</v>
      </c>
      <c r="M290" s="694">
        <f t="shared" ref="M290" si="343">M291</f>
        <v>0</v>
      </c>
      <c r="N290" s="693">
        <f>N291</f>
        <v>0</v>
      </c>
      <c r="O290" s="693">
        <f>O291</f>
        <v>1764000</v>
      </c>
      <c r="P290" s="694">
        <f t="shared" ref="P290" si="344">P291</f>
        <v>9233523.9600000009</v>
      </c>
    </row>
    <row r="291" spans="1:16" ht="181.5" thickTop="1" thickBot="1" x14ac:dyDescent="0.25">
      <c r="A291" s="695" t="s">
        <v>182</v>
      </c>
      <c r="B291" s="695"/>
      <c r="C291" s="695"/>
      <c r="D291" s="696" t="s">
        <v>1065</v>
      </c>
      <c r="E291" s="697">
        <f>E292+E295</f>
        <v>5984385</v>
      </c>
      <c r="F291" s="697">
        <f t="shared" ref="F291:I291" si="345">F292+F295</f>
        <v>5984385</v>
      </c>
      <c r="G291" s="697">
        <f t="shared" si="345"/>
        <v>4608055</v>
      </c>
      <c r="H291" s="697">
        <f t="shared" si="345"/>
        <v>103700</v>
      </c>
      <c r="I291" s="697">
        <f t="shared" si="345"/>
        <v>0</v>
      </c>
      <c r="J291" s="697">
        <f>L291+O291</f>
        <v>3249138.96</v>
      </c>
      <c r="K291" s="697">
        <f t="shared" ref="K291:O291" si="346">K292+K295</f>
        <v>64000</v>
      </c>
      <c r="L291" s="697">
        <f t="shared" si="346"/>
        <v>1485138.96</v>
      </c>
      <c r="M291" s="697">
        <f t="shared" si="346"/>
        <v>0</v>
      </c>
      <c r="N291" s="697">
        <f t="shared" si="346"/>
        <v>0</v>
      </c>
      <c r="O291" s="697">
        <f t="shared" si="346"/>
        <v>1764000</v>
      </c>
      <c r="P291" s="698">
        <f t="shared" ref="P291:P301" si="347">E291+J291</f>
        <v>9233523.9600000009</v>
      </c>
    </row>
    <row r="292" spans="1:16" s="347" customFormat="1" ht="47.25" thickTop="1" thickBot="1" x14ac:dyDescent="0.25">
      <c r="A292" s="152" t="s">
        <v>999</v>
      </c>
      <c r="B292" s="360" t="s">
        <v>844</v>
      </c>
      <c r="C292" s="360"/>
      <c r="D292" s="360" t="s">
        <v>845</v>
      </c>
      <c r="E292" s="351">
        <f>SUM(E293:E294)</f>
        <v>5984385</v>
      </c>
      <c r="F292" s="351">
        <f t="shared" ref="F292" si="348">SUM(F293:F294)</f>
        <v>5984385</v>
      </c>
      <c r="G292" s="351">
        <f t="shared" ref="G292" si="349">SUM(G293:G294)</f>
        <v>4608055</v>
      </c>
      <c r="H292" s="351">
        <f t="shared" ref="H292" si="350">SUM(H293:H294)</f>
        <v>103700</v>
      </c>
      <c r="I292" s="351">
        <f t="shared" ref="I292" si="351">SUM(I293:I294)</f>
        <v>0</v>
      </c>
      <c r="J292" s="351">
        <f t="shared" ref="J292" si="352">SUM(J293:J294)</f>
        <v>64000</v>
      </c>
      <c r="K292" s="351">
        <f t="shared" ref="K292" si="353">SUM(K293:K294)</f>
        <v>64000</v>
      </c>
      <c r="L292" s="351">
        <f t="shared" ref="L292" si="354">SUM(L293:L294)</f>
        <v>0</v>
      </c>
      <c r="M292" s="351">
        <f t="shared" ref="M292" si="355">SUM(M293:M294)</f>
        <v>0</v>
      </c>
      <c r="N292" s="351">
        <f t="shared" ref="N292" si="356">SUM(N293:N294)</f>
        <v>0</v>
      </c>
      <c r="O292" s="351">
        <f>SUM(O293:O294)</f>
        <v>64000</v>
      </c>
      <c r="P292" s="351">
        <f t="shared" ref="P292" si="357">SUM(P293:P294)</f>
        <v>6048385</v>
      </c>
    </row>
    <row r="293" spans="1:16" s="90" customFormat="1" ht="230.25" thickTop="1" thickBot="1" x14ac:dyDescent="0.25">
      <c r="A293" s="200" t="s">
        <v>452</v>
      </c>
      <c r="B293" s="200" t="s">
        <v>257</v>
      </c>
      <c r="C293" s="200" t="s">
        <v>255</v>
      </c>
      <c r="D293" s="200" t="s">
        <v>256</v>
      </c>
      <c r="E293" s="241">
        <f>F293</f>
        <v>5979385</v>
      </c>
      <c r="F293" s="242">
        <f>(5984385-5000)</f>
        <v>5979385</v>
      </c>
      <c r="G293" s="242">
        <v>4608055</v>
      </c>
      <c r="H293" s="242">
        <f>(70880+8160+21000+3660)</f>
        <v>103700</v>
      </c>
      <c r="I293" s="242"/>
      <c r="J293" s="241">
        <f t="shared" ref="J293:J301" si="358">L293+O293</f>
        <v>64000</v>
      </c>
      <c r="K293" s="242">
        <f>(18000)+46000</f>
        <v>64000</v>
      </c>
      <c r="L293" s="242"/>
      <c r="M293" s="242"/>
      <c r="N293" s="242"/>
      <c r="O293" s="243">
        <f>K293</f>
        <v>64000</v>
      </c>
      <c r="P293" s="241">
        <f t="shared" si="347"/>
        <v>6043385</v>
      </c>
    </row>
    <row r="294" spans="1:16" s="90" customFormat="1" ht="184.5" thickTop="1" thickBot="1" x14ac:dyDescent="0.25">
      <c r="A294" s="245" t="s">
        <v>792</v>
      </c>
      <c r="B294" s="245" t="s">
        <v>390</v>
      </c>
      <c r="C294" s="245" t="s">
        <v>779</v>
      </c>
      <c r="D294" s="245" t="s">
        <v>780</v>
      </c>
      <c r="E294" s="244">
        <f>F294</f>
        <v>5000</v>
      </c>
      <c r="F294" s="148">
        <v>5000</v>
      </c>
      <c r="G294" s="148"/>
      <c r="H294" s="148"/>
      <c r="I294" s="148"/>
      <c r="J294" s="241">
        <f t="shared" si="358"/>
        <v>0</v>
      </c>
      <c r="K294" s="148"/>
      <c r="L294" s="149"/>
      <c r="M294" s="149"/>
      <c r="N294" s="149"/>
      <c r="O294" s="243">
        <f t="shared" ref="O294" si="359">K294</f>
        <v>0</v>
      </c>
      <c r="P294" s="241">
        <f t="shared" ref="P294" si="360">+J294+E294</f>
        <v>5000</v>
      </c>
    </row>
    <row r="295" spans="1:16" s="90" customFormat="1" ht="47.25" thickTop="1" thickBot="1" x14ac:dyDescent="0.25">
      <c r="A295" s="152" t="s">
        <v>1000</v>
      </c>
      <c r="B295" s="360" t="s">
        <v>856</v>
      </c>
      <c r="C295" s="360"/>
      <c r="D295" s="360" t="s">
        <v>857</v>
      </c>
      <c r="E295" s="244">
        <f>E296</f>
        <v>0</v>
      </c>
      <c r="F295" s="244">
        <f t="shared" ref="F295:P295" si="361">F296</f>
        <v>0</v>
      </c>
      <c r="G295" s="244">
        <f t="shared" si="361"/>
        <v>0</v>
      </c>
      <c r="H295" s="244">
        <f t="shared" si="361"/>
        <v>0</v>
      </c>
      <c r="I295" s="244">
        <f t="shared" si="361"/>
        <v>0</v>
      </c>
      <c r="J295" s="244">
        <f t="shared" si="361"/>
        <v>3185138.96</v>
      </c>
      <c r="K295" s="244">
        <f t="shared" si="361"/>
        <v>0</v>
      </c>
      <c r="L295" s="244">
        <f t="shared" si="361"/>
        <v>1485138.96</v>
      </c>
      <c r="M295" s="244">
        <f t="shared" si="361"/>
        <v>0</v>
      </c>
      <c r="N295" s="244">
        <f t="shared" si="361"/>
        <v>0</v>
      </c>
      <c r="O295" s="244">
        <f t="shared" si="361"/>
        <v>1700000</v>
      </c>
      <c r="P295" s="244">
        <f t="shared" si="361"/>
        <v>3185138.96</v>
      </c>
    </row>
    <row r="296" spans="1:16" s="90" customFormat="1" ht="91.5" thickTop="1" thickBot="1" x14ac:dyDescent="0.25">
      <c r="A296" s="357" t="s">
        <v>1001</v>
      </c>
      <c r="B296" s="319" t="s">
        <v>1002</v>
      </c>
      <c r="C296" s="319"/>
      <c r="D296" s="319" t="s">
        <v>1003</v>
      </c>
      <c r="E296" s="362">
        <f>SUM(E297:E301)-E297</f>
        <v>0</v>
      </c>
      <c r="F296" s="362">
        <f t="shared" ref="F296:P296" si="362">SUM(F297:F301)-F297</f>
        <v>0</v>
      </c>
      <c r="G296" s="362">
        <f t="shared" si="362"/>
        <v>0</v>
      </c>
      <c r="H296" s="362">
        <f t="shared" si="362"/>
        <v>0</v>
      </c>
      <c r="I296" s="362">
        <f t="shared" si="362"/>
        <v>0</v>
      </c>
      <c r="J296" s="362">
        <f t="shared" si="362"/>
        <v>3185138.96</v>
      </c>
      <c r="K296" s="362">
        <f t="shared" si="362"/>
        <v>0</v>
      </c>
      <c r="L296" s="362">
        <f t="shared" si="362"/>
        <v>1485138.96</v>
      </c>
      <c r="M296" s="362">
        <f t="shared" si="362"/>
        <v>0</v>
      </c>
      <c r="N296" s="362">
        <f t="shared" si="362"/>
        <v>0</v>
      </c>
      <c r="O296" s="362">
        <f t="shared" si="362"/>
        <v>1700000</v>
      </c>
      <c r="P296" s="362">
        <f t="shared" si="362"/>
        <v>3185138.96</v>
      </c>
    </row>
    <row r="297" spans="1:16" s="90" customFormat="1" ht="138.75" thickTop="1" thickBot="1" x14ac:dyDescent="0.25">
      <c r="A297" s="287" t="s">
        <v>1004</v>
      </c>
      <c r="B297" s="287" t="s">
        <v>1005</v>
      </c>
      <c r="C297" s="287"/>
      <c r="D297" s="287" t="s">
        <v>1006</v>
      </c>
      <c r="E297" s="363">
        <f>SUM(E298:E299)</f>
        <v>0</v>
      </c>
      <c r="F297" s="363">
        <f t="shared" ref="F297:P297" si="363">SUM(F298:F299)</f>
        <v>0</v>
      </c>
      <c r="G297" s="363">
        <f t="shared" si="363"/>
        <v>0</v>
      </c>
      <c r="H297" s="363">
        <f t="shared" si="363"/>
        <v>0</v>
      </c>
      <c r="I297" s="363">
        <f t="shared" si="363"/>
        <v>0</v>
      </c>
      <c r="J297" s="363">
        <f t="shared" si="363"/>
        <v>765138.96</v>
      </c>
      <c r="K297" s="363">
        <f t="shared" si="363"/>
        <v>0</v>
      </c>
      <c r="L297" s="363">
        <f t="shared" si="363"/>
        <v>765138.96</v>
      </c>
      <c r="M297" s="363">
        <f t="shared" si="363"/>
        <v>0</v>
      </c>
      <c r="N297" s="363">
        <f t="shared" si="363"/>
        <v>0</v>
      </c>
      <c r="O297" s="363">
        <f t="shared" si="363"/>
        <v>0</v>
      </c>
      <c r="P297" s="363">
        <f t="shared" si="363"/>
        <v>765138.96</v>
      </c>
    </row>
    <row r="298" spans="1:16" s="90" customFormat="1" ht="138.75" thickTop="1" thickBot="1" x14ac:dyDescent="0.25">
      <c r="A298" s="607" t="s">
        <v>331</v>
      </c>
      <c r="B298" s="607" t="s">
        <v>332</v>
      </c>
      <c r="C298" s="607" t="s">
        <v>54</v>
      </c>
      <c r="D298" s="607" t="s">
        <v>55</v>
      </c>
      <c r="E298" s="411">
        <f t="shared" ref="E298:E300" si="364">F298</f>
        <v>0</v>
      </c>
      <c r="F298" s="233"/>
      <c r="G298" s="233"/>
      <c r="H298" s="233"/>
      <c r="I298" s="233"/>
      <c r="J298" s="411">
        <f t="shared" si="358"/>
        <v>403900</v>
      </c>
      <c r="K298" s="233"/>
      <c r="L298" s="233">
        <f>(248900)+155000</f>
        <v>403900</v>
      </c>
      <c r="M298" s="233"/>
      <c r="N298" s="233"/>
      <c r="O298" s="412">
        <f t="shared" ref="O298:O299" si="365">K298</f>
        <v>0</v>
      </c>
      <c r="P298" s="411">
        <f t="shared" si="347"/>
        <v>403900</v>
      </c>
    </row>
    <row r="299" spans="1:16" s="90" customFormat="1" ht="48" thickTop="1" thickBot="1" x14ac:dyDescent="0.25">
      <c r="A299" s="413" t="s">
        <v>510</v>
      </c>
      <c r="B299" s="413" t="s">
        <v>511</v>
      </c>
      <c r="C299" s="413" t="s">
        <v>509</v>
      </c>
      <c r="D299" s="413" t="s">
        <v>512</v>
      </c>
      <c r="E299" s="411">
        <f t="shared" si="364"/>
        <v>0</v>
      </c>
      <c r="F299" s="233"/>
      <c r="G299" s="233"/>
      <c r="H299" s="233"/>
      <c r="I299" s="233"/>
      <c r="J299" s="411">
        <f t="shared" si="358"/>
        <v>361238.96</v>
      </c>
      <c r="K299" s="233"/>
      <c r="L299" s="233">
        <f>(70000)+291238.96</f>
        <v>361238.96</v>
      </c>
      <c r="M299" s="233"/>
      <c r="N299" s="233"/>
      <c r="O299" s="412">
        <f t="shared" si="365"/>
        <v>0</v>
      </c>
      <c r="P299" s="411">
        <f t="shared" si="347"/>
        <v>361238.96</v>
      </c>
    </row>
    <row r="300" spans="1:16" s="90" customFormat="1" ht="93" thickTop="1" thickBot="1" x14ac:dyDescent="0.25">
      <c r="A300" s="413" t="s">
        <v>571</v>
      </c>
      <c r="B300" s="413" t="s">
        <v>569</v>
      </c>
      <c r="C300" s="413" t="s">
        <v>572</v>
      </c>
      <c r="D300" s="413" t="s">
        <v>570</v>
      </c>
      <c r="E300" s="411">
        <f t="shared" si="364"/>
        <v>0</v>
      </c>
      <c r="F300" s="233"/>
      <c r="G300" s="233"/>
      <c r="H300" s="233"/>
      <c r="I300" s="233"/>
      <c r="J300" s="411">
        <f t="shared" si="358"/>
        <v>175000</v>
      </c>
      <c r="K300" s="233"/>
      <c r="L300" s="233">
        <f>(125000)+50000</f>
        <v>175000</v>
      </c>
      <c r="M300" s="233"/>
      <c r="N300" s="233"/>
      <c r="O300" s="412">
        <f>K300</f>
        <v>0</v>
      </c>
      <c r="P300" s="411">
        <f t="shared" si="347"/>
        <v>175000</v>
      </c>
    </row>
    <row r="301" spans="1:16" s="90" customFormat="1" ht="93" thickTop="1" thickBot="1" x14ac:dyDescent="0.25">
      <c r="A301" s="413" t="s">
        <v>333</v>
      </c>
      <c r="B301" s="413" t="s">
        <v>334</v>
      </c>
      <c r="C301" s="413" t="s">
        <v>56</v>
      </c>
      <c r="D301" s="413" t="s">
        <v>513</v>
      </c>
      <c r="E301" s="411">
        <v>0</v>
      </c>
      <c r="F301" s="233"/>
      <c r="G301" s="233"/>
      <c r="H301" s="233"/>
      <c r="I301" s="233"/>
      <c r="J301" s="411">
        <f t="shared" si="358"/>
        <v>2245000</v>
      </c>
      <c r="K301" s="411"/>
      <c r="L301" s="233">
        <f>(187000)+358000</f>
        <v>545000</v>
      </c>
      <c r="M301" s="233"/>
      <c r="N301" s="233"/>
      <c r="O301" s="412">
        <f>K301+1700000</f>
        <v>1700000</v>
      </c>
      <c r="P301" s="411">
        <f t="shared" si="347"/>
        <v>2245000</v>
      </c>
    </row>
    <row r="302" spans="1:16" ht="136.5" thickTop="1" thickBot="1" x14ac:dyDescent="0.25">
      <c r="A302" s="691" t="s">
        <v>179</v>
      </c>
      <c r="B302" s="691"/>
      <c r="C302" s="691"/>
      <c r="D302" s="692" t="s">
        <v>1078</v>
      </c>
      <c r="E302" s="693">
        <f>E303</f>
        <v>7074725</v>
      </c>
      <c r="F302" s="694">
        <f t="shared" ref="F302:G302" si="366">F303</f>
        <v>7074725</v>
      </c>
      <c r="G302" s="694">
        <f t="shared" si="366"/>
        <v>5311200</v>
      </c>
      <c r="H302" s="694">
        <f>H303</f>
        <v>72700</v>
      </c>
      <c r="I302" s="694">
        <f t="shared" ref="I302" si="367">I303</f>
        <v>0</v>
      </c>
      <c r="J302" s="693">
        <f>J303</f>
        <v>350000</v>
      </c>
      <c r="K302" s="694">
        <f>K303</f>
        <v>350000</v>
      </c>
      <c r="L302" s="694">
        <f>L303</f>
        <v>0</v>
      </c>
      <c r="M302" s="694">
        <f t="shared" ref="M302" si="368">M303</f>
        <v>0</v>
      </c>
      <c r="N302" s="693">
        <f>N303</f>
        <v>0</v>
      </c>
      <c r="O302" s="693">
        <f>O303</f>
        <v>350000</v>
      </c>
      <c r="P302" s="694">
        <f t="shared" ref="P302" si="369">P303</f>
        <v>7424725</v>
      </c>
    </row>
    <row r="303" spans="1:16" ht="181.5" thickTop="1" thickBot="1" x14ac:dyDescent="0.25">
      <c r="A303" s="695" t="s">
        <v>180</v>
      </c>
      <c r="B303" s="695"/>
      <c r="C303" s="695"/>
      <c r="D303" s="696" t="s">
        <v>1077</v>
      </c>
      <c r="E303" s="697">
        <f>E304+E306</f>
        <v>7074725</v>
      </c>
      <c r="F303" s="697">
        <f t="shared" ref="F303:I303" si="370">F304+F306</f>
        <v>7074725</v>
      </c>
      <c r="G303" s="697">
        <f t="shared" si="370"/>
        <v>5311200</v>
      </c>
      <c r="H303" s="697">
        <f t="shared" si="370"/>
        <v>72700</v>
      </c>
      <c r="I303" s="697">
        <f t="shared" si="370"/>
        <v>0</v>
      </c>
      <c r="J303" s="697">
        <f>L303+O303</f>
        <v>350000</v>
      </c>
      <c r="K303" s="697">
        <f t="shared" ref="K303:O303" si="371">K304+K306</f>
        <v>350000</v>
      </c>
      <c r="L303" s="697">
        <f t="shared" si="371"/>
        <v>0</v>
      </c>
      <c r="M303" s="697">
        <f t="shared" si="371"/>
        <v>0</v>
      </c>
      <c r="N303" s="697">
        <f t="shared" si="371"/>
        <v>0</v>
      </c>
      <c r="O303" s="697">
        <f t="shared" si="371"/>
        <v>350000</v>
      </c>
      <c r="P303" s="698">
        <f>E303+J303</f>
        <v>7424725</v>
      </c>
    </row>
    <row r="304" spans="1:16" s="347" customFormat="1" ht="47.25" thickTop="1" thickBot="1" x14ac:dyDescent="0.25">
      <c r="A304" s="152" t="s">
        <v>1007</v>
      </c>
      <c r="B304" s="360" t="s">
        <v>844</v>
      </c>
      <c r="C304" s="360"/>
      <c r="D304" s="360" t="s">
        <v>845</v>
      </c>
      <c r="E304" s="351">
        <f>SUM(E305)</f>
        <v>7074725</v>
      </c>
      <c r="F304" s="351">
        <f t="shared" ref="F304:P304" si="372">SUM(F305)</f>
        <v>7074725</v>
      </c>
      <c r="G304" s="351">
        <f t="shared" si="372"/>
        <v>5311200</v>
      </c>
      <c r="H304" s="351">
        <f t="shared" si="372"/>
        <v>72700</v>
      </c>
      <c r="I304" s="351">
        <f t="shared" si="372"/>
        <v>0</v>
      </c>
      <c r="J304" s="351">
        <f t="shared" si="372"/>
        <v>100000</v>
      </c>
      <c r="K304" s="351">
        <f t="shared" si="372"/>
        <v>100000</v>
      </c>
      <c r="L304" s="351">
        <f t="shared" si="372"/>
        <v>0</v>
      </c>
      <c r="M304" s="351">
        <f t="shared" si="372"/>
        <v>0</v>
      </c>
      <c r="N304" s="351">
        <f t="shared" si="372"/>
        <v>0</v>
      </c>
      <c r="O304" s="351">
        <f t="shared" si="372"/>
        <v>100000</v>
      </c>
      <c r="P304" s="351">
        <f t="shared" si="372"/>
        <v>7174725</v>
      </c>
    </row>
    <row r="305" spans="1:16" ht="230.25" thickTop="1" thickBot="1" x14ac:dyDescent="0.25">
      <c r="A305" s="200" t="s">
        <v>448</v>
      </c>
      <c r="B305" s="200" t="s">
        <v>257</v>
      </c>
      <c r="C305" s="200" t="s">
        <v>255</v>
      </c>
      <c r="D305" s="200" t="s">
        <v>256</v>
      </c>
      <c r="E305" s="241">
        <f>F305</f>
        <v>7074725</v>
      </c>
      <c r="F305" s="242">
        <f>(5014525)+1688700+371500</f>
        <v>7074725</v>
      </c>
      <c r="G305" s="242">
        <f>(3622500)+1688700</f>
        <v>5311200</v>
      </c>
      <c r="H305" s="242">
        <f>(53320+2000+17380)</f>
        <v>72700</v>
      </c>
      <c r="I305" s="242"/>
      <c r="J305" s="241">
        <f>L305+O305</f>
        <v>100000</v>
      </c>
      <c r="K305" s="242">
        <v>100000</v>
      </c>
      <c r="L305" s="242"/>
      <c r="M305" s="242"/>
      <c r="N305" s="242"/>
      <c r="O305" s="243">
        <f>K305</f>
        <v>100000</v>
      </c>
      <c r="P305" s="241">
        <f>E305+J305</f>
        <v>7174725</v>
      </c>
    </row>
    <row r="306" spans="1:16" s="347" customFormat="1" ht="47.25" thickTop="1" thickBot="1" x14ac:dyDescent="0.25">
      <c r="A306" s="152" t="s">
        <v>1008</v>
      </c>
      <c r="B306" s="360" t="s">
        <v>912</v>
      </c>
      <c r="C306" s="350"/>
      <c r="D306" s="360" t="s">
        <v>959</v>
      </c>
      <c r="E306" s="349">
        <f t="shared" ref="E306:P306" si="373">E307+E309</f>
        <v>0</v>
      </c>
      <c r="F306" s="349">
        <f t="shared" si="373"/>
        <v>0</v>
      </c>
      <c r="G306" s="349">
        <f t="shared" si="373"/>
        <v>0</v>
      </c>
      <c r="H306" s="349">
        <f t="shared" si="373"/>
        <v>0</v>
      </c>
      <c r="I306" s="349">
        <f t="shared" si="373"/>
        <v>0</v>
      </c>
      <c r="J306" s="349">
        <f t="shared" si="373"/>
        <v>250000</v>
      </c>
      <c r="K306" s="349">
        <f t="shared" si="373"/>
        <v>250000</v>
      </c>
      <c r="L306" s="349">
        <f t="shared" si="373"/>
        <v>0</v>
      </c>
      <c r="M306" s="349">
        <f t="shared" si="373"/>
        <v>0</v>
      </c>
      <c r="N306" s="349">
        <f t="shared" si="373"/>
        <v>0</v>
      </c>
      <c r="O306" s="349">
        <f t="shared" si="373"/>
        <v>250000</v>
      </c>
      <c r="P306" s="349">
        <f t="shared" si="373"/>
        <v>250000</v>
      </c>
    </row>
    <row r="307" spans="1:16" s="347" customFormat="1" ht="91.5" thickTop="1" thickBot="1" x14ac:dyDescent="0.25">
      <c r="A307" s="357" t="s">
        <v>1009</v>
      </c>
      <c r="B307" s="357" t="s">
        <v>1010</v>
      </c>
      <c r="C307" s="357"/>
      <c r="D307" s="357" t="s">
        <v>1011</v>
      </c>
      <c r="E307" s="355">
        <f>SUM(E308)</f>
        <v>0</v>
      </c>
      <c r="F307" s="355">
        <f t="shared" ref="F307:P307" si="374">SUM(F308)</f>
        <v>0</v>
      </c>
      <c r="G307" s="355">
        <f t="shared" si="374"/>
        <v>0</v>
      </c>
      <c r="H307" s="355">
        <f t="shared" si="374"/>
        <v>0</v>
      </c>
      <c r="I307" s="355">
        <f t="shared" si="374"/>
        <v>0</v>
      </c>
      <c r="J307" s="355">
        <f t="shared" si="374"/>
        <v>200000</v>
      </c>
      <c r="K307" s="355">
        <f t="shared" si="374"/>
        <v>200000</v>
      </c>
      <c r="L307" s="355">
        <f t="shared" si="374"/>
        <v>0</v>
      </c>
      <c r="M307" s="355">
        <f t="shared" si="374"/>
        <v>0</v>
      </c>
      <c r="N307" s="355">
        <f t="shared" si="374"/>
        <v>0</v>
      </c>
      <c r="O307" s="355">
        <f t="shared" si="374"/>
        <v>200000</v>
      </c>
      <c r="P307" s="355">
        <f t="shared" si="374"/>
        <v>200000</v>
      </c>
    </row>
    <row r="308" spans="1:16" ht="93" thickTop="1" thickBot="1" x14ac:dyDescent="0.25">
      <c r="A308" s="200" t="s">
        <v>328</v>
      </c>
      <c r="B308" s="200" t="s">
        <v>329</v>
      </c>
      <c r="C308" s="200" t="s">
        <v>330</v>
      </c>
      <c r="D308" s="200" t="s">
        <v>499</v>
      </c>
      <c r="E308" s="241">
        <f>F308</f>
        <v>0</v>
      </c>
      <c r="F308" s="242"/>
      <c r="G308" s="242"/>
      <c r="H308" s="242"/>
      <c r="I308" s="242"/>
      <c r="J308" s="241">
        <f>L308+O308</f>
        <v>200000</v>
      </c>
      <c r="K308" s="242">
        <v>200000</v>
      </c>
      <c r="L308" s="242"/>
      <c r="M308" s="242"/>
      <c r="N308" s="242"/>
      <c r="O308" s="243">
        <v>200000</v>
      </c>
      <c r="P308" s="241">
        <f>E308+J308</f>
        <v>200000</v>
      </c>
    </row>
    <row r="309" spans="1:16" s="347" customFormat="1" ht="136.5" thickTop="1" thickBot="1" x14ac:dyDescent="0.25">
      <c r="A309" s="357" t="s">
        <v>1012</v>
      </c>
      <c r="B309" s="357" t="s">
        <v>851</v>
      </c>
      <c r="C309" s="348"/>
      <c r="D309" s="357" t="s">
        <v>1013</v>
      </c>
      <c r="E309" s="355">
        <f>SUM(E310)</f>
        <v>0</v>
      </c>
      <c r="F309" s="355">
        <f t="shared" ref="F309:P309" si="375">SUM(F310)</f>
        <v>0</v>
      </c>
      <c r="G309" s="355">
        <f t="shared" si="375"/>
        <v>0</v>
      </c>
      <c r="H309" s="355">
        <f t="shared" si="375"/>
        <v>0</v>
      </c>
      <c r="I309" s="355">
        <f t="shared" si="375"/>
        <v>0</v>
      </c>
      <c r="J309" s="355">
        <f t="shared" si="375"/>
        <v>50000</v>
      </c>
      <c r="K309" s="355">
        <f t="shared" si="375"/>
        <v>50000</v>
      </c>
      <c r="L309" s="355">
        <f t="shared" si="375"/>
        <v>0</v>
      </c>
      <c r="M309" s="355">
        <f t="shared" si="375"/>
        <v>0</v>
      </c>
      <c r="N309" s="355">
        <f t="shared" si="375"/>
        <v>0</v>
      </c>
      <c r="O309" s="355">
        <f t="shared" si="375"/>
        <v>50000</v>
      </c>
      <c r="P309" s="355">
        <f t="shared" si="375"/>
        <v>50000</v>
      </c>
    </row>
    <row r="310" spans="1:16" ht="138.75" thickTop="1" thickBot="1" x14ac:dyDescent="0.25">
      <c r="A310" s="200" t="s">
        <v>396</v>
      </c>
      <c r="B310" s="200" t="s">
        <v>397</v>
      </c>
      <c r="C310" s="200" t="s">
        <v>187</v>
      </c>
      <c r="D310" s="200" t="s">
        <v>398</v>
      </c>
      <c r="E310" s="241">
        <f>F310</f>
        <v>0</v>
      </c>
      <c r="F310" s="242"/>
      <c r="G310" s="242"/>
      <c r="H310" s="242"/>
      <c r="I310" s="242"/>
      <c r="J310" s="241">
        <f>L310+O310</f>
        <v>50000</v>
      </c>
      <c r="K310" s="242">
        <v>50000</v>
      </c>
      <c r="L310" s="242"/>
      <c r="M310" s="242"/>
      <c r="N310" s="242"/>
      <c r="O310" s="243">
        <f>K310</f>
        <v>50000</v>
      </c>
      <c r="P310" s="241">
        <f>E310+J310</f>
        <v>50000</v>
      </c>
    </row>
    <row r="311" spans="1:16" ht="136.5" thickTop="1" thickBot="1" x14ac:dyDescent="0.25">
      <c r="A311" s="691" t="s">
        <v>185</v>
      </c>
      <c r="B311" s="691"/>
      <c r="C311" s="691"/>
      <c r="D311" s="692" t="s">
        <v>27</v>
      </c>
      <c r="E311" s="693">
        <f>E312</f>
        <v>86738081</v>
      </c>
      <c r="F311" s="694">
        <f t="shared" ref="F311:G311" si="376">F312</f>
        <v>86738081</v>
      </c>
      <c r="G311" s="694">
        <f t="shared" si="376"/>
        <v>6840000</v>
      </c>
      <c r="H311" s="694">
        <f>H312</f>
        <v>131350</v>
      </c>
      <c r="I311" s="694">
        <f t="shared" ref="I311" si="377">I312</f>
        <v>0</v>
      </c>
      <c r="J311" s="693">
        <f>J312</f>
        <v>40000</v>
      </c>
      <c r="K311" s="694">
        <f>K312</f>
        <v>40000</v>
      </c>
      <c r="L311" s="694">
        <f>L312</f>
        <v>0</v>
      </c>
      <c r="M311" s="694">
        <f t="shared" ref="M311" si="378">M312</f>
        <v>0</v>
      </c>
      <c r="N311" s="693">
        <f>N312</f>
        <v>0</v>
      </c>
      <c r="O311" s="693">
        <f>O312</f>
        <v>40000</v>
      </c>
      <c r="P311" s="694">
        <f t="shared" ref="P311" si="379">P312</f>
        <v>86778081</v>
      </c>
    </row>
    <row r="312" spans="1:16" ht="136.5" thickTop="1" thickBot="1" x14ac:dyDescent="0.25">
      <c r="A312" s="695" t="s">
        <v>186</v>
      </c>
      <c r="B312" s="695"/>
      <c r="C312" s="695"/>
      <c r="D312" s="696" t="s">
        <v>42</v>
      </c>
      <c r="E312" s="697">
        <f>E313+E316+E320</f>
        <v>86738081</v>
      </c>
      <c r="F312" s="697">
        <f t="shared" ref="F312:I312" si="380">F313+F316+F320</f>
        <v>86738081</v>
      </c>
      <c r="G312" s="697">
        <f t="shared" si="380"/>
        <v>6840000</v>
      </c>
      <c r="H312" s="697">
        <f t="shared" si="380"/>
        <v>131350</v>
      </c>
      <c r="I312" s="697">
        <f t="shared" si="380"/>
        <v>0</v>
      </c>
      <c r="J312" s="697">
        <f>L312+O312</f>
        <v>40000</v>
      </c>
      <c r="K312" s="697">
        <f t="shared" ref="K312:O312" si="381">K313+K316+K320</f>
        <v>40000</v>
      </c>
      <c r="L312" s="697">
        <f t="shared" si="381"/>
        <v>0</v>
      </c>
      <c r="M312" s="697">
        <f t="shared" si="381"/>
        <v>0</v>
      </c>
      <c r="N312" s="697">
        <f t="shared" si="381"/>
        <v>0</v>
      </c>
      <c r="O312" s="697">
        <f t="shared" si="381"/>
        <v>40000</v>
      </c>
      <c r="P312" s="698">
        <f>E312+J312</f>
        <v>86778081</v>
      </c>
    </row>
    <row r="313" spans="1:16" s="347" customFormat="1" ht="47.25" thickTop="1" thickBot="1" x14ac:dyDescent="0.25">
      <c r="A313" s="152" t="s">
        <v>1014</v>
      </c>
      <c r="B313" s="360" t="s">
        <v>844</v>
      </c>
      <c r="C313" s="360"/>
      <c r="D313" s="360" t="s">
        <v>845</v>
      </c>
      <c r="E313" s="351">
        <f>SUM(E314:E315)</f>
        <v>8612205</v>
      </c>
      <c r="F313" s="351">
        <f t="shared" ref="F313:P313" si="382">SUM(F314:F315)</f>
        <v>8612205</v>
      </c>
      <c r="G313" s="351">
        <f t="shared" si="382"/>
        <v>6840000</v>
      </c>
      <c r="H313" s="351">
        <f t="shared" si="382"/>
        <v>131350</v>
      </c>
      <c r="I313" s="351">
        <f t="shared" si="382"/>
        <v>0</v>
      </c>
      <c r="J313" s="351">
        <f t="shared" si="382"/>
        <v>40000</v>
      </c>
      <c r="K313" s="351">
        <f t="shared" si="382"/>
        <v>40000</v>
      </c>
      <c r="L313" s="351">
        <f t="shared" si="382"/>
        <v>0</v>
      </c>
      <c r="M313" s="351">
        <f t="shared" si="382"/>
        <v>0</v>
      </c>
      <c r="N313" s="351">
        <f t="shared" si="382"/>
        <v>0</v>
      </c>
      <c r="O313" s="351">
        <f t="shared" si="382"/>
        <v>40000</v>
      </c>
      <c r="P313" s="351">
        <f t="shared" si="382"/>
        <v>8652205</v>
      </c>
    </row>
    <row r="314" spans="1:16" ht="230.25" thickTop="1" thickBot="1" x14ac:dyDescent="0.25">
      <c r="A314" s="245" t="s">
        <v>450</v>
      </c>
      <c r="B314" s="245" t="s">
        <v>257</v>
      </c>
      <c r="C314" s="245" t="s">
        <v>255</v>
      </c>
      <c r="D314" s="245" t="s">
        <v>256</v>
      </c>
      <c r="E314" s="247">
        <f>F314</f>
        <v>8609205</v>
      </c>
      <c r="F314" s="233">
        <f>((7700000+1540000+152690+146035+7000+71000+4400+51000+4950+1075-3000)-205945)-860000</f>
        <v>8609205</v>
      </c>
      <c r="G314" s="233">
        <f>(7700000)-860000</f>
        <v>6840000</v>
      </c>
      <c r="H314" s="233">
        <f>(71000+4400+51000+4950)</f>
        <v>131350</v>
      </c>
      <c r="I314" s="233"/>
      <c r="J314" s="247">
        <f>L314+O314</f>
        <v>40000</v>
      </c>
      <c r="K314" s="233">
        <v>40000</v>
      </c>
      <c r="L314" s="233"/>
      <c r="M314" s="233"/>
      <c r="N314" s="233"/>
      <c r="O314" s="249">
        <f>K314</f>
        <v>40000</v>
      </c>
      <c r="P314" s="247">
        <f>E314+J314</f>
        <v>8649205</v>
      </c>
    </row>
    <row r="315" spans="1:16" s="239" customFormat="1" ht="184.5" thickTop="1" thickBot="1" x14ac:dyDescent="0.25">
      <c r="A315" s="245" t="s">
        <v>793</v>
      </c>
      <c r="B315" s="245" t="s">
        <v>390</v>
      </c>
      <c r="C315" s="245" t="s">
        <v>779</v>
      </c>
      <c r="D315" s="245" t="s">
        <v>780</v>
      </c>
      <c r="E315" s="244">
        <f>F315</f>
        <v>3000</v>
      </c>
      <c r="F315" s="148">
        <v>3000</v>
      </c>
      <c r="G315" s="148"/>
      <c r="H315" s="148"/>
      <c r="I315" s="148"/>
      <c r="J315" s="241">
        <f t="shared" ref="J315" si="383">L315+O315</f>
        <v>0</v>
      </c>
      <c r="K315" s="148"/>
      <c r="L315" s="149"/>
      <c r="M315" s="149"/>
      <c r="N315" s="149"/>
      <c r="O315" s="243">
        <f t="shared" ref="O315" si="384">K315</f>
        <v>0</v>
      </c>
      <c r="P315" s="241">
        <f t="shared" ref="P315" si="385">+J315+E315</f>
        <v>3000</v>
      </c>
    </row>
    <row r="316" spans="1:16" s="347" customFormat="1" ht="47.25" thickTop="1" thickBot="1" x14ac:dyDescent="0.25">
      <c r="A316" s="152" t="s">
        <v>1015</v>
      </c>
      <c r="B316" s="360" t="s">
        <v>856</v>
      </c>
      <c r="C316" s="360"/>
      <c r="D316" s="360" t="s">
        <v>857</v>
      </c>
      <c r="E316" s="244">
        <f>E317+E318</f>
        <v>4821976</v>
      </c>
      <c r="F316" s="244">
        <f t="shared" ref="F316:P316" si="386">F317+F318</f>
        <v>4821976</v>
      </c>
      <c r="G316" s="244">
        <f t="shared" si="386"/>
        <v>0</v>
      </c>
      <c r="H316" s="244">
        <f t="shared" si="386"/>
        <v>0</v>
      </c>
      <c r="I316" s="244">
        <f t="shared" si="386"/>
        <v>0</v>
      </c>
      <c r="J316" s="244">
        <f t="shared" si="386"/>
        <v>0</v>
      </c>
      <c r="K316" s="244">
        <f t="shared" si="386"/>
        <v>0</v>
      </c>
      <c r="L316" s="244">
        <f t="shared" si="386"/>
        <v>0</v>
      </c>
      <c r="M316" s="244">
        <f t="shared" si="386"/>
        <v>0</v>
      </c>
      <c r="N316" s="244">
        <f t="shared" si="386"/>
        <v>0</v>
      </c>
      <c r="O316" s="244">
        <f t="shared" si="386"/>
        <v>0</v>
      </c>
      <c r="P316" s="244">
        <f t="shared" si="386"/>
        <v>4821976</v>
      </c>
    </row>
    <row r="317" spans="1:16" ht="91.5" thickTop="1" thickBot="1" x14ac:dyDescent="0.25">
      <c r="A317" s="371">
        <v>3718600</v>
      </c>
      <c r="B317" s="371">
        <v>8600</v>
      </c>
      <c r="C317" s="319" t="s">
        <v>390</v>
      </c>
      <c r="D317" s="371" t="s">
        <v>490</v>
      </c>
      <c r="E317" s="288">
        <f>F317</f>
        <v>3821976</v>
      </c>
      <c r="F317" s="288">
        <f>((1033835)+205945)+2582196</f>
        <v>3821976</v>
      </c>
      <c r="G317" s="288"/>
      <c r="H317" s="288"/>
      <c r="I317" s="288"/>
      <c r="J317" s="288">
        <f>L317+O317</f>
        <v>0</v>
      </c>
      <c r="K317" s="288"/>
      <c r="L317" s="288"/>
      <c r="M317" s="288"/>
      <c r="N317" s="288"/>
      <c r="O317" s="372">
        <f>K317</f>
        <v>0</v>
      </c>
      <c r="P317" s="288">
        <f>E317+J317</f>
        <v>3821976</v>
      </c>
    </row>
    <row r="318" spans="1:16" s="347" customFormat="1" ht="47.25" thickTop="1" thickBot="1" x14ac:dyDescent="0.25">
      <c r="A318" s="371">
        <v>3718700</v>
      </c>
      <c r="B318" s="371">
        <v>8700</v>
      </c>
      <c r="C318" s="319"/>
      <c r="D318" s="371" t="s">
        <v>1016</v>
      </c>
      <c r="E318" s="288">
        <f>E319</f>
        <v>1000000</v>
      </c>
      <c r="F318" s="288">
        <f>F319</f>
        <v>1000000</v>
      </c>
      <c r="G318" s="288">
        <f t="shared" ref="G318:P318" si="387">G319</f>
        <v>0</v>
      </c>
      <c r="H318" s="288">
        <f t="shared" si="387"/>
        <v>0</v>
      </c>
      <c r="I318" s="288">
        <f t="shared" si="387"/>
        <v>0</v>
      </c>
      <c r="J318" s="288">
        <f t="shared" si="387"/>
        <v>0</v>
      </c>
      <c r="K318" s="288">
        <f t="shared" si="387"/>
        <v>0</v>
      </c>
      <c r="L318" s="288">
        <f t="shared" si="387"/>
        <v>0</v>
      </c>
      <c r="M318" s="288">
        <f t="shared" si="387"/>
        <v>0</v>
      </c>
      <c r="N318" s="288">
        <f t="shared" si="387"/>
        <v>0</v>
      </c>
      <c r="O318" s="288">
        <f t="shared" si="387"/>
        <v>0</v>
      </c>
      <c r="P318" s="288">
        <f t="shared" si="387"/>
        <v>1000000</v>
      </c>
    </row>
    <row r="319" spans="1:16" ht="93" thickTop="1" thickBot="1" x14ac:dyDescent="0.25">
      <c r="A319" s="261">
        <v>3718710</v>
      </c>
      <c r="B319" s="261">
        <v>8710</v>
      </c>
      <c r="C319" s="257" t="s">
        <v>44</v>
      </c>
      <c r="D319" s="259" t="s">
        <v>799</v>
      </c>
      <c r="E319" s="258">
        <f>F319</f>
        <v>1000000</v>
      </c>
      <c r="F319" s="233">
        <f>((3000000)-100000)-900000-1000000</f>
        <v>1000000</v>
      </c>
      <c r="G319" s="233"/>
      <c r="H319" s="233"/>
      <c r="I319" s="233"/>
      <c r="J319" s="258">
        <f>L319+O319</f>
        <v>0</v>
      </c>
      <c r="K319" s="233"/>
      <c r="L319" s="233"/>
      <c r="M319" s="233"/>
      <c r="N319" s="233"/>
      <c r="O319" s="256">
        <f>K319</f>
        <v>0</v>
      </c>
      <c r="P319" s="258">
        <f>E319+J319</f>
        <v>1000000</v>
      </c>
    </row>
    <row r="320" spans="1:16" s="347" customFormat="1" ht="47.25" thickTop="1" thickBot="1" x14ac:dyDescent="0.25">
      <c r="A320" s="360" t="s">
        <v>1017</v>
      </c>
      <c r="B320" s="360" t="s">
        <v>862</v>
      </c>
      <c r="C320" s="360"/>
      <c r="D320" s="360" t="s">
        <v>863</v>
      </c>
      <c r="E320" s="351">
        <f>E321</f>
        <v>73303900</v>
      </c>
      <c r="F320" s="351">
        <f t="shared" ref="F320:P321" si="388">F321</f>
        <v>73303900</v>
      </c>
      <c r="G320" s="351">
        <f t="shared" si="388"/>
        <v>0</v>
      </c>
      <c r="H320" s="351">
        <f t="shared" si="388"/>
        <v>0</v>
      </c>
      <c r="I320" s="351">
        <f t="shared" si="388"/>
        <v>0</v>
      </c>
      <c r="J320" s="351">
        <f t="shared" si="388"/>
        <v>0</v>
      </c>
      <c r="K320" s="351">
        <f t="shared" si="388"/>
        <v>0</v>
      </c>
      <c r="L320" s="351">
        <f t="shared" si="388"/>
        <v>0</v>
      </c>
      <c r="M320" s="351">
        <f t="shared" si="388"/>
        <v>0</v>
      </c>
      <c r="N320" s="351">
        <f t="shared" si="388"/>
        <v>0</v>
      </c>
      <c r="O320" s="351">
        <f t="shared" si="388"/>
        <v>0</v>
      </c>
      <c r="P320" s="351">
        <f t="shared" si="388"/>
        <v>73303900</v>
      </c>
    </row>
    <row r="321" spans="1:16" s="347" customFormat="1" ht="91.5" thickTop="1" thickBot="1" x14ac:dyDescent="0.25">
      <c r="A321" s="371">
        <v>3719100</v>
      </c>
      <c r="B321" s="319" t="s">
        <v>1019</v>
      </c>
      <c r="C321" s="319"/>
      <c r="D321" s="319" t="s">
        <v>1018</v>
      </c>
      <c r="E321" s="288">
        <f>E322</f>
        <v>73303900</v>
      </c>
      <c r="F321" s="288">
        <f t="shared" si="388"/>
        <v>73303900</v>
      </c>
      <c r="G321" s="288">
        <f t="shared" si="388"/>
        <v>0</v>
      </c>
      <c r="H321" s="288">
        <f t="shared" si="388"/>
        <v>0</v>
      </c>
      <c r="I321" s="288">
        <f t="shared" si="388"/>
        <v>0</v>
      </c>
      <c r="J321" s="288">
        <f t="shared" si="388"/>
        <v>0</v>
      </c>
      <c r="K321" s="288">
        <f t="shared" si="388"/>
        <v>0</v>
      </c>
      <c r="L321" s="288">
        <f t="shared" si="388"/>
        <v>0</v>
      </c>
      <c r="M321" s="288">
        <f t="shared" si="388"/>
        <v>0</v>
      </c>
      <c r="N321" s="288">
        <f t="shared" si="388"/>
        <v>0</v>
      </c>
      <c r="O321" s="288">
        <f t="shared" si="388"/>
        <v>0</v>
      </c>
      <c r="P321" s="288">
        <f t="shared" si="388"/>
        <v>73303900</v>
      </c>
    </row>
    <row r="322" spans="1:16" ht="48" thickTop="1" thickBot="1" x14ac:dyDescent="0.25">
      <c r="A322" s="261">
        <v>3719110</v>
      </c>
      <c r="B322" s="261">
        <v>9110</v>
      </c>
      <c r="C322" s="257" t="s">
        <v>45</v>
      </c>
      <c r="D322" s="259" t="s">
        <v>489</v>
      </c>
      <c r="E322" s="258">
        <f>F322</f>
        <v>73303900</v>
      </c>
      <c r="F322" s="233">
        <v>73303900</v>
      </c>
      <c r="G322" s="233"/>
      <c r="H322" s="233"/>
      <c r="I322" s="233"/>
      <c r="J322" s="258">
        <f>L322+O322</f>
        <v>0</v>
      </c>
      <c r="K322" s="233"/>
      <c r="L322" s="233"/>
      <c r="M322" s="233"/>
      <c r="N322" s="233"/>
      <c r="O322" s="256">
        <f>K322</f>
        <v>0</v>
      </c>
      <c r="P322" s="258">
        <f>E322+J322</f>
        <v>73303900</v>
      </c>
    </row>
    <row r="323" spans="1:16" ht="159.75" customHeight="1" thickTop="1" thickBot="1" x14ac:dyDescent="0.25">
      <c r="A323" s="176" t="s">
        <v>410</v>
      </c>
      <c r="B323" s="176" t="s">
        <v>410</v>
      </c>
      <c r="C323" s="176" t="s">
        <v>410</v>
      </c>
      <c r="D323" s="177" t="s">
        <v>420</v>
      </c>
      <c r="E323" s="262">
        <f t="shared" ref="E323:P323" si="389">E17+E42+E161+E79+E100+E143++E236+E258+E312+E278+E291+E303+E266+E207+E188</f>
        <v>2745297706.4799995</v>
      </c>
      <c r="F323" s="262">
        <f t="shared" si="389"/>
        <v>2745297706.4799995</v>
      </c>
      <c r="G323" s="262">
        <f t="shared" si="389"/>
        <v>1447708180.47</v>
      </c>
      <c r="H323" s="262">
        <f t="shared" si="389"/>
        <v>104146614.78999999</v>
      </c>
      <c r="I323" s="262">
        <f t="shared" si="389"/>
        <v>0</v>
      </c>
      <c r="J323" s="262">
        <f t="shared" si="389"/>
        <v>729186499.91000009</v>
      </c>
      <c r="K323" s="262">
        <f t="shared" si="389"/>
        <v>560942120.33999991</v>
      </c>
      <c r="L323" s="262">
        <f t="shared" si="389"/>
        <v>161866675.54000002</v>
      </c>
      <c r="M323" s="262">
        <f t="shared" si="389"/>
        <v>49879832</v>
      </c>
      <c r="N323" s="262">
        <f t="shared" si="389"/>
        <v>10259168</v>
      </c>
      <c r="O323" s="262">
        <f t="shared" si="389"/>
        <v>567319824.37</v>
      </c>
      <c r="P323" s="262">
        <f t="shared" si="389"/>
        <v>3474484206.3899999</v>
      </c>
    </row>
    <row r="324" spans="1:16" ht="30.75" thickTop="1" x14ac:dyDescent="0.2">
      <c r="A324" s="750" t="s">
        <v>544</v>
      </c>
      <c r="B324" s="751"/>
      <c r="C324" s="751"/>
      <c r="D324" s="751"/>
      <c r="E324" s="751"/>
      <c r="F324" s="751"/>
      <c r="G324" s="751"/>
      <c r="H324" s="751"/>
      <c r="I324" s="751"/>
      <c r="J324" s="751"/>
      <c r="K324" s="751"/>
      <c r="L324" s="751"/>
      <c r="M324" s="751"/>
      <c r="N324" s="751"/>
      <c r="O324" s="751"/>
      <c r="P324" s="751"/>
    </row>
    <row r="325" spans="1:16" s="402" customFormat="1" ht="45" x14ac:dyDescent="0.2">
      <c r="A325" s="614"/>
      <c r="B325" s="615"/>
      <c r="C325" s="615"/>
      <c r="D325" s="615"/>
      <c r="E325" s="616"/>
      <c r="F325" s="616"/>
      <c r="G325" s="616"/>
      <c r="H325" s="616"/>
      <c r="I325" s="616"/>
      <c r="J325" s="616"/>
      <c r="K325" s="616"/>
      <c r="L325" s="616"/>
      <c r="M325" s="616"/>
      <c r="N325" s="616"/>
      <c r="O325" s="616"/>
      <c r="P325" s="616"/>
    </row>
    <row r="326" spans="1:16" ht="75.75" customHeight="1" x14ac:dyDescent="0.55000000000000004">
      <c r="A326" s="117"/>
      <c r="B326" s="118"/>
      <c r="C326" s="118"/>
      <c r="D326" s="650" t="s">
        <v>1376</v>
      </c>
      <c r="E326" s="652"/>
      <c r="F326" s="652"/>
      <c r="G326" s="613"/>
      <c r="H326" s="613"/>
      <c r="I326" s="112"/>
      <c r="J326" s="112"/>
      <c r="K326" s="613" t="s">
        <v>1377</v>
      </c>
      <c r="L326" s="112"/>
      <c r="M326" s="112"/>
      <c r="N326" s="112"/>
      <c r="O326" s="112"/>
      <c r="P326" s="112"/>
    </row>
    <row r="327" spans="1:16" s="121" customFormat="1" ht="12.75" customHeight="1" x14ac:dyDescent="0.65">
      <c r="A327" s="122"/>
      <c r="B327" s="123"/>
      <c r="C327" s="123"/>
      <c r="D327" s="738"/>
      <c r="E327" s="738"/>
      <c r="F327" s="738"/>
      <c r="G327" s="738"/>
      <c r="H327" s="738"/>
      <c r="I327" s="738"/>
      <c r="J327" s="738"/>
      <c r="K327" s="738"/>
      <c r="L327" s="738"/>
      <c r="M327" s="738"/>
      <c r="N327" s="738"/>
      <c r="O327" s="738"/>
      <c r="P327" s="738"/>
    </row>
    <row r="328" spans="1:16" s="121" customFormat="1" ht="45.75" x14ac:dyDescent="0.65">
      <c r="A328" s="122"/>
      <c r="B328" s="123"/>
      <c r="C328" s="123"/>
      <c r="D328" s="124" t="s">
        <v>609</v>
      </c>
      <c r="E328" s="648"/>
      <c r="F328" s="648"/>
      <c r="G328" s="648"/>
      <c r="H328" s="124"/>
      <c r="I328" s="112"/>
      <c r="J328" s="112"/>
      <c r="K328" s="124" t="s">
        <v>610</v>
      </c>
      <c r="L328" s="112"/>
      <c r="M328" s="112"/>
      <c r="N328" s="112"/>
      <c r="O328" s="112"/>
      <c r="P328" s="112"/>
    </row>
  </sheetData>
  <mergeCells count="131">
    <mergeCell ref="P255:P256"/>
    <mergeCell ref="I70:I71"/>
    <mergeCell ref="J70:J71"/>
    <mergeCell ref="K70:K71"/>
    <mergeCell ref="L70:L71"/>
    <mergeCell ref="A255:A256"/>
    <mergeCell ref="B255:B256"/>
    <mergeCell ref="C255:C256"/>
    <mergeCell ref="E255:E256"/>
    <mergeCell ref="F255:F256"/>
    <mergeCell ref="G255:G256"/>
    <mergeCell ref="H255:H256"/>
    <mergeCell ref="I255:I256"/>
    <mergeCell ref="J255:J256"/>
    <mergeCell ref="F70:F71"/>
    <mergeCell ref="G70:G71"/>
    <mergeCell ref="H70:H71"/>
    <mergeCell ref="M70:M71"/>
    <mergeCell ref="N70:N71"/>
    <mergeCell ref="B228:B229"/>
    <mergeCell ref="C228:C229"/>
    <mergeCell ref="O70:O71"/>
    <mergeCell ref="P70:P71"/>
    <mergeCell ref="D327:P327"/>
    <mergeCell ref="O51:O52"/>
    <mergeCell ref="P51:P52"/>
    <mergeCell ref="G51:G52"/>
    <mergeCell ref="H51:H52"/>
    <mergeCell ref="I51:I52"/>
    <mergeCell ref="J51:J52"/>
    <mergeCell ref="K51:K52"/>
    <mergeCell ref="O228:O229"/>
    <mergeCell ref="P228:P229"/>
    <mergeCell ref="K228:K229"/>
    <mergeCell ref="L228:L229"/>
    <mergeCell ref="M228:M229"/>
    <mergeCell ref="N228:N229"/>
    <mergeCell ref="K255:K256"/>
    <mergeCell ref="L255:L256"/>
    <mergeCell ref="M255:M256"/>
    <mergeCell ref="N255:N256"/>
    <mergeCell ref="O255:O256"/>
    <mergeCell ref="E228:E229"/>
    <mergeCell ref="F228:F229"/>
    <mergeCell ref="G228:G229"/>
    <mergeCell ref="H228:H229"/>
    <mergeCell ref="I228:I229"/>
    <mergeCell ref="I30:I31"/>
    <mergeCell ref="B30:B31"/>
    <mergeCell ref="C30:C31"/>
    <mergeCell ref="J228:J229"/>
    <mergeCell ref="A204:A205"/>
    <mergeCell ref="B204:B205"/>
    <mergeCell ref="C204:C205"/>
    <mergeCell ref="J140:J141"/>
    <mergeCell ref="P204:P205"/>
    <mergeCell ref="K140:K141"/>
    <mergeCell ref="L140:L141"/>
    <mergeCell ref="M140:M141"/>
    <mergeCell ref="N140:N141"/>
    <mergeCell ref="O140:O141"/>
    <mergeCell ref="P140:P141"/>
    <mergeCell ref="K204:K205"/>
    <mergeCell ref="L204:L205"/>
    <mergeCell ref="M204:M205"/>
    <mergeCell ref="N204:N205"/>
    <mergeCell ref="O204:O205"/>
    <mergeCell ref="L51:L52"/>
    <mergeCell ref="M51:M52"/>
    <mergeCell ref="N51:N52"/>
    <mergeCell ref="G140:G141"/>
    <mergeCell ref="F51:F52"/>
    <mergeCell ref="H140:H141"/>
    <mergeCell ref="I140:I141"/>
    <mergeCell ref="A140:A141"/>
    <mergeCell ref="B140:B141"/>
    <mergeCell ref="C140:C141"/>
    <mergeCell ref="E140:E141"/>
    <mergeCell ref="F140:F141"/>
    <mergeCell ref="A70:A71"/>
    <mergeCell ref="B70:B71"/>
    <mergeCell ref="C70:C71"/>
    <mergeCell ref="D70:D71"/>
    <mergeCell ref="E70:E71"/>
    <mergeCell ref="N2:P2"/>
    <mergeCell ref="N3:P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A324:P324"/>
    <mergeCell ref="K30:K31"/>
    <mergeCell ref="L30:L31"/>
    <mergeCell ref="M30:M31"/>
    <mergeCell ref="N30:N31"/>
    <mergeCell ref="O30:O31"/>
    <mergeCell ref="P30:P31"/>
    <mergeCell ref="E204:E205"/>
    <mergeCell ref="F204:F205"/>
    <mergeCell ref="G204:G205"/>
    <mergeCell ref="H204:H205"/>
    <mergeCell ref="I204:I205"/>
    <mergeCell ref="J204:J205"/>
    <mergeCell ref="A30:A31"/>
    <mergeCell ref="E30:E31"/>
    <mergeCell ref="F30:F31"/>
    <mergeCell ref="G30:G31"/>
    <mergeCell ref="H30:H31"/>
    <mergeCell ref="J30:J31"/>
    <mergeCell ref="A228:A229"/>
    <mergeCell ref="A51:A52"/>
    <mergeCell ref="B51:B52"/>
    <mergeCell ref="C51:C52"/>
    <mergeCell ref="E51:E52"/>
  </mergeCells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6" max="15" man="1"/>
    <brk id="69" max="15" man="1"/>
    <brk id="24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2:Q167"/>
  <sheetViews>
    <sheetView showGridLines="0" view="pageBreakPreview" topLeftCell="E1" zoomScaleNormal="85" zoomScaleSheetLayoutView="100" workbookViewId="0">
      <selection activeCell="M2" sqref="M2:Q2"/>
    </sheetView>
  </sheetViews>
  <sheetFormatPr defaultColWidth="7.85546875" defaultRowHeight="12.75" x14ac:dyDescent="0.2"/>
  <cols>
    <col min="1" max="1" width="0" style="8" hidden="1" customWidth="1"/>
    <col min="2" max="2" width="13" style="20" customWidth="1"/>
    <col min="3" max="3" width="13.5703125" style="20" customWidth="1"/>
    <col min="4" max="4" width="15.28515625" style="20" customWidth="1"/>
    <col min="5" max="5" width="38.85546875" style="20" customWidth="1"/>
    <col min="6" max="6" width="11.85546875" style="20" bestFit="1" customWidth="1"/>
    <col min="7" max="7" width="11.85546875" style="20" customWidth="1"/>
    <col min="8" max="8" width="13.28515625" style="20" customWidth="1"/>
    <col min="9" max="9" width="12.5703125" style="20" customWidth="1"/>
    <col min="10" max="10" width="12.140625" style="20" customWidth="1"/>
    <col min="11" max="11" width="18.140625" style="20" customWidth="1"/>
    <col min="12" max="12" width="13.5703125" style="20" customWidth="1"/>
    <col min="13" max="13" width="13" style="20" customWidth="1"/>
    <col min="14" max="14" width="11.42578125" style="20" customWidth="1"/>
    <col min="15" max="15" width="12.7109375" style="20" customWidth="1"/>
    <col min="16" max="16" width="12.5703125" style="20" customWidth="1"/>
    <col min="17" max="17" width="12.7109375" style="20" customWidth="1"/>
    <col min="18" max="16384" width="7.85546875" style="20"/>
  </cols>
  <sheetData>
    <row r="2" spans="1:17" ht="64.5" customHeight="1" x14ac:dyDescent="0.2">
      <c r="B2" s="8"/>
      <c r="C2" s="8"/>
      <c r="D2" s="8"/>
      <c r="M2" s="813" t="s">
        <v>1390</v>
      </c>
      <c r="N2" s="813"/>
      <c r="O2" s="813"/>
      <c r="P2" s="813"/>
      <c r="Q2" s="813"/>
    </row>
    <row r="3" spans="1:17" ht="18.75" x14ac:dyDescent="0.2">
      <c r="B3" s="799"/>
      <c r="C3" s="799"/>
      <c r="D3" s="8"/>
      <c r="E3" s="809" t="s">
        <v>687</v>
      </c>
      <c r="F3" s="809"/>
      <c r="G3" s="809"/>
      <c r="H3" s="809"/>
      <c r="I3" s="809"/>
      <c r="J3" s="809"/>
      <c r="K3" s="809"/>
      <c r="L3" s="809"/>
      <c r="M3" s="809"/>
      <c r="N3" s="22"/>
      <c r="O3" s="22"/>
      <c r="P3" s="22"/>
      <c r="Q3" s="22"/>
    </row>
    <row r="4" spans="1:17" s="143" customFormat="1" ht="21" customHeight="1" x14ac:dyDescent="0.2">
      <c r="A4" s="8"/>
      <c r="B4" s="141"/>
      <c r="C4" s="142"/>
      <c r="D4" s="24"/>
      <c r="E4" s="809" t="s">
        <v>686</v>
      </c>
      <c r="F4" s="810"/>
      <c r="G4" s="810"/>
      <c r="H4" s="810"/>
      <c r="I4" s="810"/>
      <c r="J4" s="810"/>
      <c r="K4" s="810"/>
      <c r="L4" s="810"/>
      <c r="M4" s="810"/>
      <c r="N4" s="8"/>
      <c r="O4" s="8"/>
      <c r="P4" s="8"/>
      <c r="Q4" s="25"/>
    </row>
    <row r="5" spans="1:17" s="75" customFormat="1" ht="12" customHeight="1" x14ac:dyDescent="0.2">
      <c r="A5" s="8"/>
      <c r="B5" s="800">
        <v>22564000000</v>
      </c>
      <c r="C5" s="801"/>
      <c r="D5" s="24"/>
      <c r="E5" s="76"/>
      <c r="F5" s="76"/>
      <c r="G5" s="76"/>
      <c r="H5" s="76"/>
      <c r="I5" s="76"/>
      <c r="J5" s="76"/>
      <c r="K5" s="76"/>
      <c r="L5" s="76"/>
      <c r="M5" s="76"/>
      <c r="N5" s="8"/>
      <c r="O5" s="8"/>
      <c r="P5" s="8"/>
      <c r="Q5" s="25"/>
    </row>
    <row r="6" spans="1:17" s="75" customFormat="1" ht="12" customHeight="1" x14ac:dyDescent="0.2">
      <c r="A6" s="8"/>
      <c r="B6" s="802" t="s">
        <v>537</v>
      </c>
      <c r="C6" s="803"/>
      <c r="D6" s="24"/>
      <c r="E6" s="76"/>
      <c r="F6" s="76"/>
      <c r="G6" s="76"/>
      <c r="H6" s="76"/>
      <c r="I6" s="76"/>
      <c r="J6" s="76"/>
      <c r="K6" s="76"/>
      <c r="L6" s="76"/>
      <c r="M6" s="76"/>
      <c r="N6" s="8"/>
      <c r="O6" s="8"/>
      <c r="P6" s="8"/>
      <c r="Q6" s="25"/>
    </row>
    <row r="7" spans="1:17" ht="21" customHeight="1" thickBot="1" x14ac:dyDescent="0.35"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8"/>
      <c r="O7" s="8"/>
      <c r="P7" s="8"/>
      <c r="Q7" s="80" t="s">
        <v>433</v>
      </c>
    </row>
    <row r="8" spans="1:17" ht="17.45" customHeight="1" thickTop="1" thickBot="1" x14ac:dyDescent="0.25">
      <c r="A8" s="26"/>
      <c r="B8" s="805" t="s">
        <v>538</v>
      </c>
      <c r="C8" s="806" t="s">
        <v>539</v>
      </c>
      <c r="D8" s="806" t="s">
        <v>419</v>
      </c>
      <c r="E8" s="806" t="s">
        <v>690</v>
      </c>
      <c r="F8" s="805" t="s">
        <v>139</v>
      </c>
      <c r="G8" s="805"/>
      <c r="H8" s="805"/>
      <c r="I8" s="805"/>
      <c r="J8" s="805" t="s">
        <v>140</v>
      </c>
      <c r="K8" s="805"/>
      <c r="L8" s="805"/>
      <c r="M8" s="805"/>
      <c r="N8" s="805" t="s">
        <v>418</v>
      </c>
      <c r="O8" s="805"/>
      <c r="P8" s="805"/>
      <c r="Q8" s="805"/>
    </row>
    <row r="9" spans="1:17" ht="28.5" customHeight="1" thickTop="1" thickBot="1" x14ac:dyDescent="0.25">
      <c r="A9" s="27"/>
      <c r="B9" s="805"/>
      <c r="C9" s="779"/>
      <c r="D9" s="779"/>
      <c r="E9" s="807"/>
      <c r="F9" s="808" t="s">
        <v>415</v>
      </c>
      <c r="G9" s="808" t="s">
        <v>416</v>
      </c>
      <c r="H9" s="811"/>
      <c r="I9" s="808" t="s">
        <v>417</v>
      </c>
      <c r="J9" s="808" t="s">
        <v>415</v>
      </c>
      <c r="K9" s="808" t="s">
        <v>416</v>
      </c>
      <c r="L9" s="811"/>
      <c r="M9" s="808" t="s">
        <v>417</v>
      </c>
      <c r="N9" s="808" t="s">
        <v>415</v>
      </c>
      <c r="O9" s="808" t="s">
        <v>416</v>
      </c>
      <c r="P9" s="811"/>
      <c r="Q9" s="808" t="s">
        <v>417</v>
      </c>
    </row>
    <row r="10" spans="1:17" ht="65.25" customHeight="1" thickTop="1" thickBot="1" x14ac:dyDescent="0.25">
      <c r="A10" s="20"/>
      <c r="B10" s="805"/>
      <c r="C10" s="779"/>
      <c r="D10" s="779"/>
      <c r="E10" s="779"/>
      <c r="F10" s="808"/>
      <c r="G10" s="157" t="s">
        <v>413</v>
      </c>
      <c r="H10" s="157" t="s">
        <v>414</v>
      </c>
      <c r="I10" s="808"/>
      <c r="J10" s="808"/>
      <c r="K10" s="157" t="s">
        <v>413</v>
      </c>
      <c r="L10" s="157" t="s">
        <v>414</v>
      </c>
      <c r="M10" s="808"/>
      <c r="N10" s="808"/>
      <c r="O10" s="157" t="s">
        <v>413</v>
      </c>
      <c r="P10" s="157" t="s">
        <v>414</v>
      </c>
      <c r="Q10" s="808"/>
    </row>
    <row r="11" spans="1:17" ht="15" customHeight="1" thickTop="1" thickBot="1" x14ac:dyDescent="0.25">
      <c r="A11" s="20"/>
      <c r="B11" s="158">
        <v>1</v>
      </c>
      <c r="C11" s="159">
        <v>2</v>
      </c>
      <c r="D11" s="158">
        <v>3</v>
      </c>
      <c r="E11" s="159">
        <v>4</v>
      </c>
      <c r="F11" s="158">
        <v>5</v>
      </c>
      <c r="G11" s="159">
        <v>6</v>
      </c>
      <c r="H11" s="158">
        <v>7</v>
      </c>
      <c r="I11" s="159">
        <v>8</v>
      </c>
      <c r="J11" s="158">
        <v>9</v>
      </c>
      <c r="K11" s="159">
        <v>10</v>
      </c>
      <c r="L11" s="158">
        <v>11</v>
      </c>
      <c r="M11" s="159">
        <v>12</v>
      </c>
      <c r="N11" s="158">
        <v>13</v>
      </c>
      <c r="O11" s="159">
        <v>14</v>
      </c>
      <c r="P11" s="158">
        <v>15</v>
      </c>
      <c r="Q11" s="159">
        <v>16</v>
      </c>
    </row>
    <row r="12" spans="1:17" s="29" customFormat="1" ht="46.5" thickTop="1" thickBot="1" x14ac:dyDescent="0.25">
      <c r="A12" s="28"/>
      <c r="B12" s="699" t="s">
        <v>22</v>
      </c>
      <c r="C12" s="699"/>
      <c r="D12" s="699"/>
      <c r="E12" s="700" t="s">
        <v>23</v>
      </c>
      <c r="F12" s="702">
        <f>F13</f>
        <v>200000</v>
      </c>
      <c r="G12" s="702">
        <f t="shared" ref="G12:Q12" si="0">G13</f>
        <v>223742.2</v>
      </c>
      <c r="H12" s="702">
        <f t="shared" si="0"/>
        <v>0</v>
      </c>
      <c r="I12" s="702">
        <f>I13</f>
        <v>423742.2</v>
      </c>
      <c r="J12" s="702">
        <f t="shared" si="0"/>
        <v>0</v>
      </c>
      <c r="K12" s="702">
        <f t="shared" si="0"/>
        <v>-100000</v>
      </c>
      <c r="L12" s="702">
        <f t="shared" si="0"/>
        <v>0</v>
      </c>
      <c r="M12" s="702">
        <f>M13</f>
        <v>-100000</v>
      </c>
      <c r="N12" s="702">
        <f t="shared" si="0"/>
        <v>200000</v>
      </c>
      <c r="O12" s="702">
        <f t="shared" si="0"/>
        <v>123742.20000000001</v>
      </c>
      <c r="P12" s="702">
        <f t="shared" si="0"/>
        <v>0</v>
      </c>
      <c r="Q12" s="702">
        <f t="shared" si="0"/>
        <v>323742.2</v>
      </c>
    </row>
    <row r="13" spans="1:17" ht="44.25" thickTop="1" thickBot="1" x14ac:dyDescent="0.25">
      <c r="B13" s="703" t="s">
        <v>21</v>
      </c>
      <c r="C13" s="703"/>
      <c r="D13" s="703"/>
      <c r="E13" s="704" t="s">
        <v>37</v>
      </c>
      <c r="F13" s="724">
        <f>F17</f>
        <v>200000</v>
      </c>
      <c r="G13" s="724">
        <f t="shared" ref="G13:H13" si="1">G17</f>
        <v>223742.2</v>
      </c>
      <c r="H13" s="724">
        <f t="shared" si="1"/>
        <v>0</v>
      </c>
      <c r="I13" s="724">
        <f>I17</f>
        <v>423742.2</v>
      </c>
      <c r="J13" s="724">
        <f>J18</f>
        <v>0</v>
      </c>
      <c r="K13" s="724">
        <f>K18+K17+K19</f>
        <v>-100000</v>
      </c>
      <c r="L13" s="724">
        <f t="shared" ref="L13" si="2">L18</f>
        <v>0</v>
      </c>
      <c r="M13" s="724">
        <f>M18+M17+M19</f>
        <v>-100000</v>
      </c>
      <c r="N13" s="724">
        <f>N18+N17+N19</f>
        <v>200000</v>
      </c>
      <c r="O13" s="724">
        <f>O18+O17+O19</f>
        <v>123742.20000000001</v>
      </c>
      <c r="P13" s="724">
        <f>P18+P17+P19</f>
        <v>0</v>
      </c>
      <c r="Q13" s="724">
        <f>Q18+Q17+Q19</f>
        <v>323742.2</v>
      </c>
    </row>
    <row r="14" spans="1:17" s="352" customFormat="1" ht="15.75" thickTop="1" thickBot="1" x14ac:dyDescent="0.25">
      <c r="A14" s="8"/>
      <c r="B14" s="378" t="s">
        <v>1020</v>
      </c>
      <c r="C14" s="378" t="s">
        <v>856</v>
      </c>
      <c r="D14" s="378"/>
      <c r="E14" s="379" t="s">
        <v>1021</v>
      </c>
      <c r="F14" s="376">
        <f>F15</f>
        <v>200000</v>
      </c>
      <c r="G14" s="376">
        <f t="shared" ref="G14:Q15" si="3">G15</f>
        <v>223742.2</v>
      </c>
      <c r="H14" s="376">
        <f t="shared" si="3"/>
        <v>0</v>
      </c>
      <c r="I14" s="376">
        <f t="shared" si="3"/>
        <v>423742.2</v>
      </c>
      <c r="J14" s="376">
        <f t="shared" si="3"/>
        <v>0</v>
      </c>
      <c r="K14" s="376">
        <f t="shared" si="3"/>
        <v>-100000</v>
      </c>
      <c r="L14" s="376">
        <f t="shared" si="3"/>
        <v>0</v>
      </c>
      <c r="M14" s="376">
        <f t="shared" si="3"/>
        <v>-100000</v>
      </c>
      <c r="N14" s="376">
        <f t="shared" si="3"/>
        <v>200000</v>
      </c>
      <c r="O14" s="376">
        <f t="shared" si="3"/>
        <v>123742.20000000001</v>
      </c>
      <c r="P14" s="376">
        <f t="shared" si="3"/>
        <v>0</v>
      </c>
      <c r="Q14" s="376">
        <f t="shared" si="3"/>
        <v>323742.2</v>
      </c>
    </row>
    <row r="15" spans="1:17" s="352" customFormat="1" ht="16.5" thickTop="1" thickBot="1" x14ac:dyDescent="0.25">
      <c r="A15" s="8"/>
      <c r="B15" s="380" t="s">
        <v>1022</v>
      </c>
      <c r="C15" s="380" t="s">
        <v>1023</v>
      </c>
      <c r="D15" s="380"/>
      <c r="E15" s="373" t="s">
        <v>1024</v>
      </c>
      <c r="F15" s="381">
        <f>F16</f>
        <v>200000</v>
      </c>
      <c r="G15" s="381">
        <f t="shared" si="3"/>
        <v>223742.2</v>
      </c>
      <c r="H15" s="381">
        <f t="shared" si="3"/>
        <v>0</v>
      </c>
      <c r="I15" s="381">
        <f t="shared" si="3"/>
        <v>423742.2</v>
      </c>
      <c r="J15" s="381">
        <f t="shared" si="3"/>
        <v>0</v>
      </c>
      <c r="K15" s="381">
        <f t="shared" si="3"/>
        <v>-100000</v>
      </c>
      <c r="L15" s="381">
        <f t="shared" si="3"/>
        <v>0</v>
      </c>
      <c r="M15" s="381">
        <f t="shared" si="3"/>
        <v>-100000</v>
      </c>
      <c r="N15" s="381">
        <f t="shared" si="3"/>
        <v>200000</v>
      </c>
      <c r="O15" s="381">
        <f t="shared" si="3"/>
        <v>123742.20000000001</v>
      </c>
      <c r="P15" s="381">
        <f t="shared" si="3"/>
        <v>0</v>
      </c>
      <c r="Q15" s="381">
        <f t="shared" si="3"/>
        <v>323742.2</v>
      </c>
    </row>
    <row r="16" spans="1:17" s="352" customFormat="1" ht="76.5" thickTop="1" thickBot="1" x14ac:dyDescent="0.25">
      <c r="A16" s="8"/>
      <c r="B16" s="180" t="s">
        <v>1025</v>
      </c>
      <c r="C16" s="375" t="s">
        <v>1026</v>
      </c>
      <c r="D16" s="375"/>
      <c r="E16" s="374" t="s">
        <v>1056</v>
      </c>
      <c r="F16" s="377">
        <f>SUM(F17:F18)</f>
        <v>200000</v>
      </c>
      <c r="G16" s="377">
        <f t="shared" ref="G16:Q16" si="4">SUM(G17:G18)</f>
        <v>223742.2</v>
      </c>
      <c r="H16" s="377">
        <f t="shared" si="4"/>
        <v>0</v>
      </c>
      <c r="I16" s="377">
        <f t="shared" si="4"/>
        <v>423742.2</v>
      </c>
      <c r="J16" s="377">
        <f t="shared" si="4"/>
        <v>0</v>
      </c>
      <c r="K16" s="377">
        <f t="shared" si="4"/>
        <v>-100000</v>
      </c>
      <c r="L16" s="377">
        <f t="shared" si="4"/>
        <v>0</v>
      </c>
      <c r="M16" s="377">
        <f t="shared" si="4"/>
        <v>-100000</v>
      </c>
      <c r="N16" s="377">
        <f t="shared" si="4"/>
        <v>200000</v>
      </c>
      <c r="O16" s="377">
        <f t="shared" si="4"/>
        <v>123742.20000000001</v>
      </c>
      <c r="P16" s="377">
        <f t="shared" si="4"/>
        <v>0</v>
      </c>
      <c r="Q16" s="377">
        <f t="shared" si="4"/>
        <v>323742.2</v>
      </c>
    </row>
    <row r="17" spans="1:17" ht="76.5" thickTop="1" thickBot="1" x14ac:dyDescent="0.25">
      <c r="B17" s="180" t="s">
        <v>495</v>
      </c>
      <c r="C17" s="180" t="s">
        <v>497</v>
      </c>
      <c r="D17" s="180" t="s">
        <v>52</v>
      </c>
      <c r="E17" s="181" t="s">
        <v>1058</v>
      </c>
      <c r="F17" s="182">
        <v>200000</v>
      </c>
      <c r="G17" s="182">
        <f>(100000)+123742.2</f>
        <v>223742.2</v>
      </c>
      <c r="H17" s="182">
        <v>0</v>
      </c>
      <c r="I17" s="182">
        <f>F17+G17</f>
        <v>423742.2</v>
      </c>
      <c r="J17" s="182">
        <v>0</v>
      </c>
      <c r="K17" s="182">
        <v>0</v>
      </c>
      <c r="L17" s="182"/>
      <c r="M17" s="182">
        <f>J17+K17</f>
        <v>0</v>
      </c>
      <c r="N17" s="182">
        <f>F17+J17</f>
        <v>200000</v>
      </c>
      <c r="O17" s="182">
        <f>G17+K17</f>
        <v>223742.2</v>
      </c>
      <c r="P17" s="182"/>
      <c r="Q17" s="182">
        <f>I17+M17</f>
        <v>423742.2</v>
      </c>
    </row>
    <row r="18" spans="1:17" ht="76.5" thickTop="1" thickBot="1" x14ac:dyDescent="0.25">
      <c r="B18" s="180" t="s">
        <v>496</v>
      </c>
      <c r="C18" s="180" t="s">
        <v>498</v>
      </c>
      <c r="D18" s="180" t="s">
        <v>52</v>
      </c>
      <c r="E18" s="181" t="s">
        <v>1057</v>
      </c>
      <c r="F18" s="182"/>
      <c r="G18" s="182">
        <f>H18+I18</f>
        <v>0</v>
      </c>
      <c r="H18" s="182"/>
      <c r="I18" s="182"/>
      <c r="J18" s="182"/>
      <c r="K18" s="182">
        <v>-100000</v>
      </c>
      <c r="L18" s="182"/>
      <c r="M18" s="182">
        <f>J18+K18</f>
        <v>-100000</v>
      </c>
      <c r="N18" s="182">
        <f>F18+J18</f>
        <v>0</v>
      </c>
      <c r="O18" s="182">
        <v>-100000</v>
      </c>
      <c r="P18" s="182"/>
      <c r="Q18" s="182">
        <f>I18+M18</f>
        <v>-100000</v>
      </c>
    </row>
    <row r="19" spans="1:17" s="91" customFormat="1" ht="61.5" hidden="1" thickTop="1" thickBot="1" x14ac:dyDescent="0.25">
      <c r="A19" s="8"/>
      <c r="B19" s="180" t="s">
        <v>552</v>
      </c>
      <c r="C19" s="180" t="s">
        <v>553</v>
      </c>
      <c r="D19" s="180" t="s">
        <v>52</v>
      </c>
      <c r="E19" s="181" t="s">
        <v>551</v>
      </c>
      <c r="F19" s="182"/>
      <c r="G19" s="182"/>
      <c r="H19" s="182"/>
      <c r="I19" s="182"/>
      <c r="J19" s="182"/>
      <c r="K19" s="182"/>
      <c r="L19" s="182"/>
      <c r="M19" s="182">
        <f>J19+K19</f>
        <v>0</v>
      </c>
      <c r="N19" s="182"/>
      <c r="O19" s="182">
        <f>G19+K19</f>
        <v>0</v>
      </c>
      <c r="P19" s="182"/>
      <c r="Q19" s="182">
        <f>I19+M19</f>
        <v>0</v>
      </c>
    </row>
    <row r="20" spans="1:17" ht="27.75" customHeight="1" thickTop="1" thickBot="1" x14ac:dyDescent="0.25">
      <c r="B20" s="183" t="s">
        <v>410</v>
      </c>
      <c r="C20" s="183" t="s">
        <v>410</v>
      </c>
      <c r="D20" s="183" t="s">
        <v>410</v>
      </c>
      <c r="E20" s="184" t="s">
        <v>420</v>
      </c>
      <c r="F20" s="179">
        <f t="shared" ref="F20:M20" si="5">F12</f>
        <v>200000</v>
      </c>
      <c r="G20" s="179">
        <f t="shared" si="5"/>
        <v>223742.2</v>
      </c>
      <c r="H20" s="179">
        <f t="shared" si="5"/>
        <v>0</v>
      </c>
      <c r="I20" s="179">
        <f>I12</f>
        <v>423742.2</v>
      </c>
      <c r="J20" s="179">
        <f t="shared" si="5"/>
        <v>0</v>
      </c>
      <c r="K20" s="179">
        <f t="shared" si="5"/>
        <v>-100000</v>
      </c>
      <c r="L20" s="179">
        <f t="shared" si="5"/>
        <v>0</v>
      </c>
      <c r="M20" s="179">
        <f t="shared" si="5"/>
        <v>-100000</v>
      </c>
      <c r="N20" s="179">
        <f>N17+N18</f>
        <v>200000</v>
      </c>
      <c r="O20" s="179">
        <f>O17+O18</f>
        <v>123742.20000000001</v>
      </c>
      <c r="P20" s="179">
        <f>P17+P18</f>
        <v>0</v>
      </c>
      <c r="Q20" s="179">
        <f>Q17+Q18</f>
        <v>323742.2</v>
      </c>
    </row>
    <row r="21" spans="1:17" s="103" customFormat="1" ht="27.75" customHeight="1" thickTop="1" x14ac:dyDescent="0.2">
      <c r="A21" s="96"/>
      <c r="B21" s="101"/>
      <c r="C21" s="101"/>
      <c r="D21" s="101"/>
      <c r="E21" s="654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</row>
    <row r="22" spans="1:17" s="103" customFormat="1" ht="27.75" customHeight="1" x14ac:dyDescent="0.2">
      <c r="A22" s="96"/>
      <c r="B22" s="101"/>
      <c r="C22" s="101"/>
      <c r="D22" s="814" t="s">
        <v>1378</v>
      </c>
      <c r="E22" s="815"/>
      <c r="F22" s="126"/>
      <c r="G22" s="653"/>
      <c r="H22" s="653"/>
      <c r="I22" s="119"/>
      <c r="J22" s="119"/>
      <c r="K22" s="653" t="s">
        <v>1379</v>
      </c>
      <c r="L22" s="120"/>
      <c r="M22" s="120"/>
      <c r="N22" s="102"/>
      <c r="O22" s="102"/>
      <c r="P22" s="102"/>
      <c r="Q22" s="102"/>
    </row>
    <row r="23" spans="1:17" s="103" customFormat="1" ht="27.75" customHeight="1" x14ac:dyDescent="0.25">
      <c r="A23" s="96"/>
      <c r="B23" s="101"/>
      <c r="C23" s="110"/>
      <c r="D23" s="125" t="s">
        <v>609</v>
      </c>
      <c r="E23" s="126"/>
      <c r="F23" s="126"/>
      <c r="G23" s="126"/>
      <c r="H23" s="125"/>
      <c r="I23" s="119"/>
      <c r="J23" s="119"/>
      <c r="K23" s="125" t="s">
        <v>610</v>
      </c>
      <c r="L23" s="120"/>
      <c r="M23" s="120"/>
      <c r="N23" s="111"/>
      <c r="O23" s="111"/>
      <c r="P23" s="111"/>
      <c r="Q23" s="102"/>
    </row>
    <row r="24" spans="1:17" ht="39.75" hidden="1" customHeight="1" x14ac:dyDescent="0.25">
      <c r="B24" s="48"/>
      <c r="C24" s="109"/>
      <c r="D24" s="812" t="s">
        <v>611</v>
      </c>
      <c r="E24" s="812"/>
      <c r="F24" s="812"/>
      <c r="G24" s="812"/>
      <c r="H24" s="812"/>
      <c r="I24" s="812"/>
      <c r="J24" s="812"/>
      <c r="K24" s="812"/>
      <c r="L24" s="812"/>
      <c r="M24" s="812"/>
      <c r="N24" s="812"/>
      <c r="O24" s="812"/>
      <c r="P24" s="812"/>
      <c r="Q24" s="49"/>
    </row>
    <row r="25" spans="1:17" ht="15.75" customHeight="1" x14ac:dyDescent="0.25">
      <c r="B25" s="48"/>
      <c r="C25" s="48"/>
      <c r="D25" s="812"/>
      <c r="E25" s="812"/>
      <c r="F25" s="812"/>
      <c r="G25" s="812"/>
      <c r="H25" s="812"/>
      <c r="I25" s="812"/>
      <c r="J25" s="812"/>
      <c r="K25" s="812"/>
      <c r="L25" s="812"/>
      <c r="M25" s="812"/>
      <c r="N25" s="812"/>
      <c r="O25" s="812"/>
      <c r="P25" s="812"/>
      <c r="Q25" s="49"/>
    </row>
    <row r="26" spans="1:17" ht="15" x14ac:dyDescent="0.25">
      <c r="D26" s="812"/>
      <c r="E26" s="812"/>
      <c r="F26" s="812"/>
      <c r="G26" s="812"/>
      <c r="H26" s="812"/>
      <c r="I26" s="812"/>
      <c r="J26" s="812"/>
      <c r="K26" s="812"/>
      <c r="L26" s="812"/>
      <c r="M26" s="812"/>
      <c r="N26" s="812"/>
      <c r="O26" s="812"/>
      <c r="P26" s="812"/>
    </row>
    <row r="27" spans="1:17" ht="15" x14ac:dyDescent="0.25"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2"/>
      <c r="O27" s="812"/>
      <c r="P27" s="812"/>
    </row>
    <row r="28" spans="1:17" ht="15" x14ac:dyDescent="0.2">
      <c r="D28" s="50"/>
      <c r="E28" s="51"/>
      <c r="F28" s="52"/>
      <c r="G28" s="50">
        <f>H28+I28</f>
        <v>0</v>
      </c>
      <c r="H28" s="50"/>
      <c r="I28" s="53"/>
      <c r="J28" s="51"/>
      <c r="K28" s="53"/>
      <c r="L28" s="50"/>
      <c r="M28" s="50"/>
      <c r="N28" s="53"/>
      <c r="O28" s="54"/>
      <c r="P28" s="55"/>
    </row>
    <row r="29" spans="1:17" ht="15" x14ac:dyDescent="0.25">
      <c r="D29" s="56"/>
      <c r="E29" s="56"/>
      <c r="F29" s="56"/>
      <c r="G29" s="56">
        <f>H29+I29</f>
        <v>0</v>
      </c>
      <c r="H29" s="56"/>
      <c r="I29" s="56"/>
      <c r="J29" s="56"/>
      <c r="K29" s="56"/>
      <c r="L29" s="56"/>
      <c r="M29" s="56"/>
      <c r="N29" s="56"/>
      <c r="O29" s="56"/>
      <c r="P29" s="56"/>
    </row>
    <row r="30" spans="1:17" x14ac:dyDescent="0.2">
      <c r="G30" s="20">
        <f>H30+I30</f>
        <v>0</v>
      </c>
    </row>
    <row r="31" spans="1:17" x14ac:dyDescent="0.2">
      <c r="G31" s="20">
        <f>H31+I31</f>
        <v>0</v>
      </c>
    </row>
    <row r="32" spans="1:17" x14ac:dyDescent="0.2">
      <c r="G32" s="20">
        <f>H32+I32</f>
        <v>0</v>
      </c>
    </row>
    <row r="54" spans="7:7" x14ac:dyDescent="0.2">
      <c r="G54" s="20">
        <f>H54+I54</f>
        <v>0</v>
      </c>
    </row>
    <row r="56" spans="7:7" x14ac:dyDescent="0.2">
      <c r="G56" s="20">
        <f t="shared" ref="G56:G74" si="6">H56+I56</f>
        <v>0</v>
      </c>
    </row>
    <row r="57" spans="7:7" x14ac:dyDescent="0.2">
      <c r="G57" s="20">
        <f t="shared" si="6"/>
        <v>0</v>
      </c>
    </row>
    <row r="58" spans="7:7" x14ac:dyDescent="0.2">
      <c r="G58" s="20">
        <f t="shared" si="6"/>
        <v>0</v>
      </c>
    </row>
    <row r="59" spans="7:7" x14ac:dyDescent="0.2">
      <c r="G59" s="20">
        <f t="shared" si="6"/>
        <v>0</v>
      </c>
    </row>
    <row r="60" spans="7:7" x14ac:dyDescent="0.2">
      <c r="G60" s="20">
        <f t="shared" si="6"/>
        <v>0</v>
      </c>
    </row>
    <row r="61" spans="7:7" x14ac:dyDescent="0.2">
      <c r="G61" s="20">
        <f t="shared" si="6"/>
        <v>0</v>
      </c>
    </row>
    <row r="62" spans="7:7" x14ac:dyDescent="0.2">
      <c r="G62" s="20">
        <f t="shared" si="6"/>
        <v>0</v>
      </c>
    </row>
    <row r="63" spans="7:7" x14ac:dyDescent="0.2">
      <c r="G63" s="20">
        <f t="shared" si="6"/>
        <v>0</v>
      </c>
    </row>
    <row r="64" spans="7:7" x14ac:dyDescent="0.2">
      <c r="G64" s="20">
        <f t="shared" si="6"/>
        <v>0</v>
      </c>
    </row>
    <row r="65" spans="7:7" x14ac:dyDescent="0.2">
      <c r="G65" s="20">
        <f t="shared" si="6"/>
        <v>0</v>
      </c>
    </row>
    <row r="66" spans="7:7" x14ac:dyDescent="0.2">
      <c r="G66" s="20">
        <f t="shared" si="6"/>
        <v>0</v>
      </c>
    </row>
    <row r="67" spans="7:7" x14ac:dyDescent="0.2">
      <c r="G67" s="20">
        <f t="shared" si="6"/>
        <v>0</v>
      </c>
    </row>
    <row r="68" spans="7:7" x14ac:dyDescent="0.2">
      <c r="G68" s="20">
        <f t="shared" si="6"/>
        <v>0</v>
      </c>
    </row>
    <row r="69" spans="7:7" x14ac:dyDescent="0.2">
      <c r="G69" s="20">
        <f t="shared" si="6"/>
        <v>0</v>
      </c>
    </row>
    <row r="70" spans="7:7" x14ac:dyDescent="0.2">
      <c r="G70" s="20">
        <f t="shared" si="6"/>
        <v>0</v>
      </c>
    </row>
    <row r="71" spans="7:7" x14ac:dyDescent="0.2">
      <c r="G71" s="20">
        <f t="shared" si="6"/>
        <v>0</v>
      </c>
    </row>
    <row r="72" spans="7:7" x14ac:dyDescent="0.2">
      <c r="G72" s="20">
        <f t="shared" si="6"/>
        <v>0</v>
      </c>
    </row>
    <row r="73" spans="7:7" x14ac:dyDescent="0.2">
      <c r="G73" s="20">
        <f t="shared" si="6"/>
        <v>0</v>
      </c>
    </row>
    <row r="74" spans="7:7" x14ac:dyDescent="0.2">
      <c r="G74" s="20">
        <f t="shared" si="6"/>
        <v>0</v>
      </c>
    </row>
    <row r="76" spans="7:7" x14ac:dyDescent="0.2">
      <c r="G76" s="20">
        <f>H76+I76</f>
        <v>0</v>
      </c>
    </row>
    <row r="77" spans="7:7" x14ac:dyDescent="0.2">
      <c r="G77" s="20">
        <f>H77+I77</f>
        <v>0</v>
      </c>
    </row>
    <row r="78" spans="7:7" x14ac:dyDescent="0.2">
      <c r="G78" s="20">
        <f>H78+I78</f>
        <v>0</v>
      </c>
    </row>
    <row r="79" spans="7:7" x14ac:dyDescent="0.2">
      <c r="G79" s="20">
        <f>H79+I79</f>
        <v>0</v>
      </c>
    </row>
    <row r="81" spans="7:7" x14ac:dyDescent="0.2">
      <c r="G81" s="20">
        <f>H81+I81</f>
        <v>0</v>
      </c>
    </row>
    <row r="84" spans="7:7" x14ac:dyDescent="0.2">
      <c r="G84" s="804"/>
    </row>
    <row r="85" spans="7:7" x14ac:dyDescent="0.2">
      <c r="G85" s="733"/>
    </row>
    <row r="121" spans="7:7" x14ac:dyDescent="0.2">
      <c r="G121" s="20">
        <f>H121+I121</f>
        <v>0</v>
      </c>
    </row>
    <row r="123" spans="7:7" x14ac:dyDescent="0.2">
      <c r="G123" s="20">
        <f t="shared" ref="G123:G133" si="7">H123+I123</f>
        <v>0</v>
      </c>
    </row>
    <row r="124" spans="7:7" x14ac:dyDescent="0.2">
      <c r="G124" s="20">
        <f t="shared" si="7"/>
        <v>0</v>
      </c>
    </row>
    <row r="125" spans="7:7" x14ac:dyDescent="0.2">
      <c r="G125" s="20">
        <f t="shared" si="7"/>
        <v>0</v>
      </c>
    </row>
    <row r="126" spans="7:7" x14ac:dyDescent="0.2">
      <c r="G126" s="20">
        <f t="shared" si="7"/>
        <v>0</v>
      </c>
    </row>
    <row r="127" spans="7:7" x14ac:dyDescent="0.2">
      <c r="G127" s="20">
        <f t="shared" si="7"/>
        <v>0</v>
      </c>
    </row>
    <row r="128" spans="7:7" x14ac:dyDescent="0.2">
      <c r="G128" s="20">
        <f t="shared" si="7"/>
        <v>0</v>
      </c>
    </row>
    <row r="129" spans="7:7" x14ac:dyDescent="0.2">
      <c r="G129" s="20">
        <f t="shared" si="7"/>
        <v>0</v>
      </c>
    </row>
    <row r="130" spans="7:7" x14ac:dyDescent="0.2">
      <c r="G130" s="20">
        <f t="shared" si="7"/>
        <v>0</v>
      </c>
    </row>
    <row r="131" spans="7:7" x14ac:dyDescent="0.2">
      <c r="G131" s="20">
        <f t="shared" si="7"/>
        <v>0</v>
      </c>
    </row>
    <row r="132" spans="7:7" x14ac:dyDescent="0.2">
      <c r="G132" s="20">
        <f t="shared" si="7"/>
        <v>0</v>
      </c>
    </row>
    <row r="133" spans="7:7" x14ac:dyDescent="0.2">
      <c r="G133" s="20">
        <f t="shared" si="7"/>
        <v>0</v>
      </c>
    </row>
    <row r="135" spans="7:7" x14ac:dyDescent="0.2">
      <c r="G135" s="20">
        <f>H136+I136</f>
        <v>0</v>
      </c>
    </row>
    <row r="136" spans="7:7" x14ac:dyDescent="0.2">
      <c r="G136" s="20">
        <f t="shared" ref="G136" si="8">H136+I136</f>
        <v>0</v>
      </c>
    </row>
    <row r="137" spans="7:7" x14ac:dyDescent="0.2">
      <c r="G137" s="20">
        <f>H137+I137</f>
        <v>0</v>
      </c>
    </row>
    <row r="138" spans="7:7" x14ac:dyDescent="0.2">
      <c r="G138" s="20">
        <f>H138+I138</f>
        <v>0</v>
      </c>
    </row>
    <row r="139" spans="7:7" x14ac:dyDescent="0.2">
      <c r="G139" s="20">
        <f>H139+I139</f>
        <v>0</v>
      </c>
    </row>
    <row r="140" spans="7:7" x14ac:dyDescent="0.2">
      <c r="G140" s="20">
        <f>H140+I140</f>
        <v>0</v>
      </c>
    </row>
    <row r="145" spans="7:10" ht="46.5" x14ac:dyDescent="0.65">
      <c r="J145" s="69"/>
    </row>
    <row r="148" spans="7:10" ht="46.5" x14ac:dyDescent="0.65">
      <c r="G148" s="69">
        <f>H148+I148</f>
        <v>0</v>
      </c>
      <c r="J148" s="69"/>
    </row>
    <row r="167" spans="11:11" ht="90" x14ac:dyDescent="1.1499999999999999">
      <c r="K167" s="68" t="b">
        <f>G167=H167+I167</f>
        <v>1</v>
      </c>
    </row>
  </sheetData>
  <mergeCells count="28"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2:E22"/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view="pageBreakPreview" topLeftCell="A38" zoomScale="10" zoomScaleNormal="25" zoomScaleSheetLayoutView="10" zoomScalePageLayoutView="10" workbookViewId="0">
      <selection activeCell="D17" sqref="D17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16384" width="9.140625" style="187"/>
  </cols>
  <sheetData>
    <row r="1" spans="1:4" ht="48.75" customHeight="1" x14ac:dyDescent="0.2">
      <c r="B1" s="202"/>
      <c r="C1" s="202"/>
      <c r="D1" s="208" t="s">
        <v>724</v>
      </c>
    </row>
    <row r="2" spans="1:4" ht="84.75" customHeight="1" x14ac:dyDescent="0.2">
      <c r="A2" s="188"/>
      <c r="B2" s="202"/>
      <c r="C2" s="202"/>
      <c r="D2" s="208" t="s">
        <v>1391</v>
      </c>
    </row>
    <row r="3" spans="1:4" ht="40.700000000000003" customHeight="1" x14ac:dyDescent="0.2">
      <c r="A3" s="188"/>
      <c r="B3" s="188"/>
      <c r="C3" s="196"/>
      <c r="D3" s="189"/>
    </row>
    <row r="4" spans="1:4" ht="45.75" hidden="1" x14ac:dyDescent="0.2">
      <c r="A4" s="188"/>
      <c r="B4" s="188"/>
      <c r="C4" s="196"/>
      <c r="D4" s="189"/>
    </row>
    <row r="5" spans="1:4" ht="45" x14ac:dyDescent="0.2">
      <c r="A5" s="771" t="s">
        <v>693</v>
      </c>
      <c r="B5" s="771"/>
      <c r="C5" s="771"/>
      <c r="D5" s="771"/>
    </row>
    <row r="6" spans="1:4" ht="45" x14ac:dyDescent="0.2">
      <c r="A6" s="771" t="s">
        <v>622</v>
      </c>
      <c r="B6" s="771"/>
      <c r="C6" s="771"/>
      <c r="D6" s="771"/>
    </row>
    <row r="7" spans="1:4" ht="45" x14ac:dyDescent="0.2">
      <c r="A7" s="771"/>
      <c r="B7" s="771"/>
      <c r="C7" s="771"/>
      <c r="D7" s="771"/>
    </row>
    <row r="8" spans="1:4" ht="45.75" x14ac:dyDescent="0.65">
      <c r="A8" s="772">
        <v>22564000000</v>
      </c>
      <c r="B8" s="736"/>
      <c r="C8" s="736"/>
      <c r="D8" s="736"/>
    </row>
    <row r="9" spans="1:4" ht="45.75" x14ac:dyDescent="0.2">
      <c r="A9" s="777" t="s">
        <v>537</v>
      </c>
      <c r="B9" s="736"/>
      <c r="C9" s="736"/>
      <c r="D9" s="736"/>
    </row>
    <row r="10" spans="1:4" s="191" customFormat="1" ht="45.75" x14ac:dyDescent="0.2">
      <c r="A10" s="198"/>
      <c r="B10" s="192"/>
      <c r="C10" s="192"/>
      <c r="D10" s="192"/>
    </row>
    <row r="11" spans="1:4" ht="53.45" customHeight="1" x14ac:dyDescent="0.2">
      <c r="A11" s="771" t="s">
        <v>728</v>
      </c>
      <c r="B11" s="769"/>
      <c r="C11" s="769"/>
      <c r="D11" s="769"/>
    </row>
    <row r="12" spans="1:4" s="191" customFormat="1" ht="45" x14ac:dyDescent="0.2">
      <c r="A12" s="197"/>
      <c r="B12" s="195"/>
      <c r="C12" s="195"/>
      <c r="D12" s="195"/>
    </row>
    <row r="13" spans="1:4" s="191" customFormat="1" ht="53.45" customHeight="1" thickBot="1" x14ac:dyDescent="0.25">
      <c r="A13" s="197"/>
      <c r="B13" s="197"/>
      <c r="C13" s="197"/>
      <c r="D13" s="6" t="s">
        <v>433</v>
      </c>
    </row>
    <row r="14" spans="1:4" ht="140.25" customHeight="1" thickTop="1" thickBot="1" x14ac:dyDescent="0.25">
      <c r="A14" s="175" t="s">
        <v>730</v>
      </c>
      <c r="B14" s="821" t="s">
        <v>729</v>
      </c>
      <c r="C14" s="822"/>
      <c r="D14" s="175" t="s">
        <v>412</v>
      </c>
    </row>
    <row r="15" spans="1:4" s="2" customFormat="1" ht="47.25" thickTop="1" thickBot="1" x14ac:dyDescent="0.25">
      <c r="A15" s="200" t="s">
        <v>2</v>
      </c>
      <c r="B15" s="823" t="s">
        <v>3</v>
      </c>
      <c r="C15" s="822"/>
      <c r="D15" s="200" t="s">
        <v>14</v>
      </c>
    </row>
    <row r="16" spans="1:4" s="2" customFormat="1" ht="66.75" customHeight="1" thickTop="1" thickBot="1" x14ac:dyDescent="0.25">
      <c r="A16" s="818" t="s">
        <v>731</v>
      </c>
      <c r="B16" s="819"/>
      <c r="C16" s="819"/>
      <c r="D16" s="820"/>
    </row>
    <row r="17" spans="1:4" s="2" customFormat="1" ht="46.5" thickTop="1" thickBot="1" x14ac:dyDescent="0.25">
      <c r="A17" s="728" t="s">
        <v>742</v>
      </c>
      <c r="B17" s="824" t="s">
        <v>472</v>
      </c>
      <c r="C17" s="828"/>
      <c r="D17" s="729">
        <f>SUM(D18:D22)</f>
        <v>720933995</v>
      </c>
    </row>
    <row r="18" spans="1:4" s="2" customFormat="1" ht="158.25" customHeight="1" thickTop="1" thickBot="1" x14ac:dyDescent="0.25">
      <c r="A18" s="205" t="s">
        <v>1299</v>
      </c>
      <c r="B18" s="816" t="s">
        <v>1298</v>
      </c>
      <c r="C18" s="817"/>
      <c r="D18" s="211">
        <v>25000000</v>
      </c>
    </row>
    <row r="19" spans="1:4" s="2" customFormat="1" ht="47.25" thickTop="1" thickBot="1" x14ac:dyDescent="0.25">
      <c r="A19" s="205" t="s">
        <v>741</v>
      </c>
      <c r="B19" s="816" t="s">
        <v>761</v>
      </c>
      <c r="C19" s="817"/>
      <c r="D19" s="207">
        <v>623112400</v>
      </c>
    </row>
    <row r="20" spans="1:4" s="2" customFormat="1" ht="194.25" customHeight="1" thickTop="1" thickBot="1" x14ac:dyDescent="0.25">
      <c r="A20" s="205" t="s">
        <v>1301</v>
      </c>
      <c r="B20" s="816" t="s">
        <v>1300</v>
      </c>
      <c r="C20" s="817"/>
      <c r="D20" s="207">
        <v>250000</v>
      </c>
    </row>
    <row r="21" spans="1:4" s="2" customFormat="1" ht="194.25" customHeight="1" thickTop="1" thickBot="1" x14ac:dyDescent="0.25">
      <c r="A21" s="205" t="s">
        <v>1323</v>
      </c>
      <c r="B21" s="816" t="s">
        <v>1324</v>
      </c>
      <c r="C21" s="817"/>
      <c r="D21" s="207">
        <v>2571595</v>
      </c>
    </row>
    <row r="22" spans="1:4" s="2" customFormat="1" ht="104.25" customHeight="1" thickTop="1" thickBot="1" x14ac:dyDescent="0.25">
      <c r="A22" s="205" t="s">
        <v>1286</v>
      </c>
      <c r="B22" s="816" t="s">
        <v>1285</v>
      </c>
      <c r="C22" s="817"/>
      <c r="D22" s="207">
        <v>70000000</v>
      </c>
    </row>
    <row r="23" spans="1:4" s="2" customFormat="1" ht="47.25" thickTop="1" thickBot="1" x14ac:dyDescent="0.25">
      <c r="A23" s="535" t="s">
        <v>1059</v>
      </c>
      <c r="B23" s="826" t="s">
        <v>692</v>
      </c>
      <c r="C23" s="827"/>
      <c r="D23" s="168">
        <f>D17</f>
        <v>720933995</v>
      </c>
    </row>
    <row r="24" spans="1:4" s="2" customFormat="1" ht="85.5" customHeight="1" thickTop="1" thickBot="1" x14ac:dyDescent="0.25">
      <c r="A24" s="728" t="s">
        <v>753</v>
      </c>
      <c r="B24" s="824" t="s">
        <v>372</v>
      </c>
      <c r="C24" s="825"/>
      <c r="D24" s="729">
        <f>D25</f>
        <v>12117934</v>
      </c>
    </row>
    <row r="25" spans="1:4" s="2" customFormat="1" ht="193.5" customHeight="1" thickTop="1" thickBot="1" x14ac:dyDescent="0.25">
      <c r="A25" s="205" t="s">
        <v>754</v>
      </c>
      <c r="B25" s="816" t="s">
        <v>762</v>
      </c>
      <c r="C25" s="817"/>
      <c r="D25" s="211">
        <v>12117934</v>
      </c>
    </row>
    <row r="26" spans="1:4" s="2" customFormat="1" ht="123.75" customHeight="1" thickTop="1" thickBot="1" x14ac:dyDescent="0.25">
      <c r="A26" s="728" t="s">
        <v>755</v>
      </c>
      <c r="B26" s="824" t="s">
        <v>756</v>
      </c>
      <c r="C26" s="825"/>
      <c r="D26" s="729">
        <f>SUM(D27:D33)</f>
        <v>47755627.82</v>
      </c>
    </row>
    <row r="27" spans="1:4" s="2" customFormat="1" ht="142.5" customHeight="1" thickTop="1" thickBot="1" x14ac:dyDescent="0.25">
      <c r="A27" s="205" t="s">
        <v>757</v>
      </c>
      <c r="B27" s="816" t="s">
        <v>758</v>
      </c>
      <c r="C27" s="817"/>
      <c r="D27" s="207">
        <v>7340558</v>
      </c>
    </row>
    <row r="28" spans="1:4" s="2" customFormat="1" ht="136.5" customHeight="1" thickTop="1" thickBot="1" x14ac:dyDescent="0.25">
      <c r="A28" s="205" t="s">
        <v>759</v>
      </c>
      <c r="B28" s="816" t="s">
        <v>758</v>
      </c>
      <c r="C28" s="817"/>
      <c r="D28" s="211">
        <v>7118182</v>
      </c>
    </row>
    <row r="29" spans="1:4" s="2" customFormat="1" ht="202.5" customHeight="1" thickTop="1" thickBot="1" x14ac:dyDescent="0.25">
      <c r="A29" s="205" t="s">
        <v>1302</v>
      </c>
      <c r="B29" s="816" t="s">
        <v>1303</v>
      </c>
      <c r="C29" s="817"/>
      <c r="D29" s="211">
        <v>6063695</v>
      </c>
    </row>
    <row r="30" spans="1:4" s="2" customFormat="1" ht="196.5" customHeight="1" thickTop="1" thickBot="1" x14ac:dyDescent="0.25">
      <c r="A30" s="205" t="s">
        <v>1223</v>
      </c>
      <c r="B30" s="816" t="s">
        <v>1224</v>
      </c>
      <c r="C30" s="817"/>
      <c r="D30" s="211">
        <v>1648625</v>
      </c>
    </row>
    <row r="31" spans="1:4" s="2" customFormat="1" ht="47.25" thickTop="1" thickBot="1" x14ac:dyDescent="0.25">
      <c r="A31" s="205">
        <v>41053900</v>
      </c>
      <c r="B31" s="816" t="s">
        <v>392</v>
      </c>
      <c r="C31" s="817"/>
      <c r="D31" s="211">
        <v>707334</v>
      </c>
    </row>
    <row r="32" spans="1:4" s="2" customFormat="1" ht="149.25" customHeight="1" thickTop="1" thickBot="1" x14ac:dyDescent="0.25">
      <c r="A32" s="205" t="s">
        <v>760</v>
      </c>
      <c r="B32" s="816" t="s">
        <v>763</v>
      </c>
      <c r="C32" s="817"/>
      <c r="D32" s="211">
        <f>9137200+334400+4782400</f>
        <v>14254000</v>
      </c>
    </row>
    <row r="33" spans="1:4" s="2" customFormat="1" ht="296.25" customHeight="1" thickTop="1" thickBot="1" x14ac:dyDescent="0.25">
      <c r="A33" s="205" t="s">
        <v>1368</v>
      </c>
      <c r="B33" s="816" t="s">
        <v>1369</v>
      </c>
      <c r="C33" s="817"/>
      <c r="D33" s="679">
        <v>10623233.82</v>
      </c>
    </row>
    <row r="34" spans="1:4" s="2" customFormat="1" ht="66.75" customHeight="1" thickTop="1" thickBot="1" x14ac:dyDescent="0.25">
      <c r="A34" s="167" t="s">
        <v>751</v>
      </c>
      <c r="B34" s="826" t="s">
        <v>752</v>
      </c>
      <c r="C34" s="827"/>
      <c r="D34" s="209">
        <f>D26+D24</f>
        <v>59873561.82</v>
      </c>
    </row>
    <row r="35" spans="1:4" ht="61.5" customHeight="1" thickTop="1" thickBot="1" x14ac:dyDescent="0.25">
      <c r="A35" s="818" t="s">
        <v>732</v>
      </c>
      <c r="B35" s="819"/>
      <c r="C35" s="819"/>
      <c r="D35" s="820"/>
    </row>
    <row r="36" spans="1:4" ht="46.5" thickTop="1" thickBot="1" x14ac:dyDescent="0.25">
      <c r="A36" s="728" t="s">
        <v>755</v>
      </c>
      <c r="B36" s="824" t="s">
        <v>756</v>
      </c>
      <c r="C36" s="825"/>
      <c r="D36" s="729">
        <f>D37+D38</f>
        <v>21700000</v>
      </c>
    </row>
    <row r="37" spans="1:4" s="527" customFormat="1" ht="165.75" customHeight="1" thickTop="1" thickBot="1" x14ac:dyDescent="0.25">
      <c r="A37" s="205" t="s">
        <v>1225</v>
      </c>
      <c r="B37" s="816" t="s">
        <v>1228</v>
      </c>
      <c r="C37" s="817"/>
      <c r="D37" s="211">
        <v>1700000</v>
      </c>
    </row>
    <row r="38" spans="1:4" s="527" customFormat="1" ht="147.75" customHeight="1" thickTop="1" thickBot="1" x14ac:dyDescent="0.25">
      <c r="A38" s="205">
        <v>41053900</v>
      </c>
      <c r="B38" s="816" t="s">
        <v>1229</v>
      </c>
      <c r="C38" s="817"/>
      <c r="D38" s="211">
        <v>20000000</v>
      </c>
    </row>
    <row r="39" spans="1:4" s="527" customFormat="1" ht="47.25" thickTop="1" thickBot="1" x14ac:dyDescent="0.25">
      <c r="A39" s="532" t="s">
        <v>751</v>
      </c>
      <c r="B39" s="826" t="s">
        <v>752</v>
      </c>
      <c r="C39" s="827"/>
      <c r="D39" s="528">
        <f>D36</f>
        <v>21700000</v>
      </c>
    </row>
    <row r="40" spans="1:4" ht="81" customHeight="1" thickTop="1" thickBot="1" x14ac:dyDescent="0.25">
      <c r="A40" s="725" t="s">
        <v>410</v>
      </c>
      <c r="B40" s="832" t="s">
        <v>733</v>
      </c>
      <c r="C40" s="833"/>
      <c r="D40" s="726">
        <f>D41+D42</f>
        <v>802507556.82000005</v>
      </c>
    </row>
    <row r="41" spans="1:4" s="191" customFormat="1" ht="47.25" thickTop="1" thickBot="1" x14ac:dyDescent="0.25">
      <c r="A41" s="200" t="s">
        <v>410</v>
      </c>
      <c r="B41" s="826" t="s">
        <v>415</v>
      </c>
      <c r="C41" s="827"/>
      <c r="D41" s="199">
        <f>D34+D23</f>
        <v>780807556.82000005</v>
      </c>
    </row>
    <row r="42" spans="1:4" s="191" customFormat="1" ht="47.25" thickTop="1" thickBot="1" x14ac:dyDescent="0.25">
      <c r="A42" s="200" t="s">
        <v>410</v>
      </c>
      <c r="B42" s="826" t="s">
        <v>416</v>
      </c>
      <c r="C42" s="827"/>
      <c r="D42" s="199">
        <f>D39</f>
        <v>21700000</v>
      </c>
    </row>
    <row r="43" spans="1:4" s="191" customFormat="1" ht="31.7" customHeight="1" thickTop="1" x14ac:dyDescent="0.2">
      <c r="A43" s="193"/>
      <c r="B43" s="194"/>
      <c r="C43" s="194"/>
      <c r="D43" s="194"/>
    </row>
    <row r="44" spans="1:4" s="191" customFormat="1" ht="31.7" customHeight="1" x14ac:dyDescent="0.2">
      <c r="A44" s="193"/>
      <c r="B44" s="194"/>
      <c r="C44" s="194"/>
      <c r="D44" s="194"/>
    </row>
    <row r="45" spans="1:4" s="191" customFormat="1" ht="60" customHeight="1" x14ac:dyDescent="0.2">
      <c r="A45" s="771" t="s">
        <v>734</v>
      </c>
      <c r="B45" s="769"/>
      <c r="C45" s="769"/>
      <c r="D45" s="769"/>
    </row>
    <row r="46" spans="1:4" s="191" customFormat="1" ht="45" x14ac:dyDescent="0.2">
      <c r="A46" s="197"/>
      <c r="B46" s="195"/>
      <c r="C46" s="195"/>
      <c r="D46" s="195"/>
    </row>
    <row r="47" spans="1:4" s="191" customFormat="1" ht="54" customHeight="1" thickBot="1" x14ac:dyDescent="0.25">
      <c r="A47" s="193"/>
      <c r="B47" s="194"/>
      <c r="C47" s="194"/>
      <c r="D47" s="6" t="s">
        <v>433</v>
      </c>
    </row>
    <row r="48" spans="1:4" s="191" customFormat="1" ht="325.5" customHeight="1" thickTop="1" thickBot="1" x14ac:dyDescent="0.25">
      <c r="A48" s="175" t="s">
        <v>735</v>
      </c>
      <c r="B48" s="201" t="s">
        <v>539</v>
      </c>
      <c r="C48" s="175" t="s">
        <v>736</v>
      </c>
      <c r="D48" s="175" t="s">
        <v>412</v>
      </c>
    </row>
    <row r="49" spans="1:4" s="191" customFormat="1" ht="50.25" customHeight="1" thickTop="1" thickBot="1" x14ac:dyDescent="0.25">
      <c r="A49" s="200" t="s">
        <v>2</v>
      </c>
      <c r="B49" s="200" t="s">
        <v>3</v>
      </c>
      <c r="C49" s="200"/>
      <c r="D49" s="200" t="s">
        <v>14</v>
      </c>
    </row>
    <row r="50" spans="1:4" s="191" customFormat="1" ht="65.25" customHeight="1" thickTop="1" thickBot="1" x14ac:dyDescent="0.25">
      <c r="A50" s="829" t="s">
        <v>737</v>
      </c>
      <c r="B50" s="830"/>
      <c r="C50" s="830"/>
      <c r="D50" s="831"/>
    </row>
    <row r="51" spans="1:4" s="191" customFormat="1" ht="230.25" thickTop="1" thickBot="1" x14ac:dyDescent="0.25">
      <c r="A51" s="205" t="s">
        <v>266</v>
      </c>
      <c r="B51" s="205" t="s">
        <v>267</v>
      </c>
      <c r="C51" s="206" t="s">
        <v>478</v>
      </c>
      <c r="D51" s="207">
        <f>SUM(D52:D53)</f>
        <v>300000</v>
      </c>
    </row>
    <row r="52" spans="1:4" s="191" customFormat="1" ht="93" thickTop="1" thickBot="1" x14ac:dyDescent="0.25">
      <c r="A52" s="167" t="s">
        <v>691</v>
      </c>
      <c r="B52" s="167"/>
      <c r="C52" s="203" t="s">
        <v>697</v>
      </c>
      <c r="D52" s="168">
        <v>150000</v>
      </c>
    </row>
    <row r="53" spans="1:4" s="191" customFormat="1" ht="93" thickTop="1" thickBot="1" x14ac:dyDescent="0.25">
      <c r="A53" s="167" t="s">
        <v>698</v>
      </c>
      <c r="B53" s="167"/>
      <c r="C53" s="203" t="s">
        <v>699</v>
      </c>
      <c r="D53" s="168">
        <v>150000</v>
      </c>
    </row>
    <row r="54" spans="1:4" s="191" customFormat="1" ht="47.25" thickTop="1" thickBot="1" x14ac:dyDescent="0.25">
      <c r="A54" s="205" t="s">
        <v>694</v>
      </c>
      <c r="B54" s="205" t="s">
        <v>391</v>
      </c>
      <c r="C54" s="206" t="s">
        <v>392</v>
      </c>
      <c r="D54" s="207">
        <f>SUM(D55)</f>
        <v>120100</v>
      </c>
    </row>
    <row r="55" spans="1:4" s="191" customFormat="1" ht="93" thickTop="1" thickBot="1" x14ac:dyDescent="0.25">
      <c r="A55" s="167" t="s">
        <v>695</v>
      </c>
      <c r="B55" s="167"/>
      <c r="C55" s="203" t="s">
        <v>696</v>
      </c>
      <c r="D55" s="168">
        <v>120100</v>
      </c>
    </row>
    <row r="56" spans="1:4" s="499" customFormat="1" ht="184.5" thickTop="1" thickBot="1" x14ac:dyDescent="0.25">
      <c r="A56" s="205" t="s">
        <v>562</v>
      </c>
      <c r="B56" s="205" t="s">
        <v>563</v>
      </c>
      <c r="C56" s="206" t="s">
        <v>564</v>
      </c>
      <c r="D56" s="207">
        <f>D57</f>
        <v>3630000</v>
      </c>
    </row>
    <row r="57" spans="1:4" s="499" customFormat="1" ht="47.25" thickTop="1" thickBot="1" x14ac:dyDescent="0.25">
      <c r="A57" s="506" t="s">
        <v>1059</v>
      </c>
      <c r="B57" s="506"/>
      <c r="C57" s="203" t="s">
        <v>692</v>
      </c>
      <c r="D57" s="168">
        <f>500000+300000+80000+50000+(500000+400000+80000+400000+80000+60000+200000+80000+300000+500000+100000)</f>
        <v>3630000</v>
      </c>
    </row>
    <row r="58" spans="1:4" s="191" customFormat="1" ht="47.25" thickTop="1" thickBot="1" x14ac:dyDescent="0.25">
      <c r="A58" s="205" t="s">
        <v>714</v>
      </c>
      <c r="B58" s="205" t="s">
        <v>391</v>
      </c>
      <c r="C58" s="206" t="s">
        <v>392</v>
      </c>
      <c r="D58" s="207">
        <f>SUM(D59)</f>
        <v>558137</v>
      </c>
    </row>
    <row r="59" spans="1:4" s="191" customFormat="1" ht="93" thickTop="1" thickBot="1" x14ac:dyDescent="0.25">
      <c r="A59" s="167" t="s">
        <v>700</v>
      </c>
      <c r="B59" s="167"/>
      <c r="C59" s="203" t="s">
        <v>701</v>
      </c>
      <c r="D59" s="168">
        <v>558137</v>
      </c>
    </row>
    <row r="60" spans="1:4" s="426" customFormat="1" ht="47.25" thickTop="1" thickBot="1" x14ac:dyDescent="0.25">
      <c r="A60" s="429" t="s">
        <v>1108</v>
      </c>
      <c r="B60" s="429" t="s">
        <v>391</v>
      </c>
      <c r="C60" s="430" t="s">
        <v>392</v>
      </c>
      <c r="D60" s="431">
        <f>SUM(D61)</f>
        <v>1700000</v>
      </c>
    </row>
    <row r="61" spans="1:4" s="426" customFormat="1" ht="93" thickTop="1" thickBot="1" x14ac:dyDescent="0.25">
      <c r="A61" s="428" t="s">
        <v>751</v>
      </c>
      <c r="B61" s="428"/>
      <c r="C61" s="432" t="s">
        <v>752</v>
      </c>
      <c r="D61" s="433">
        <f>(700000)+1000000</f>
        <v>1700000</v>
      </c>
    </row>
    <row r="62" spans="1:4" s="191" customFormat="1" ht="47.25" thickTop="1" thickBot="1" x14ac:dyDescent="0.25">
      <c r="A62" s="205" t="s">
        <v>739</v>
      </c>
      <c r="B62" s="205" t="s">
        <v>740</v>
      </c>
      <c r="C62" s="206" t="s">
        <v>489</v>
      </c>
      <c r="D62" s="207">
        <f>SUM(D63)</f>
        <v>73303900</v>
      </c>
    </row>
    <row r="63" spans="1:4" s="191" customFormat="1" ht="47.25" thickTop="1" thickBot="1" x14ac:dyDescent="0.25">
      <c r="A63" s="167" t="s">
        <v>1059</v>
      </c>
      <c r="B63" s="167"/>
      <c r="C63" s="203" t="s">
        <v>692</v>
      </c>
      <c r="D63" s="168">
        <v>73303900</v>
      </c>
    </row>
    <row r="64" spans="1:4" s="191" customFormat="1" ht="77.25" customHeight="1" thickTop="1" thickBot="1" x14ac:dyDescent="0.25">
      <c r="A64" s="829" t="s">
        <v>738</v>
      </c>
      <c r="B64" s="830"/>
      <c r="C64" s="830"/>
      <c r="D64" s="831"/>
    </row>
    <row r="65" spans="1:4" s="499" customFormat="1" ht="205.5" customHeight="1" thickTop="1" thickBot="1" x14ac:dyDescent="0.25">
      <c r="A65" s="205" t="s">
        <v>562</v>
      </c>
      <c r="B65" s="205" t="s">
        <v>563</v>
      </c>
      <c r="C65" s="206" t="s">
        <v>564</v>
      </c>
      <c r="D65" s="431">
        <f>D66</f>
        <v>1340000</v>
      </c>
    </row>
    <row r="66" spans="1:4" s="499" customFormat="1" ht="77.25" customHeight="1" thickTop="1" thickBot="1" x14ac:dyDescent="0.25">
      <c r="A66" s="506" t="s">
        <v>1059</v>
      </c>
      <c r="B66" s="506"/>
      <c r="C66" s="203" t="s">
        <v>692</v>
      </c>
      <c r="D66" s="168">
        <f>380000+(80000+300000+500000+80000)</f>
        <v>1340000</v>
      </c>
    </row>
    <row r="67" spans="1:4" s="191" customFormat="1" ht="47.25" thickTop="1" thickBot="1" x14ac:dyDescent="0.25">
      <c r="A67" s="429" t="s">
        <v>1108</v>
      </c>
      <c r="B67" s="429" t="s">
        <v>391</v>
      </c>
      <c r="C67" s="430" t="s">
        <v>392</v>
      </c>
      <c r="D67" s="431">
        <f>SUM(D68)</f>
        <v>1000000</v>
      </c>
    </row>
    <row r="68" spans="1:4" s="426" customFormat="1" ht="93" thickTop="1" thickBot="1" x14ac:dyDescent="0.25">
      <c r="A68" s="428" t="s">
        <v>751</v>
      </c>
      <c r="B68" s="428"/>
      <c r="C68" s="432" t="s">
        <v>752</v>
      </c>
      <c r="D68" s="433">
        <f>1000000</f>
        <v>1000000</v>
      </c>
    </row>
    <row r="69" spans="1:4" s="191" customFormat="1" ht="84.75" customHeight="1" thickTop="1" thickBot="1" x14ac:dyDescent="0.25">
      <c r="A69" s="508" t="s">
        <v>410</v>
      </c>
      <c r="B69" s="508" t="s">
        <v>410</v>
      </c>
      <c r="C69" s="510" t="s">
        <v>733</v>
      </c>
      <c r="D69" s="509">
        <f>D58+D54+D51+D62+D60+D67+D56+D65</f>
        <v>81952137</v>
      </c>
    </row>
    <row r="70" spans="1:4" ht="47.25" thickTop="1" thickBot="1" x14ac:dyDescent="0.25">
      <c r="A70" s="200" t="s">
        <v>410</v>
      </c>
      <c r="B70" s="200" t="s">
        <v>410</v>
      </c>
      <c r="C70" s="204" t="s">
        <v>415</v>
      </c>
      <c r="D70" s="199">
        <f>'d3'!E320+'d3'!E287+'d3'!E157+'d3'!E36</f>
        <v>79612137</v>
      </c>
    </row>
    <row r="71" spans="1:4" s="191" customFormat="1" ht="47.25" thickTop="1" thickBot="1" x14ac:dyDescent="0.25">
      <c r="A71" s="200" t="s">
        <v>410</v>
      </c>
      <c r="B71" s="200" t="s">
        <v>410</v>
      </c>
      <c r="C71" s="204" t="s">
        <v>416</v>
      </c>
      <c r="D71" s="199">
        <f>'d3'!J36+'d3'!J157+'d3'!J287+'d3'!J320</f>
        <v>2340000</v>
      </c>
    </row>
    <row r="72" spans="1:4" s="191" customFormat="1" ht="31.7" customHeight="1" thickTop="1" x14ac:dyDescent="0.2">
      <c r="A72" s="193"/>
      <c r="B72" s="194"/>
      <c r="C72" s="194"/>
      <c r="D72" s="194"/>
    </row>
    <row r="73" spans="1:4" s="191" customFormat="1" ht="31.7" customHeight="1" x14ac:dyDescent="0.2">
      <c r="A73" s="193"/>
      <c r="B73" s="194"/>
      <c r="C73" s="194"/>
      <c r="D73" s="194"/>
    </row>
    <row r="74" spans="1:4" s="191" customFormat="1" ht="31.7" customHeight="1" x14ac:dyDescent="0.2">
      <c r="A74" s="193"/>
      <c r="B74" s="194"/>
      <c r="C74" s="194"/>
      <c r="D74" s="194"/>
    </row>
    <row r="75" spans="1:4" ht="45" customHeight="1" x14ac:dyDescent="0.55000000000000004">
      <c r="A75" s="190"/>
      <c r="B75" s="834" t="s">
        <v>1376</v>
      </c>
      <c r="C75" s="835"/>
      <c r="D75" s="613" t="s">
        <v>1377</v>
      </c>
    </row>
    <row r="76" spans="1:4" ht="61.5" customHeight="1" x14ac:dyDescent="0.65">
      <c r="A76" s="188"/>
      <c r="B76" s="738"/>
      <c r="C76" s="738"/>
      <c r="D76" s="738"/>
    </row>
    <row r="77" spans="1:4" ht="45.75" x14ac:dyDescent="0.65">
      <c r="B77" s="124" t="s">
        <v>609</v>
      </c>
      <c r="C77" s="124"/>
      <c r="D77" s="124" t="s">
        <v>610</v>
      </c>
    </row>
    <row r="78" spans="1:4" ht="45.75" x14ac:dyDescent="0.65">
      <c r="B78" s="738"/>
      <c r="C78" s="738"/>
      <c r="D78" s="738"/>
    </row>
    <row r="81" spans="1:4" x14ac:dyDescent="0.2">
      <c r="A81" s="187"/>
      <c r="B81" s="187"/>
      <c r="C81" s="191"/>
    </row>
    <row r="83" spans="1:4" x14ac:dyDescent="0.2">
      <c r="A83" s="187"/>
      <c r="B83" s="187"/>
      <c r="C83" s="191"/>
    </row>
    <row r="87" spans="1:4" x14ac:dyDescent="0.2">
      <c r="A87" s="187"/>
      <c r="B87" s="187"/>
      <c r="C87" s="191"/>
      <c r="D87" s="187"/>
    </row>
    <row r="88" spans="1:4" x14ac:dyDescent="0.2">
      <c r="A88" s="187"/>
      <c r="B88" s="187"/>
      <c r="C88" s="191"/>
      <c r="D88" s="187"/>
    </row>
    <row r="89" spans="1:4" x14ac:dyDescent="0.2">
      <c r="A89" s="187"/>
      <c r="B89" s="187"/>
      <c r="C89" s="191"/>
      <c r="D89" s="187"/>
    </row>
    <row r="90" spans="1:4" x14ac:dyDescent="0.2">
      <c r="A90" s="187"/>
      <c r="B90" s="187"/>
      <c r="C90" s="191"/>
      <c r="D90" s="187"/>
    </row>
  </sheetData>
  <mergeCells count="41">
    <mergeCell ref="B76:D76"/>
    <mergeCell ref="B78:D78"/>
    <mergeCell ref="A50:D50"/>
    <mergeCell ref="A64:D64"/>
    <mergeCell ref="B36:C36"/>
    <mergeCell ref="B41:C41"/>
    <mergeCell ref="B42:C42"/>
    <mergeCell ref="B40:C40"/>
    <mergeCell ref="B37:C37"/>
    <mergeCell ref="B39:C39"/>
    <mergeCell ref="B75:C75"/>
    <mergeCell ref="A45:D45"/>
    <mergeCell ref="B22:C22"/>
    <mergeCell ref="B18:C18"/>
    <mergeCell ref="B20:C20"/>
    <mergeCell ref="B21:C21"/>
    <mergeCell ref="B38:C38"/>
    <mergeCell ref="B31:C31"/>
    <mergeCell ref="A35:D35"/>
    <mergeCell ref="B34:C34"/>
    <mergeCell ref="A5:D5"/>
    <mergeCell ref="A6:D6"/>
    <mergeCell ref="A7:D7"/>
    <mergeCell ref="B14:C14"/>
    <mergeCell ref="B15:C15"/>
    <mergeCell ref="B33:C33"/>
    <mergeCell ref="A11:D11"/>
    <mergeCell ref="A16:D16"/>
    <mergeCell ref="A8:D8"/>
    <mergeCell ref="A9:D9"/>
    <mergeCell ref="B26:C26"/>
    <mergeCell ref="B27:C27"/>
    <mergeCell ref="B28:C28"/>
    <mergeCell ref="B32:C32"/>
    <mergeCell ref="B23:C23"/>
    <mergeCell ref="B30:C30"/>
    <mergeCell ref="B29:C29"/>
    <mergeCell ref="B17:C17"/>
    <mergeCell ref="B24:C24"/>
    <mergeCell ref="B25:C25"/>
    <mergeCell ref="B19:C19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2" manualBreakCount="2">
    <brk id="31" max="19" man="1"/>
    <brk id="7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4"/>
  <sheetViews>
    <sheetView view="pageBreakPreview" topLeftCell="B1" zoomScale="70" zoomScaleNormal="40" zoomScaleSheetLayoutView="70" workbookViewId="0">
      <pane ySplit="11" topLeftCell="A12" activePane="bottomLeft" state="frozen"/>
      <selection activeCell="F175" sqref="F175"/>
      <selection pane="bottomLeft" activeCell="F264" sqref="F264"/>
    </sheetView>
  </sheetViews>
  <sheetFormatPr defaultColWidth="7.85546875" defaultRowHeight="12.75" x14ac:dyDescent="0.2"/>
  <cols>
    <col min="1" max="1" width="3.28515625" style="170" hidden="1" customWidth="1"/>
    <col min="2" max="3" width="15.42578125" style="515" customWidth="1"/>
    <col min="4" max="4" width="16.85546875" style="515" customWidth="1"/>
    <col min="5" max="5" width="41.5703125" style="515" customWidth="1"/>
    <col min="6" max="6" width="38.5703125" style="515" customWidth="1"/>
    <col min="7" max="11" width="18.140625" style="521" customWidth="1"/>
    <col min="12" max="16384" width="7.85546875" style="170"/>
  </cols>
  <sheetData>
    <row r="1" spans="2:11" s="7" customFormat="1" ht="22.7" customHeight="1" x14ac:dyDescent="0.25">
      <c r="B1" s="842"/>
      <c r="C1" s="842"/>
      <c r="D1" s="842"/>
      <c r="E1" s="842"/>
      <c r="F1" s="842"/>
      <c r="G1" s="842"/>
      <c r="H1" s="842"/>
      <c r="I1" s="842"/>
      <c r="J1" s="842"/>
      <c r="K1" s="842"/>
    </row>
    <row r="2" spans="2:11" ht="41.25" customHeight="1" x14ac:dyDescent="0.2">
      <c r="G2" s="813" t="s">
        <v>1392</v>
      </c>
      <c r="H2" s="813"/>
      <c r="I2" s="813"/>
      <c r="J2" s="813"/>
      <c r="K2" s="813"/>
    </row>
    <row r="3" spans="2:11" ht="29.25" customHeight="1" x14ac:dyDescent="0.2">
      <c r="G3" s="624"/>
      <c r="H3" s="624"/>
      <c r="I3" s="624"/>
      <c r="J3" s="624"/>
      <c r="K3" s="624"/>
    </row>
    <row r="4" spans="2:11" ht="31.5" customHeight="1" x14ac:dyDescent="0.2">
      <c r="B4" s="843" t="s">
        <v>679</v>
      </c>
      <c r="C4" s="809"/>
      <c r="D4" s="809"/>
      <c r="E4" s="809"/>
      <c r="F4" s="809"/>
      <c r="G4" s="809"/>
      <c r="H4" s="809"/>
      <c r="I4" s="809"/>
      <c r="J4" s="809"/>
      <c r="K4" s="809"/>
    </row>
    <row r="5" spans="2:11" ht="57" customHeight="1" x14ac:dyDescent="0.2">
      <c r="B5" s="843" t="s">
        <v>723</v>
      </c>
      <c r="C5" s="809"/>
      <c r="D5" s="809"/>
      <c r="E5" s="809"/>
      <c r="F5" s="809"/>
      <c r="G5" s="809"/>
      <c r="H5" s="809"/>
      <c r="I5" s="809"/>
      <c r="J5" s="809"/>
      <c r="K5" s="809"/>
    </row>
    <row r="6" spans="2:11" ht="22.5" x14ac:dyDescent="0.2">
      <c r="B6" s="626"/>
      <c r="C6" s="622"/>
      <c r="D6" s="622"/>
      <c r="E6" s="622"/>
      <c r="F6" s="622"/>
      <c r="G6" s="622"/>
      <c r="H6" s="622"/>
      <c r="I6" s="622"/>
      <c r="J6" s="622"/>
      <c r="K6" s="622"/>
    </row>
    <row r="7" spans="2:11" ht="18.75" x14ac:dyDescent="0.2">
      <c r="B7" s="844">
        <v>22564000000</v>
      </c>
      <c r="C7" s="845"/>
      <c r="D7" s="622"/>
      <c r="E7" s="622"/>
      <c r="F7" s="622"/>
      <c r="G7" s="622"/>
      <c r="H7" s="622"/>
      <c r="I7" s="622"/>
      <c r="J7" s="622"/>
      <c r="K7" s="622"/>
    </row>
    <row r="8" spans="2:11" ht="18.75" x14ac:dyDescent="0.2">
      <c r="B8" s="846" t="s">
        <v>537</v>
      </c>
      <c r="C8" s="847"/>
      <c r="D8" s="622"/>
      <c r="E8" s="622"/>
      <c r="F8" s="622"/>
      <c r="G8" s="622"/>
      <c r="H8" s="622"/>
      <c r="I8" s="622"/>
      <c r="J8" s="622"/>
      <c r="K8" s="622"/>
    </row>
    <row r="9" spans="2:11" ht="6" customHeight="1" thickBot="1" x14ac:dyDescent="0.25">
      <c r="B9" s="516"/>
      <c r="C9" s="517"/>
      <c r="D9" s="622"/>
      <c r="E9" s="622"/>
      <c r="F9" s="622"/>
      <c r="G9" s="622"/>
      <c r="H9" s="622"/>
      <c r="I9" s="622"/>
      <c r="J9" s="622"/>
      <c r="K9" s="622"/>
    </row>
    <row r="10" spans="2:11" ht="120" customHeight="1" thickTop="1" thickBot="1" x14ac:dyDescent="0.25">
      <c r="B10" s="93" t="s">
        <v>538</v>
      </c>
      <c r="C10" s="93" t="s">
        <v>539</v>
      </c>
      <c r="D10" s="93" t="s">
        <v>419</v>
      </c>
      <c r="E10" s="93" t="s">
        <v>690</v>
      </c>
      <c r="F10" s="94" t="s">
        <v>574</v>
      </c>
      <c r="G10" s="94" t="s">
        <v>575</v>
      </c>
      <c r="H10" s="94" t="s">
        <v>576</v>
      </c>
      <c r="I10" s="94" t="s">
        <v>577</v>
      </c>
      <c r="J10" s="94" t="s">
        <v>578</v>
      </c>
      <c r="K10" s="94" t="s">
        <v>579</v>
      </c>
    </row>
    <row r="11" spans="2:11" ht="20.25" customHeight="1" thickTop="1" thickBot="1" x14ac:dyDescent="0.25">
      <c r="B11" s="92">
        <v>1</v>
      </c>
      <c r="C11" s="92">
        <v>2</v>
      </c>
      <c r="D11" s="92">
        <v>3</v>
      </c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2">
        <v>10</v>
      </c>
    </row>
    <row r="12" spans="2:11" ht="39.75" customHeight="1" thickTop="1" thickBot="1" x14ac:dyDescent="0.25">
      <c r="B12" s="699" t="s">
        <v>165</v>
      </c>
      <c r="C12" s="699"/>
      <c r="D12" s="699"/>
      <c r="E12" s="700" t="s">
        <v>167</v>
      </c>
      <c r="F12" s="701"/>
      <c r="G12" s="702"/>
      <c r="H12" s="702"/>
      <c r="I12" s="702"/>
      <c r="J12" s="701">
        <f>J13</f>
        <v>5694500</v>
      </c>
      <c r="K12" s="701"/>
    </row>
    <row r="13" spans="2:11" ht="47.25" customHeight="1" thickTop="1" thickBot="1" x14ac:dyDescent="0.25">
      <c r="B13" s="703" t="s">
        <v>166</v>
      </c>
      <c r="C13" s="703"/>
      <c r="D13" s="703"/>
      <c r="E13" s="704" t="s">
        <v>168</v>
      </c>
      <c r="F13" s="705"/>
      <c r="G13" s="705"/>
      <c r="H13" s="705"/>
      <c r="I13" s="705"/>
      <c r="J13" s="705">
        <f>SUM(J14:J17)</f>
        <v>5694500</v>
      </c>
      <c r="K13" s="705"/>
    </row>
    <row r="14" spans="2:11" ht="76.5" thickTop="1" thickBot="1" x14ac:dyDescent="0.25">
      <c r="B14" s="277" t="s">
        <v>253</v>
      </c>
      <c r="C14" s="277" t="s">
        <v>254</v>
      </c>
      <c r="D14" s="277" t="s">
        <v>255</v>
      </c>
      <c r="E14" s="277" t="s">
        <v>252</v>
      </c>
      <c r="F14" s="275" t="s">
        <v>580</v>
      </c>
      <c r="G14" s="345"/>
      <c r="H14" s="346"/>
      <c r="I14" s="345"/>
      <c r="J14" s="276">
        <f>(977200+330000+15000+241300)+336000+900000+55000</f>
        <v>2854500</v>
      </c>
      <c r="K14" s="276"/>
    </row>
    <row r="15" spans="2:11" ht="31.5" thickTop="1" thickBot="1" x14ac:dyDescent="0.25">
      <c r="B15" s="274" t="s">
        <v>259</v>
      </c>
      <c r="C15" s="274" t="s">
        <v>260</v>
      </c>
      <c r="D15" s="274" t="s">
        <v>261</v>
      </c>
      <c r="E15" s="274" t="s">
        <v>258</v>
      </c>
      <c r="F15" s="275" t="s">
        <v>580</v>
      </c>
      <c r="G15" s="345"/>
      <c r="H15" s="346"/>
      <c r="I15" s="345"/>
      <c r="J15" s="276">
        <v>1500000</v>
      </c>
      <c r="K15" s="276"/>
    </row>
    <row r="16" spans="2:11" ht="61.5" thickTop="1" thickBot="1" x14ac:dyDescent="0.25">
      <c r="B16" s="274" t="s">
        <v>562</v>
      </c>
      <c r="C16" s="274" t="s">
        <v>563</v>
      </c>
      <c r="D16" s="274" t="s">
        <v>45</v>
      </c>
      <c r="E16" s="274" t="s">
        <v>564</v>
      </c>
      <c r="F16" s="275" t="s">
        <v>580</v>
      </c>
      <c r="G16" s="345"/>
      <c r="H16" s="346"/>
      <c r="I16" s="345"/>
      <c r="J16" s="276">
        <f>380000+(80000+500000+80000)</f>
        <v>1040000</v>
      </c>
      <c r="K16" s="276"/>
    </row>
    <row r="17" spans="1:11" ht="61.5" thickTop="1" thickBot="1" x14ac:dyDescent="0.25">
      <c r="B17" s="274" t="s">
        <v>562</v>
      </c>
      <c r="C17" s="274" t="s">
        <v>563</v>
      </c>
      <c r="D17" s="274" t="s">
        <v>45</v>
      </c>
      <c r="E17" s="274" t="s">
        <v>564</v>
      </c>
      <c r="F17" s="275" t="s">
        <v>1191</v>
      </c>
      <c r="G17" s="345"/>
      <c r="H17" s="346"/>
      <c r="I17" s="345"/>
      <c r="J17" s="276">
        <v>300000</v>
      </c>
      <c r="K17" s="276"/>
    </row>
    <row r="18" spans="1:11" ht="46.5" thickTop="1" thickBot="1" x14ac:dyDescent="0.25">
      <c r="A18" s="518"/>
      <c r="B18" s="699" t="s">
        <v>169</v>
      </c>
      <c r="C18" s="699"/>
      <c r="D18" s="699"/>
      <c r="E18" s="700" t="s">
        <v>0</v>
      </c>
      <c r="F18" s="701"/>
      <c r="G18" s="702"/>
      <c r="H18" s="702"/>
      <c r="I18" s="702"/>
      <c r="J18" s="701">
        <f>J19</f>
        <v>66426682.25</v>
      </c>
      <c r="K18" s="701"/>
    </row>
    <row r="19" spans="1:11" ht="44.25" thickTop="1" thickBot="1" x14ac:dyDescent="0.25">
      <c r="A19" s="518"/>
      <c r="B19" s="703" t="s">
        <v>170</v>
      </c>
      <c r="C19" s="703"/>
      <c r="D19" s="703"/>
      <c r="E19" s="704" t="s">
        <v>1</v>
      </c>
      <c r="F19" s="705"/>
      <c r="G19" s="705"/>
      <c r="H19" s="705"/>
      <c r="I19" s="705"/>
      <c r="J19" s="705">
        <f>SUM(J20:J86)</f>
        <v>66426682.25</v>
      </c>
      <c r="K19" s="705"/>
    </row>
    <row r="20" spans="1:11" ht="31.5" thickTop="1" thickBot="1" x14ac:dyDescent="0.25">
      <c r="B20" s="277" t="s">
        <v>219</v>
      </c>
      <c r="C20" s="277" t="s">
        <v>220</v>
      </c>
      <c r="D20" s="277" t="s">
        <v>222</v>
      </c>
      <c r="E20" s="277" t="s">
        <v>223</v>
      </c>
      <c r="F20" s="280" t="s">
        <v>580</v>
      </c>
      <c r="G20" s="278"/>
      <c r="H20" s="279"/>
      <c r="I20" s="279"/>
      <c r="J20" s="276">
        <f>((30333+15000)+48000)-45333</f>
        <v>48000</v>
      </c>
      <c r="K20" s="276"/>
    </row>
    <row r="21" spans="1:11" ht="91.5" thickTop="1" thickBot="1" x14ac:dyDescent="0.25">
      <c r="B21" s="274" t="s">
        <v>219</v>
      </c>
      <c r="C21" s="274" t="s">
        <v>220</v>
      </c>
      <c r="D21" s="274" t="s">
        <v>222</v>
      </c>
      <c r="E21" s="274" t="s">
        <v>223</v>
      </c>
      <c r="F21" s="280" t="s">
        <v>1275</v>
      </c>
      <c r="G21" s="281" t="s">
        <v>597</v>
      </c>
      <c r="H21" s="282">
        <v>2301987</v>
      </c>
      <c r="I21" s="283">
        <f>(984339.94+460000)/H21</f>
        <v>0.62743184040570166</v>
      </c>
      <c r="J21" s="284">
        <f>(800000)+59561.14</f>
        <v>859561.14</v>
      </c>
      <c r="K21" s="283">
        <v>1</v>
      </c>
    </row>
    <row r="22" spans="1:11" ht="106.5" thickTop="1" thickBot="1" x14ac:dyDescent="0.25">
      <c r="B22" s="274" t="s">
        <v>219</v>
      </c>
      <c r="C22" s="274" t="s">
        <v>220</v>
      </c>
      <c r="D22" s="274" t="s">
        <v>222</v>
      </c>
      <c r="E22" s="274" t="s">
        <v>223</v>
      </c>
      <c r="F22" s="285" t="s">
        <v>1161</v>
      </c>
      <c r="G22" s="281" t="s">
        <v>669</v>
      </c>
      <c r="H22" s="282"/>
      <c r="I22" s="286">
        <v>0</v>
      </c>
      <c r="J22" s="284">
        <v>160000</v>
      </c>
      <c r="K22" s="286">
        <v>1</v>
      </c>
    </row>
    <row r="23" spans="1:11" ht="76.5" thickTop="1" thickBot="1" x14ac:dyDescent="0.25">
      <c r="B23" s="277" t="s">
        <v>219</v>
      </c>
      <c r="C23" s="277" t="s">
        <v>220</v>
      </c>
      <c r="D23" s="277" t="s">
        <v>222</v>
      </c>
      <c r="E23" s="277" t="s">
        <v>223</v>
      </c>
      <c r="F23" s="280" t="s">
        <v>581</v>
      </c>
      <c r="G23" s="278" t="s">
        <v>597</v>
      </c>
      <c r="H23" s="279">
        <v>8835199</v>
      </c>
      <c r="I23" s="286">
        <f>((999840+3536574)/H23)</f>
        <v>0.51344785782414182</v>
      </c>
      <c r="J23" s="276">
        <f>(3100000)+500000+542134.23</f>
        <v>4142134.23</v>
      </c>
      <c r="K23" s="286">
        <v>1</v>
      </c>
    </row>
    <row r="24" spans="1:11" ht="61.5" thickTop="1" thickBot="1" x14ac:dyDescent="0.25">
      <c r="B24" s="277" t="s">
        <v>219</v>
      </c>
      <c r="C24" s="277" t="s">
        <v>220</v>
      </c>
      <c r="D24" s="277" t="s">
        <v>222</v>
      </c>
      <c r="E24" s="277" t="s">
        <v>223</v>
      </c>
      <c r="F24" s="280" t="s">
        <v>582</v>
      </c>
      <c r="G24" s="278" t="s">
        <v>533</v>
      </c>
      <c r="H24" s="279">
        <v>742721</v>
      </c>
      <c r="I24" s="286">
        <f>((300000)/H24)</f>
        <v>0.40392017998683222</v>
      </c>
      <c r="J24" s="276">
        <v>440000</v>
      </c>
      <c r="K24" s="286">
        <f>(300000+J24)/H24</f>
        <v>0.99633644396751941</v>
      </c>
    </row>
    <row r="25" spans="1:11" ht="61.5" thickTop="1" thickBot="1" x14ac:dyDescent="0.25">
      <c r="B25" s="277" t="s">
        <v>219</v>
      </c>
      <c r="C25" s="277" t="s">
        <v>220</v>
      </c>
      <c r="D25" s="277" t="s">
        <v>222</v>
      </c>
      <c r="E25" s="277" t="s">
        <v>223</v>
      </c>
      <c r="F25" s="280" t="s">
        <v>1183</v>
      </c>
      <c r="G25" s="281" t="s">
        <v>589</v>
      </c>
      <c r="H25" s="282">
        <v>4313491</v>
      </c>
      <c r="I25" s="286">
        <f>((56889.6)/H25)</f>
        <v>1.3188760565398189E-2</v>
      </c>
      <c r="J25" s="276">
        <f>(500000)+1000000</f>
        <v>1500000</v>
      </c>
      <c r="K25" s="286">
        <f>((56889.6+J25)/H25)</f>
        <v>0.36093493645865959</v>
      </c>
    </row>
    <row r="26" spans="1:11" ht="16.5" hidden="1" thickTop="1" thickBot="1" x14ac:dyDescent="0.25">
      <c r="B26" s="277"/>
      <c r="C26" s="277"/>
      <c r="D26" s="277"/>
      <c r="E26" s="277"/>
      <c r="F26" s="280"/>
      <c r="G26" s="278"/>
      <c r="H26" s="279"/>
      <c r="I26" s="286"/>
      <c r="J26" s="276"/>
      <c r="K26" s="286"/>
    </row>
    <row r="27" spans="1:11" ht="46.5" thickTop="1" thickBot="1" x14ac:dyDescent="0.25">
      <c r="B27" s="277" t="s">
        <v>219</v>
      </c>
      <c r="C27" s="277" t="s">
        <v>220</v>
      </c>
      <c r="D27" s="277" t="s">
        <v>222</v>
      </c>
      <c r="E27" s="277" t="s">
        <v>223</v>
      </c>
      <c r="F27" s="280" t="s">
        <v>745</v>
      </c>
      <c r="G27" s="281" t="s">
        <v>669</v>
      </c>
      <c r="H27" s="282"/>
      <c r="I27" s="283">
        <v>0</v>
      </c>
      <c r="J27" s="284">
        <v>130000</v>
      </c>
      <c r="K27" s="286">
        <v>1</v>
      </c>
    </row>
    <row r="28" spans="1:11" ht="91.5" thickTop="1" thickBot="1" x14ac:dyDescent="0.25">
      <c r="B28" s="277" t="s">
        <v>219</v>
      </c>
      <c r="C28" s="277" t="s">
        <v>220</v>
      </c>
      <c r="D28" s="277" t="s">
        <v>222</v>
      </c>
      <c r="E28" s="277" t="s">
        <v>223</v>
      </c>
      <c r="F28" s="280" t="s">
        <v>1181</v>
      </c>
      <c r="G28" s="281" t="s">
        <v>669</v>
      </c>
      <c r="H28" s="282"/>
      <c r="I28" s="283">
        <v>0</v>
      </c>
      <c r="J28" s="284">
        <v>700000</v>
      </c>
      <c r="K28" s="286">
        <v>1</v>
      </c>
    </row>
    <row r="29" spans="1:11" ht="91.5" thickTop="1" thickBot="1" x14ac:dyDescent="0.25">
      <c r="B29" s="277" t="s">
        <v>219</v>
      </c>
      <c r="C29" s="277" t="s">
        <v>220</v>
      </c>
      <c r="D29" s="277" t="s">
        <v>222</v>
      </c>
      <c r="E29" s="277" t="s">
        <v>223</v>
      </c>
      <c r="F29" s="280" t="s">
        <v>1182</v>
      </c>
      <c r="G29" s="281" t="s">
        <v>669</v>
      </c>
      <c r="H29" s="282">
        <v>551412</v>
      </c>
      <c r="I29" s="283">
        <v>0</v>
      </c>
      <c r="J29" s="284">
        <v>300000</v>
      </c>
      <c r="K29" s="286">
        <f>(J29)/H29</f>
        <v>0.5440578007007465</v>
      </c>
    </row>
    <row r="30" spans="1:11" ht="106.5" thickTop="1" thickBot="1" x14ac:dyDescent="0.25">
      <c r="B30" s="277" t="s">
        <v>219</v>
      </c>
      <c r="C30" s="277" t="s">
        <v>220</v>
      </c>
      <c r="D30" s="277" t="s">
        <v>222</v>
      </c>
      <c r="E30" s="277" t="s">
        <v>223</v>
      </c>
      <c r="F30" s="275" t="s">
        <v>1384</v>
      </c>
      <c r="G30" s="281" t="s">
        <v>669</v>
      </c>
      <c r="H30" s="282"/>
      <c r="I30" s="283">
        <v>0</v>
      </c>
      <c r="J30" s="284">
        <v>49000</v>
      </c>
      <c r="K30" s="286">
        <v>1</v>
      </c>
    </row>
    <row r="31" spans="1:11" ht="31.5" thickTop="1" thickBot="1" x14ac:dyDescent="0.25">
      <c r="B31" s="274" t="s">
        <v>800</v>
      </c>
      <c r="C31" s="274" t="s">
        <v>801</v>
      </c>
      <c r="D31" s="274" t="s">
        <v>225</v>
      </c>
      <c r="E31" s="274" t="s">
        <v>802</v>
      </c>
      <c r="F31" s="280" t="s">
        <v>580</v>
      </c>
      <c r="G31" s="278"/>
      <c r="H31" s="279"/>
      <c r="I31" s="286"/>
      <c r="J31" s="276">
        <f>10500+12600+86900-73565+((2000000+3000000+1970000+92450+400000-1970000)+400000+17500+75000+42000+48000+1738790+1007090+291970)</f>
        <v>9149235</v>
      </c>
      <c r="K31" s="286"/>
    </row>
    <row r="32" spans="1:11" ht="91.5" thickTop="1" thickBot="1" x14ac:dyDescent="0.25">
      <c r="B32" s="274" t="s">
        <v>800</v>
      </c>
      <c r="C32" s="274" t="s">
        <v>801</v>
      </c>
      <c r="D32" s="274" t="s">
        <v>225</v>
      </c>
      <c r="E32" s="274" t="s">
        <v>802</v>
      </c>
      <c r="F32" s="275" t="s">
        <v>1344</v>
      </c>
      <c r="G32" s="720" t="s">
        <v>597</v>
      </c>
      <c r="H32" s="721">
        <v>483885</v>
      </c>
      <c r="I32" s="286">
        <f>(46883+367140)/H32</f>
        <v>0.85562272027444541</v>
      </c>
      <c r="J32" s="276">
        <v>69862</v>
      </c>
      <c r="K32" s="283">
        <f>(46883+367140+J32)/H32</f>
        <v>1</v>
      </c>
    </row>
    <row r="33" spans="2:11" ht="61.5" thickTop="1" thickBot="1" x14ac:dyDescent="0.25">
      <c r="B33" s="274" t="s">
        <v>800</v>
      </c>
      <c r="C33" s="274" t="s">
        <v>801</v>
      </c>
      <c r="D33" s="274" t="s">
        <v>225</v>
      </c>
      <c r="E33" s="274" t="s">
        <v>802</v>
      </c>
      <c r="F33" s="285" t="s">
        <v>1162</v>
      </c>
      <c r="G33" s="278" t="s">
        <v>669</v>
      </c>
      <c r="H33" s="279"/>
      <c r="I33" s="286">
        <v>0</v>
      </c>
      <c r="J33" s="282">
        <v>200000</v>
      </c>
      <c r="K33" s="286">
        <v>1</v>
      </c>
    </row>
    <row r="34" spans="2:11" ht="61.5" thickTop="1" thickBot="1" x14ac:dyDescent="0.25">
      <c r="B34" s="274" t="s">
        <v>800</v>
      </c>
      <c r="C34" s="274" t="s">
        <v>801</v>
      </c>
      <c r="D34" s="274" t="s">
        <v>225</v>
      </c>
      <c r="E34" s="274" t="s">
        <v>802</v>
      </c>
      <c r="F34" s="285" t="s">
        <v>1170</v>
      </c>
      <c r="G34" s="278" t="s">
        <v>669</v>
      </c>
      <c r="H34" s="279"/>
      <c r="I34" s="286">
        <v>0</v>
      </c>
      <c r="J34" s="282">
        <v>92850.01</v>
      </c>
      <c r="K34" s="286">
        <v>1</v>
      </c>
    </row>
    <row r="35" spans="2:11" ht="166.5" thickTop="1" thickBot="1" x14ac:dyDescent="0.25">
      <c r="B35" s="274" t="s">
        <v>800</v>
      </c>
      <c r="C35" s="274" t="s">
        <v>801</v>
      </c>
      <c r="D35" s="274" t="s">
        <v>225</v>
      </c>
      <c r="E35" s="274" t="s">
        <v>802</v>
      </c>
      <c r="F35" s="285" t="s">
        <v>1272</v>
      </c>
      <c r="G35" s="278" t="s">
        <v>669</v>
      </c>
      <c r="H35" s="279">
        <v>500000</v>
      </c>
      <c r="I35" s="286">
        <v>0</v>
      </c>
      <c r="J35" s="282">
        <v>500000</v>
      </c>
      <c r="K35" s="286">
        <v>1</v>
      </c>
    </row>
    <row r="36" spans="2:11" ht="61.5" thickTop="1" thickBot="1" x14ac:dyDescent="0.25">
      <c r="B36" s="274" t="s">
        <v>800</v>
      </c>
      <c r="C36" s="274" t="s">
        <v>801</v>
      </c>
      <c r="D36" s="274" t="s">
        <v>225</v>
      </c>
      <c r="E36" s="274" t="s">
        <v>802</v>
      </c>
      <c r="F36" s="285" t="s">
        <v>1164</v>
      </c>
      <c r="G36" s="278" t="s">
        <v>669</v>
      </c>
      <c r="H36" s="279"/>
      <c r="I36" s="286">
        <v>0</v>
      </c>
      <c r="J36" s="282">
        <v>220000</v>
      </c>
      <c r="K36" s="286">
        <v>1</v>
      </c>
    </row>
    <row r="37" spans="2:11" ht="61.5" thickTop="1" thickBot="1" x14ac:dyDescent="0.25">
      <c r="B37" s="274" t="s">
        <v>800</v>
      </c>
      <c r="C37" s="274" t="s">
        <v>801</v>
      </c>
      <c r="D37" s="274" t="s">
        <v>225</v>
      </c>
      <c r="E37" s="274" t="s">
        <v>802</v>
      </c>
      <c r="F37" s="285" t="s">
        <v>1165</v>
      </c>
      <c r="G37" s="278" t="s">
        <v>669</v>
      </c>
      <c r="H37" s="279"/>
      <c r="I37" s="286">
        <v>0</v>
      </c>
      <c r="J37" s="282">
        <v>250000</v>
      </c>
      <c r="K37" s="286">
        <v>1</v>
      </c>
    </row>
    <row r="38" spans="2:11" ht="61.5" thickTop="1" thickBot="1" x14ac:dyDescent="0.25">
      <c r="B38" s="274" t="s">
        <v>800</v>
      </c>
      <c r="C38" s="274" t="s">
        <v>801</v>
      </c>
      <c r="D38" s="274" t="s">
        <v>225</v>
      </c>
      <c r="E38" s="274" t="s">
        <v>802</v>
      </c>
      <c r="F38" s="285" t="s">
        <v>1198</v>
      </c>
      <c r="G38" s="278" t="s">
        <v>669</v>
      </c>
      <c r="H38" s="279"/>
      <c r="I38" s="286">
        <v>0</v>
      </c>
      <c r="J38" s="282">
        <v>78000</v>
      </c>
      <c r="K38" s="286">
        <v>1</v>
      </c>
    </row>
    <row r="39" spans="2:11" ht="91.5" thickTop="1" thickBot="1" x14ac:dyDescent="0.25">
      <c r="B39" s="274" t="s">
        <v>800</v>
      </c>
      <c r="C39" s="274" t="s">
        <v>801</v>
      </c>
      <c r="D39" s="274" t="s">
        <v>225</v>
      </c>
      <c r="E39" s="274" t="s">
        <v>802</v>
      </c>
      <c r="F39" s="285" t="s">
        <v>1186</v>
      </c>
      <c r="G39" s="278" t="s">
        <v>669</v>
      </c>
      <c r="H39" s="279"/>
      <c r="I39" s="286">
        <v>0</v>
      </c>
      <c r="J39" s="282">
        <v>1000000</v>
      </c>
      <c r="K39" s="286">
        <v>1</v>
      </c>
    </row>
    <row r="40" spans="2:11" ht="121.5" thickTop="1" thickBot="1" x14ac:dyDescent="0.25">
      <c r="B40" s="274" t="s">
        <v>800</v>
      </c>
      <c r="C40" s="274" t="s">
        <v>801</v>
      </c>
      <c r="D40" s="274" t="s">
        <v>225</v>
      </c>
      <c r="E40" s="274" t="s">
        <v>802</v>
      </c>
      <c r="F40" s="285" t="s">
        <v>1188</v>
      </c>
      <c r="G40" s="278" t="s">
        <v>669</v>
      </c>
      <c r="H40" s="279"/>
      <c r="I40" s="286">
        <v>0</v>
      </c>
      <c r="J40" s="282">
        <v>292490.88</v>
      </c>
      <c r="K40" s="286">
        <v>1</v>
      </c>
    </row>
    <row r="41" spans="2:11" ht="61.5" thickTop="1" thickBot="1" x14ac:dyDescent="0.25">
      <c r="B41" s="274" t="s">
        <v>800</v>
      </c>
      <c r="C41" s="274" t="s">
        <v>801</v>
      </c>
      <c r="D41" s="274" t="s">
        <v>225</v>
      </c>
      <c r="E41" s="274" t="s">
        <v>802</v>
      </c>
      <c r="F41" s="285" t="s">
        <v>1166</v>
      </c>
      <c r="G41" s="278" t="s">
        <v>669</v>
      </c>
      <c r="H41" s="279"/>
      <c r="I41" s="286">
        <v>0</v>
      </c>
      <c r="J41" s="282">
        <v>250000</v>
      </c>
      <c r="K41" s="286">
        <v>1</v>
      </c>
    </row>
    <row r="42" spans="2:11" ht="76.5" thickTop="1" thickBot="1" x14ac:dyDescent="0.25">
      <c r="B42" s="274" t="s">
        <v>800</v>
      </c>
      <c r="C42" s="274" t="s">
        <v>801</v>
      </c>
      <c r="D42" s="274" t="s">
        <v>225</v>
      </c>
      <c r="E42" s="274" t="s">
        <v>802</v>
      </c>
      <c r="F42" s="285" t="s">
        <v>1189</v>
      </c>
      <c r="G42" s="281" t="s">
        <v>597</v>
      </c>
      <c r="H42" s="282">
        <f>299957+110000</f>
        <v>409957</v>
      </c>
      <c r="I42" s="283">
        <f>299827.84/H42</f>
        <v>0.73136411867586115</v>
      </c>
      <c r="J42" s="282">
        <v>110000</v>
      </c>
      <c r="K42" s="286">
        <f>(299827.84+J42)/H42</f>
        <v>0.99968494256714735</v>
      </c>
    </row>
    <row r="43" spans="2:11" ht="121.5" thickTop="1" thickBot="1" x14ac:dyDescent="0.25">
      <c r="B43" s="274" t="s">
        <v>800</v>
      </c>
      <c r="C43" s="274" t="s">
        <v>801</v>
      </c>
      <c r="D43" s="274" t="s">
        <v>225</v>
      </c>
      <c r="E43" s="274" t="s">
        <v>802</v>
      </c>
      <c r="F43" s="285" t="s">
        <v>1289</v>
      </c>
      <c r="G43" s="278" t="s">
        <v>669</v>
      </c>
      <c r="H43" s="279">
        <v>1396945</v>
      </c>
      <c r="I43" s="286">
        <v>0</v>
      </c>
      <c r="J43" s="284">
        <f>(50000)+646945</f>
        <v>696945</v>
      </c>
      <c r="K43" s="286">
        <v>1</v>
      </c>
    </row>
    <row r="44" spans="2:11" ht="106.5" thickTop="1" thickBot="1" x14ac:dyDescent="0.25">
      <c r="B44" s="274" t="s">
        <v>800</v>
      </c>
      <c r="C44" s="274" t="s">
        <v>801</v>
      </c>
      <c r="D44" s="274" t="s">
        <v>225</v>
      </c>
      <c r="E44" s="274" t="s">
        <v>802</v>
      </c>
      <c r="F44" s="285" t="s">
        <v>702</v>
      </c>
      <c r="G44" s="278" t="s">
        <v>669</v>
      </c>
      <c r="H44" s="279"/>
      <c r="I44" s="286">
        <v>0</v>
      </c>
      <c r="J44" s="284">
        <v>300000</v>
      </c>
      <c r="K44" s="286">
        <v>1</v>
      </c>
    </row>
    <row r="45" spans="2:11" ht="121.5" thickTop="1" thickBot="1" x14ac:dyDescent="0.25">
      <c r="B45" s="274" t="s">
        <v>800</v>
      </c>
      <c r="C45" s="274" t="s">
        <v>801</v>
      </c>
      <c r="D45" s="274" t="s">
        <v>225</v>
      </c>
      <c r="E45" s="274" t="s">
        <v>802</v>
      </c>
      <c r="F45" s="285" t="s">
        <v>1267</v>
      </c>
      <c r="G45" s="278" t="s">
        <v>669</v>
      </c>
      <c r="H45" s="279">
        <v>2288771</v>
      </c>
      <c r="I45" s="286">
        <v>0</v>
      </c>
      <c r="J45" s="284">
        <f>(750000)+1436788</f>
        <v>2186788</v>
      </c>
      <c r="K45" s="286">
        <v>1</v>
      </c>
    </row>
    <row r="46" spans="2:11" ht="91.5" thickTop="1" thickBot="1" x14ac:dyDescent="0.25">
      <c r="B46" s="274" t="s">
        <v>800</v>
      </c>
      <c r="C46" s="274" t="s">
        <v>801</v>
      </c>
      <c r="D46" s="274" t="s">
        <v>225</v>
      </c>
      <c r="E46" s="274" t="s">
        <v>802</v>
      </c>
      <c r="F46" s="285" t="s">
        <v>1270</v>
      </c>
      <c r="G46" s="278" t="s">
        <v>533</v>
      </c>
      <c r="H46" s="279">
        <v>2263021</v>
      </c>
      <c r="I46" s="286">
        <f>(50000/H46)</f>
        <v>2.2094359707665108E-2</v>
      </c>
      <c r="J46" s="284">
        <f>(500000)+830000</f>
        <v>1330000</v>
      </c>
      <c r="K46" s="286">
        <f>(J46+50000)/H46*100%</f>
        <v>0.60980432793155692</v>
      </c>
    </row>
    <row r="47" spans="2:11" ht="136.5" thickTop="1" thickBot="1" x14ac:dyDescent="0.25">
      <c r="B47" s="274" t="s">
        <v>800</v>
      </c>
      <c r="C47" s="274" t="s">
        <v>801</v>
      </c>
      <c r="D47" s="274" t="s">
        <v>225</v>
      </c>
      <c r="E47" s="274" t="s">
        <v>802</v>
      </c>
      <c r="F47" s="285" t="s">
        <v>1271</v>
      </c>
      <c r="G47" s="281" t="s">
        <v>669</v>
      </c>
      <c r="H47" s="282">
        <v>1574587</v>
      </c>
      <c r="I47" s="283">
        <v>0</v>
      </c>
      <c r="J47" s="284">
        <f>(750000)+809383</f>
        <v>1559383</v>
      </c>
      <c r="K47" s="286">
        <v>1</v>
      </c>
    </row>
    <row r="48" spans="2:11" ht="91.5" thickTop="1" thickBot="1" x14ac:dyDescent="0.25">
      <c r="B48" s="274" t="s">
        <v>800</v>
      </c>
      <c r="C48" s="274" t="s">
        <v>801</v>
      </c>
      <c r="D48" s="274" t="s">
        <v>225</v>
      </c>
      <c r="E48" s="274" t="s">
        <v>802</v>
      </c>
      <c r="F48" s="285" t="s">
        <v>1163</v>
      </c>
      <c r="G48" s="278" t="s">
        <v>669</v>
      </c>
      <c r="H48" s="279"/>
      <c r="I48" s="286">
        <v>0</v>
      </c>
      <c r="J48" s="284">
        <v>49000</v>
      </c>
      <c r="K48" s="286">
        <v>1</v>
      </c>
    </row>
    <row r="49" spans="2:11" ht="93" customHeight="1" thickTop="1" thickBot="1" x14ac:dyDescent="0.25">
      <c r="B49" s="274" t="s">
        <v>800</v>
      </c>
      <c r="C49" s="274" t="s">
        <v>801</v>
      </c>
      <c r="D49" s="274" t="s">
        <v>225</v>
      </c>
      <c r="E49" s="274" t="s">
        <v>802</v>
      </c>
      <c r="F49" s="285" t="s">
        <v>1190</v>
      </c>
      <c r="G49" s="281" t="s">
        <v>669</v>
      </c>
      <c r="H49" s="282"/>
      <c r="I49" s="286">
        <v>0</v>
      </c>
      <c r="J49" s="284">
        <v>500000</v>
      </c>
      <c r="K49" s="286">
        <v>1</v>
      </c>
    </row>
    <row r="50" spans="2:11" ht="91.5" thickTop="1" thickBot="1" x14ac:dyDescent="0.25">
      <c r="B50" s="274" t="s">
        <v>800</v>
      </c>
      <c r="C50" s="274" t="s">
        <v>801</v>
      </c>
      <c r="D50" s="274" t="s">
        <v>225</v>
      </c>
      <c r="E50" s="274" t="s">
        <v>802</v>
      </c>
      <c r="F50" s="285" t="s">
        <v>1274</v>
      </c>
      <c r="G50" s="278" t="s">
        <v>533</v>
      </c>
      <c r="H50" s="279">
        <v>1489695</v>
      </c>
      <c r="I50" s="286">
        <f>(940877/H50)</f>
        <v>0.63159035910035277</v>
      </c>
      <c r="J50" s="284">
        <v>548818</v>
      </c>
      <c r="K50" s="286">
        <f>(J50+940877)/H50</f>
        <v>1</v>
      </c>
    </row>
    <row r="51" spans="2:11" ht="136.5" thickTop="1" thickBot="1" x14ac:dyDescent="0.25">
      <c r="B51" s="274" t="s">
        <v>800</v>
      </c>
      <c r="C51" s="274" t="s">
        <v>801</v>
      </c>
      <c r="D51" s="274" t="s">
        <v>225</v>
      </c>
      <c r="E51" s="274" t="s">
        <v>802</v>
      </c>
      <c r="F51" s="285" t="s">
        <v>1167</v>
      </c>
      <c r="G51" s="278" t="s">
        <v>669</v>
      </c>
      <c r="H51" s="279"/>
      <c r="I51" s="286">
        <v>0</v>
      </c>
      <c r="J51" s="284">
        <v>49000</v>
      </c>
      <c r="K51" s="286">
        <v>1</v>
      </c>
    </row>
    <row r="52" spans="2:11" ht="151.5" thickTop="1" thickBot="1" x14ac:dyDescent="0.25">
      <c r="B52" s="274" t="s">
        <v>800</v>
      </c>
      <c r="C52" s="274" t="s">
        <v>801</v>
      </c>
      <c r="D52" s="274" t="s">
        <v>225</v>
      </c>
      <c r="E52" s="274" t="s">
        <v>802</v>
      </c>
      <c r="F52" s="285" t="s">
        <v>1288</v>
      </c>
      <c r="G52" s="278" t="s">
        <v>669</v>
      </c>
      <c r="H52" s="279">
        <v>1957290</v>
      </c>
      <c r="I52" s="286">
        <v>0</v>
      </c>
      <c r="J52" s="284">
        <f>(50000)+1207290</f>
        <v>1257290</v>
      </c>
      <c r="K52" s="286">
        <v>1</v>
      </c>
    </row>
    <row r="53" spans="2:11" ht="121.5" thickTop="1" thickBot="1" x14ac:dyDescent="0.25">
      <c r="B53" s="274" t="s">
        <v>800</v>
      </c>
      <c r="C53" s="274" t="s">
        <v>801</v>
      </c>
      <c r="D53" s="274" t="s">
        <v>225</v>
      </c>
      <c r="E53" s="274" t="s">
        <v>802</v>
      </c>
      <c r="F53" s="285" t="s">
        <v>1168</v>
      </c>
      <c r="G53" s="278" t="s">
        <v>669</v>
      </c>
      <c r="H53" s="279"/>
      <c r="I53" s="286">
        <v>0</v>
      </c>
      <c r="J53" s="284">
        <v>49000</v>
      </c>
      <c r="K53" s="286">
        <v>1</v>
      </c>
    </row>
    <row r="54" spans="2:11" ht="76.5" thickTop="1" thickBot="1" x14ac:dyDescent="0.25">
      <c r="B54" s="274" t="s">
        <v>800</v>
      </c>
      <c r="C54" s="274" t="s">
        <v>801</v>
      </c>
      <c r="D54" s="274" t="s">
        <v>225</v>
      </c>
      <c r="E54" s="274" t="s">
        <v>802</v>
      </c>
      <c r="F54" s="285" t="s">
        <v>1268</v>
      </c>
      <c r="G54" s="281" t="s">
        <v>533</v>
      </c>
      <c r="H54" s="282">
        <v>1498929</v>
      </c>
      <c r="I54" s="286">
        <f>(59000/H54)</f>
        <v>3.9361437399636677E-2</v>
      </c>
      <c r="J54" s="284">
        <v>750000</v>
      </c>
      <c r="K54" s="286">
        <f>(J54+59000+690360)/H54</f>
        <v>1.0002875386359193</v>
      </c>
    </row>
    <row r="55" spans="2:11" ht="76.5" thickTop="1" thickBot="1" x14ac:dyDescent="0.25">
      <c r="B55" s="274" t="s">
        <v>800</v>
      </c>
      <c r="C55" s="274" t="s">
        <v>801</v>
      </c>
      <c r="D55" s="274" t="s">
        <v>225</v>
      </c>
      <c r="E55" s="274" t="s">
        <v>802</v>
      </c>
      <c r="F55" s="285" t="s">
        <v>1169</v>
      </c>
      <c r="G55" s="278" t="s">
        <v>597</v>
      </c>
      <c r="H55" s="279">
        <v>3245342</v>
      </c>
      <c r="I55" s="286">
        <f>(1950923.21/H55)</f>
        <v>0.60114564505066026</v>
      </c>
      <c r="J55" s="284">
        <v>1261682</v>
      </c>
      <c r="K55" s="286">
        <v>1</v>
      </c>
    </row>
    <row r="56" spans="2:11" ht="106.5" thickTop="1" thickBot="1" x14ac:dyDescent="0.25">
      <c r="B56" s="274" t="s">
        <v>800</v>
      </c>
      <c r="C56" s="274" t="s">
        <v>801</v>
      </c>
      <c r="D56" s="274" t="s">
        <v>225</v>
      </c>
      <c r="E56" s="274" t="s">
        <v>802</v>
      </c>
      <c r="F56" s="285" t="s">
        <v>1367</v>
      </c>
      <c r="G56" s="278" t="s">
        <v>669</v>
      </c>
      <c r="H56" s="279">
        <v>93500</v>
      </c>
      <c r="I56" s="286">
        <v>0</v>
      </c>
      <c r="J56" s="284">
        <v>93500</v>
      </c>
      <c r="K56" s="286">
        <v>1</v>
      </c>
    </row>
    <row r="57" spans="2:11" ht="121.5" thickTop="1" thickBot="1" x14ac:dyDescent="0.25">
      <c r="B57" s="274" t="s">
        <v>800</v>
      </c>
      <c r="C57" s="274" t="s">
        <v>801</v>
      </c>
      <c r="D57" s="274" t="s">
        <v>225</v>
      </c>
      <c r="E57" s="274" t="s">
        <v>802</v>
      </c>
      <c r="F57" s="285" t="s">
        <v>1341</v>
      </c>
      <c r="G57" s="278" t="s">
        <v>669</v>
      </c>
      <c r="H57" s="279">
        <v>87000</v>
      </c>
      <c r="I57" s="286">
        <v>0</v>
      </c>
      <c r="J57" s="284">
        <v>87000</v>
      </c>
      <c r="K57" s="286">
        <v>1</v>
      </c>
    </row>
    <row r="58" spans="2:11" ht="121.5" thickTop="1" thickBot="1" x14ac:dyDescent="0.25">
      <c r="B58" s="274" t="s">
        <v>800</v>
      </c>
      <c r="C58" s="274" t="s">
        <v>801</v>
      </c>
      <c r="D58" s="274" t="s">
        <v>225</v>
      </c>
      <c r="E58" s="274" t="s">
        <v>802</v>
      </c>
      <c r="F58" s="285" t="s">
        <v>1342</v>
      </c>
      <c r="G58" s="278" t="s">
        <v>669</v>
      </c>
      <c r="H58" s="279">
        <v>43500</v>
      </c>
      <c r="I58" s="286">
        <v>0</v>
      </c>
      <c r="J58" s="284">
        <v>43500</v>
      </c>
      <c r="K58" s="286">
        <v>1</v>
      </c>
    </row>
    <row r="59" spans="2:11" ht="106.5" thickTop="1" thickBot="1" x14ac:dyDescent="0.25">
      <c r="B59" s="274" t="s">
        <v>800</v>
      </c>
      <c r="C59" s="274" t="s">
        <v>801</v>
      </c>
      <c r="D59" s="274" t="s">
        <v>225</v>
      </c>
      <c r="E59" s="274" t="s">
        <v>802</v>
      </c>
      <c r="F59" s="285" t="s">
        <v>1343</v>
      </c>
      <c r="G59" s="278" t="s">
        <v>669</v>
      </c>
      <c r="H59" s="279">
        <v>143500</v>
      </c>
      <c r="I59" s="286">
        <v>0</v>
      </c>
      <c r="J59" s="284">
        <v>143500</v>
      </c>
      <c r="K59" s="286">
        <v>1</v>
      </c>
    </row>
    <row r="60" spans="2:11" ht="76.5" thickTop="1" thickBot="1" x14ac:dyDescent="0.25">
      <c r="B60" s="274" t="s">
        <v>810</v>
      </c>
      <c r="C60" s="274" t="s">
        <v>811</v>
      </c>
      <c r="D60" s="274" t="s">
        <v>228</v>
      </c>
      <c r="E60" s="274" t="s">
        <v>545</v>
      </c>
      <c r="F60" s="280" t="s">
        <v>580</v>
      </c>
      <c r="G60" s="278"/>
      <c r="H60" s="279"/>
      <c r="I60" s="279"/>
      <c r="J60" s="276">
        <f>-54288+((100000+120000+38430+59425+30000-30000)+16386)</f>
        <v>279953</v>
      </c>
      <c r="K60" s="276"/>
    </row>
    <row r="61" spans="2:11" ht="76.5" thickTop="1" thickBot="1" x14ac:dyDescent="0.25">
      <c r="B61" s="274" t="s">
        <v>810</v>
      </c>
      <c r="C61" s="274" t="s">
        <v>811</v>
      </c>
      <c r="D61" s="274" t="s">
        <v>228</v>
      </c>
      <c r="E61" s="274" t="s">
        <v>545</v>
      </c>
      <c r="F61" s="285" t="s">
        <v>1171</v>
      </c>
      <c r="G61" s="281" t="s">
        <v>669</v>
      </c>
      <c r="H61" s="282"/>
      <c r="I61" s="283">
        <v>0</v>
      </c>
      <c r="J61" s="276">
        <f>(300000)+314900</f>
        <v>614900</v>
      </c>
      <c r="K61" s="276">
        <v>100</v>
      </c>
    </row>
    <row r="62" spans="2:11" ht="61.5" thickTop="1" thickBot="1" x14ac:dyDescent="0.25">
      <c r="B62" s="274" t="s">
        <v>1173</v>
      </c>
      <c r="C62" s="274" t="s">
        <v>1174</v>
      </c>
      <c r="D62" s="274" t="s">
        <v>225</v>
      </c>
      <c r="E62" s="274" t="s">
        <v>1177</v>
      </c>
      <c r="F62" s="285" t="s">
        <v>1170</v>
      </c>
      <c r="G62" s="278" t="s">
        <v>669</v>
      </c>
      <c r="H62" s="279"/>
      <c r="I62" s="286">
        <v>0</v>
      </c>
      <c r="J62" s="282">
        <v>107149.99</v>
      </c>
      <c r="K62" s="286">
        <v>1</v>
      </c>
    </row>
    <row r="63" spans="2:11" ht="166.5" thickTop="1" thickBot="1" x14ac:dyDescent="0.25">
      <c r="B63" s="274" t="s">
        <v>1173</v>
      </c>
      <c r="C63" s="274" t="s">
        <v>1174</v>
      </c>
      <c r="D63" s="274" t="s">
        <v>225</v>
      </c>
      <c r="E63" s="274" t="s">
        <v>1177</v>
      </c>
      <c r="F63" s="285" t="s">
        <v>1273</v>
      </c>
      <c r="G63" s="278" t="s">
        <v>669</v>
      </c>
      <c r="H63" s="279">
        <v>500000</v>
      </c>
      <c r="I63" s="286">
        <v>0</v>
      </c>
      <c r="J63" s="282">
        <v>500000</v>
      </c>
      <c r="K63" s="286">
        <v>1</v>
      </c>
    </row>
    <row r="64" spans="2:11" ht="91.5" thickTop="1" thickBot="1" x14ac:dyDescent="0.25">
      <c r="B64" s="274" t="s">
        <v>1173</v>
      </c>
      <c r="C64" s="274" t="s">
        <v>1174</v>
      </c>
      <c r="D64" s="274" t="s">
        <v>225</v>
      </c>
      <c r="E64" s="274" t="s">
        <v>1177</v>
      </c>
      <c r="F64" s="285" t="s">
        <v>1186</v>
      </c>
      <c r="G64" s="278" t="s">
        <v>669</v>
      </c>
      <c r="H64" s="279"/>
      <c r="I64" s="286">
        <v>0</v>
      </c>
      <c r="J64" s="282">
        <v>2000000</v>
      </c>
      <c r="K64" s="286">
        <v>1</v>
      </c>
    </row>
    <row r="65" spans="2:11" ht="76.5" thickTop="1" thickBot="1" x14ac:dyDescent="0.25">
      <c r="B65" s="274" t="s">
        <v>1173</v>
      </c>
      <c r="C65" s="274" t="s">
        <v>1174</v>
      </c>
      <c r="D65" s="274" t="s">
        <v>225</v>
      </c>
      <c r="E65" s="274" t="s">
        <v>1177</v>
      </c>
      <c r="F65" s="285" t="s">
        <v>1179</v>
      </c>
      <c r="G65" s="278" t="s">
        <v>669</v>
      </c>
      <c r="H65" s="279"/>
      <c r="I65" s="286">
        <v>0</v>
      </c>
      <c r="J65" s="282">
        <v>400000</v>
      </c>
      <c r="K65" s="286">
        <v>1</v>
      </c>
    </row>
    <row r="66" spans="2:11" ht="121.5" thickTop="1" thickBot="1" x14ac:dyDescent="0.25">
      <c r="B66" s="274" t="s">
        <v>1173</v>
      </c>
      <c r="C66" s="274" t="s">
        <v>1174</v>
      </c>
      <c r="D66" s="274" t="s">
        <v>225</v>
      </c>
      <c r="E66" s="274" t="s">
        <v>1177</v>
      </c>
      <c r="F66" s="285" t="s">
        <v>1287</v>
      </c>
      <c r="G66" s="278" t="s">
        <v>669</v>
      </c>
      <c r="H66" s="279">
        <v>1396945</v>
      </c>
      <c r="I66" s="286">
        <v>0</v>
      </c>
      <c r="J66" s="284">
        <v>700000</v>
      </c>
      <c r="K66" s="286">
        <v>1</v>
      </c>
    </row>
    <row r="67" spans="2:11" ht="61.5" thickTop="1" thickBot="1" x14ac:dyDescent="0.25">
      <c r="B67" s="274" t="s">
        <v>1173</v>
      </c>
      <c r="C67" s="274" t="s">
        <v>1174</v>
      </c>
      <c r="D67" s="274" t="s">
        <v>225</v>
      </c>
      <c r="E67" s="274" t="s">
        <v>1177</v>
      </c>
      <c r="F67" s="285" t="s">
        <v>1180</v>
      </c>
      <c r="G67" s="278" t="s">
        <v>669</v>
      </c>
      <c r="H67" s="279"/>
      <c r="I67" s="286">
        <v>0</v>
      </c>
      <c r="J67" s="282">
        <v>400000</v>
      </c>
      <c r="K67" s="286">
        <v>1</v>
      </c>
    </row>
    <row r="68" spans="2:11" ht="121.5" thickTop="1" thickBot="1" x14ac:dyDescent="0.25">
      <c r="B68" s="274" t="s">
        <v>1173</v>
      </c>
      <c r="C68" s="274" t="s">
        <v>1174</v>
      </c>
      <c r="D68" s="274" t="s">
        <v>225</v>
      </c>
      <c r="E68" s="274" t="s">
        <v>1177</v>
      </c>
      <c r="F68" s="285" t="s">
        <v>1178</v>
      </c>
      <c r="G68" s="278" t="s">
        <v>669</v>
      </c>
      <c r="H68" s="279"/>
      <c r="I68" s="286">
        <v>0</v>
      </c>
      <c r="J68" s="282">
        <v>700000</v>
      </c>
      <c r="K68" s="286">
        <v>1</v>
      </c>
    </row>
    <row r="69" spans="2:11" ht="151.5" thickTop="1" thickBot="1" x14ac:dyDescent="0.25">
      <c r="B69" s="274" t="s">
        <v>1173</v>
      </c>
      <c r="C69" s="274" t="s">
        <v>1174</v>
      </c>
      <c r="D69" s="274" t="s">
        <v>225</v>
      </c>
      <c r="E69" s="274" t="s">
        <v>1177</v>
      </c>
      <c r="F69" s="285" t="s">
        <v>1288</v>
      </c>
      <c r="G69" s="278" t="s">
        <v>669</v>
      </c>
      <c r="H69" s="279">
        <v>1957290</v>
      </c>
      <c r="I69" s="286">
        <v>0</v>
      </c>
      <c r="J69" s="284">
        <v>700000</v>
      </c>
      <c r="K69" s="286">
        <v>1</v>
      </c>
    </row>
    <row r="70" spans="2:11" ht="76.5" thickTop="1" thickBot="1" x14ac:dyDescent="0.25">
      <c r="B70" s="274" t="s">
        <v>1173</v>
      </c>
      <c r="C70" s="274" t="s">
        <v>1174</v>
      </c>
      <c r="D70" s="274" t="s">
        <v>225</v>
      </c>
      <c r="E70" s="274" t="s">
        <v>1177</v>
      </c>
      <c r="F70" s="285" t="s">
        <v>1268</v>
      </c>
      <c r="G70" s="281" t="s">
        <v>533</v>
      </c>
      <c r="H70" s="282">
        <v>1498929</v>
      </c>
      <c r="I70" s="283">
        <f>(59000/H70)</f>
        <v>3.9361437399636677E-2</v>
      </c>
      <c r="J70" s="284">
        <v>690360</v>
      </c>
      <c r="K70" s="286">
        <f>(J70+59000+750000)/H70</f>
        <v>1.0002875386359193</v>
      </c>
    </row>
    <row r="71" spans="2:11" ht="46.5" thickTop="1" thickBot="1" x14ac:dyDescent="0.25">
      <c r="B71" s="274" t="s">
        <v>821</v>
      </c>
      <c r="C71" s="274" t="s">
        <v>227</v>
      </c>
      <c r="D71" s="274" t="s">
        <v>202</v>
      </c>
      <c r="E71" s="274" t="s">
        <v>547</v>
      </c>
      <c r="F71" s="280" t="s">
        <v>580</v>
      </c>
      <c r="G71" s="278"/>
      <c r="H71" s="279"/>
      <c r="I71" s="286"/>
      <c r="J71" s="284">
        <f>(177100)+31000</f>
        <v>208100</v>
      </c>
      <c r="K71" s="286"/>
    </row>
    <row r="72" spans="2:11" ht="76.5" thickTop="1" thickBot="1" x14ac:dyDescent="0.25">
      <c r="B72" s="274" t="s">
        <v>821</v>
      </c>
      <c r="C72" s="274" t="s">
        <v>227</v>
      </c>
      <c r="D72" s="274" t="s">
        <v>202</v>
      </c>
      <c r="E72" s="274" t="s">
        <v>547</v>
      </c>
      <c r="F72" s="280" t="s">
        <v>1266</v>
      </c>
      <c r="G72" s="278" t="s">
        <v>583</v>
      </c>
      <c r="H72" s="282">
        <v>20652516.420000002</v>
      </c>
      <c r="I72" s="286">
        <f>(10870900.41+3614326)/H72</f>
        <v>0.70137827833766708</v>
      </c>
      <c r="J72" s="276">
        <f>((761045)+2000000)-352450</f>
        <v>2408595</v>
      </c>
      <c r="K72" s="286">
        <f>(10870900.41+3614326+J72)/H72</f>
        <v>0.81800304943178437</v>
      </c>
    </row>
    <row r="73" spans="2:11" ht="196.5" thickTop="1" thickBot="1" x14ac:dyDescent="0.25">
      <c r="B73" s="274" t="s">
        <v>822</v>
      </c>
      <c r="C73" s="274" t="s">
        <v>823</v>
      </c>
      <c r="D73" s="274" t="s">
        <v>230</v>
      </c>
      <c r="E73" s="274" t="s">
        <v>824</v>
      </c>
      <c r="F73" s="275" t="s">
        <v>1385</v>
      </c>
      <c r="G73" s="278" t="s">
        <v>669</v>
      </c>
      <c r="H73" s="279">
        <v>694101.74</v>
      </c>
      <c r="I73" s="286">
        <v>0</v>
      </c>
      <c r="J73" s="276">
        <f>(15000)+300000</f>
        <v>315000</v>
      </c>
      <c r="K73" s="286">
        <f>J73/H73</f>
        <v>0.45382395958263988</v>
      </c>
    </row>
    <row r="74" spans="2:11" ht="166.5" thickTop="1" thickBot="1" x14ac:dyDescent="0.25">
      <c r="B74" s="274" t="s">
        <v>822</v>
      </c>
      <c r="C74" s="274" t="s">
        <v>823</v>
      </c>
      <c r="D74" s="274" t="s">
        <v>230</v>
      </c>
      <c r="E74" s="274" t="s">
        <v>824</v>
      </c>
      <c r="F74" s="280" t="s">
        <v>1158</v>
      </c>
      <c r="G74" s="278" t="s">
        <v>669</v>
      </c>
      <c r="H74" s="279">
        <v>1170637</v>
      </c>
      <c r="I74" s="286">
        <v>0</v>
      </c>
      <c r="J74" s="276">
        <v>1170637</v>
      </c>
      <c r="K74" s="286">
        <f>J74/H74</f>
        <v>1</v>
      </c>
    </row>
    <row r="75" spans="2:11" ht="76.5" thickTop="1" thickBot="1" x14ac:dyDescent="0.25">
      <c r="B75" s="274" t="s">
        <v>822</v>
      </c>
      <c r="C75" s="274" t="s">
        <v>823</v>
      </c>
      <c r="D75" s="274" t="s">
        <v>230</v>
      </c>
      <c r="E75" s="274" t="s">
        <v>824</v>
      </c>
      <c r="F75" s="280" t="s">
        <v>1159</v>
      </c>
      <c r="G75" s="278" t="s">
        <v>589</v>
      </c>
      <c r="H75" s="279">
        <v>4786834</v>
      </c>
      <c r="I75" s="286">
        <f>(199700+1000000+2898451.2)/H75</f>
        <v>0.85612979267716416</v>
      </c>
      <c r="J75" s="276">
        <v>542580</v>
      </c>
      <c r="K75" s="286">
        <v>1</v>
      </c>
    </row>
    <row r="76" spans="2:11" ht="46.5" thickTop="1" thickBot="1" x14ac:dyDescent="0.25">
      <c r="B76" s="274" t="s">
        <v>837</v>
      </c>
      <c r="C76" s="274" t="s">
        <v>838</v>
      </c>
      <c r="D76" s="274" t="s">
        <v>231</v>
      </c>
      <c r="E76" s="274" t="s">
        <v>839</v>
      </c>
      <c r="F76" s="280" t="s">
        <v>580</v>
      </c>
      <c r="G76" s="278"/>
      <c r="H76" s="279"/>
      <c r="I76" s="286"/>
      <c r="J76" s="276">
        <v>50000</v>
      </c>
      <c r="K76" s="286"/>
    </row>
    <row r="77" spans="2:11" ht="46.5" thickTop="1" thickBot="1" x14ac:dyDescent="0.25">
      <c r="B77" s="274" t="s">
        <v>807</v>
      </c>
      <c r="C77" s="274" t="s">
        <v>808</v>
      </c>
      <c r="D77" s="274" t="s">
        <v>231</v>
      </c>
      <c r="E77" s="274" t="s">
        <v>809</v>
      </c>
      <c r="F77" s="280" t="s">
        <v>580</v>
      </c>
      <c r="G77" s="278"/>
      <c r="H77" s="279"/>
      <c r="I77" s="286"/>
      <c r="J77" s="276">
        <v>50000</v>
      </c>
      <c r="K77" s="286"/>
    </row>
    <row r="78" spans="2:11" ht="91.5" customHeight="1" thickTop="1" thickBot="1" x14ac:dyDescent="0.25">
      <c r="B78" s="274" t="s">
        <v>815</v>
      </c>
      <c r="C78" s="274" t="s">
        <v>816</v>
      </c>
      <c r="D78" s="274" t="s">
        <v>231</v>
      </c>
      <c r="E78" s="274" t="s">
        <v>817</v>
      </c>
      <c r="F78" s="280" t="s">
        <v>580</v>
      </c>
      <c r="G78" s="281"/>
      <c r="H78" s="282"/>
      <c r="I78" s="282"/>
      <c r="J78" s="284">
        <f>'d3'!K66</f>
        <v>2117071</v>
      </c>
      <c r="K78" s="284"/>
    </row>
    <row r="79" spans="2:11" ht="91.5" customHeight="1" thickTop="1" thickBot="1" x14ac:dyDescent="0.25">
      <c r="B79" s="274" t="s">
        <v>1295</v>
      </c>
      <c r="C79" s="274" t="s">
        <v>1296</v>
      </c>
      <c r="D79" s="274" t="s">
        <v>231</v>
      </c>
      <c r="E79" s="274" t="s">
        <v>1297</v>
      </c>
      <c r="F79" s="280" t="s">
        <v>580</v>
      </c>
      <c r="G79" s="281"/>
      <c r="H79" s="282"/>
      <c r="I79" s="282"/>
      <c r="J79" s="284">
        <v>1383129</v>
      </c>
      <c r="K79" s="284"/>
    </row>
    <row r="80" spans="2:11" ht="117" customHeight="1" thickTop="1" thickBot="1" x14ac:dyDescent="0.25">
      <c r="B80" s="274" t="s">
        <v>1329</v>
      </c>
      <c r="C80" s="274" t="s">
        <v>1331</v>
      </c>
      <c r="D80" s="274" t="s">
        <v>231</v>
      </c>
      <c r="E80" s="274" t="s">
        <v>1333</v>
      </c>
      <c r="F80" s="280" t="s">
        <v>580</v>
      </c>
      <c r="G80" s="281"/>
      <c r="H80" s="282"/>
      <c r="I80" s="282"/>
      <c r="J80" s="284">
        <v>4547046.18</v>
      </c>
      <c r="K80" s="284"/>
    </row>
    <row r="81" spans="2:11" ht="72.75" customHeight="1" thickTop="1" x14ac:dyDescent="0.2">
      <c r="B81" s="848" t="s">
        <v>1357</v>
      </c>
      <c r="C81" s="848" t="s">
        <v>1358</v>
      </c>
      <c r="D81" s="848" t="s">
        <v>231</v>
      </c>
      <c r="E81" s="848" t="s">
        <v>1359</v>
      </c>
      <c r="F81" s="841" t="s">
        <v>580</v>
      </c>
      <c r="G81" s="836"/>
      <c r="H81" s="836"/>
      <c r="I81" s="836"/>
      <c r="J81" s="836">
        <v>10623233.82</v>
      </c>
      <c r="K81" s="836"/>
    </row>
    <row r="82" spans="2:11" ht="58.5" customHeight="1" thickBot="1" x14ac:dyDescent="0.25">
      <c r="B82" s="849"/>
      <c r="C82" s="849"/>
      <c r="D82" s="849"/>
      <c r="E82" s="849"/>
      <c r="F82" s="788"/>
      <c r="G82" s="837"/>
      <c r="H82" s="837"/>
      <c r="I82" s="837"/>
      <c r="J82" s="837"/>
      <c r="K82" s="837"/>
    </row>
    <row r="83" spans="2:11" ht="61.5" thickTop="1" thickBot="1" x14ac:dyDescent="0.25">
      <c r="B83" s="274" t="s">
        <v>804</v>
      </c>
      <c r="C83" s="274" t="s">
        <v>805</v>
      </c>
      <c r="D83" s="274" t="s">
        <v>231</v>
      </c>
      <c r="E83" s="274" t="s">
        <v>806</v>
      </c>
      <c r="F83" s="280" t="s">
        <v>580</v>
      </c>
      <c r="G83" s="278"/>
      <c r="H83" s="279"/>
      <c r="I83" s="279"/>
      <c r="J83" s="276">
        <f>2396198</f>
        <v>2396198</v>
      </c>
      <c r="K83" s="276"/>
    </row>
    <row r="84" spans="2:11" ht="76.5" thickTop="1" thickBot="1" x14ac:dyDescent="0.25">
      <c r="B84" s="274" t="s">
        <v>1218</v>
      </c>
      <c r="C84" s="274" t="s">
        <v>1219</v>
      </c>
      <c r="D84" s="274" t="s">
        <v>231</v>
      </c>
      <c r="E84" s="274" t="s">
        <v>1220</v>
      </c>
      <c r="F84" s="280" t="s">
        <v>580</v>
      </c>
      <c r="G84" s="278"/>
      <c r="H84" s="279"/>
      <c r="I84" s="279"/>
      <c r="J84" s="276">
        <v>576190</v>
      </c>
      <c r="K84" s="276"/>
    </row>
    <row r="85" spans="2:11" ht="91.5" thickTop="1" thickBot="1" x14ac:dyDescent="0.25">
      <c r="B85" s="274" t="s">
        <v>1335</v>
      </c>
      <c r="C85" s="274" t="s">
        <v>1337</v>
      </c>
      <c r="D85" s="274" t="s">
        <v>231</v>
      </c>
      <c r="E85" s="274" t="s">
        <v>1339</v>
      </c>
      <c r="F85" s="280" t="s">
        <v>580</v>
      </c>
      <c r="G85" s="278"/>
      <c r="H85" s="279"/>
      <c r="I85" s="279"/>
      <c r="J85" s="276">
        <v>100000</v>
      </c>
      <c r="K85" s="276"/>
    </row>
    <row r="86" spans="2:11" ht="91.5" thickTop="1" thickBot="1" x14ac:dyDescent="0.25">
      <c r="B86" s="274" t="s">
        <v>1335</v>
      </c>
      <c r="C86" s="274" t="s">
        <v>1337</v>
      </c>
      <c r="D86" s="274" t="s">
        <v>231</v>
      </c>
      <c r="E86" s="274" t="s">
        <v>1339</v>
      </c>
      <c r="F86" s="280" t="s">
        <v>1340</v>
      </c>
      <c r="G86" s="281" t="s">
        <v>597</v>
      </c>
      <c r="H86" s="282">
        <v>1495500</v>
      </c>
      <c r="I86" s="283">
        <f>(29721.47+18900+13600)/H86</f>
        <v>4.1605797392176527E-2</v>
      </c>
      <c r="J86" s="276">
        <v>1400000</v>
      </c>
      <c r="K86" s="283">
        <f>(29721.47+18900+13600+J86)/H86</f>
        <v>0.97774755600133734</v>
      </c>
    </row>
    <row r="87" spans="2:11" ht="46.5" thickTop="1" thickBot="1" x14ac:dyDescent="0.25">
      <c r="B87" s="699" t="s">
        <v>171</v>
      </c>
      <c r="C87" s="699"/>
      <c r="D87" s="699"/>
      <c r="E87" s="700" t="s">
        <v>18</v>
      </c>
      <c r="F87" s="701"/>
      <c r="G87" s="702"/>
      <c r="H87" s="702"/>
      <c r="I87" s="702"/>
      <c r="J87" s="701">
        <f>J88</f>
        <v>21628518</v>
      </c>
      <c r="K87" s="701"/>
    </row>
    <row r="88" spans="2:11" ht="44.25" thickTop="1" thickBot="1" x14ac:dyDescent="0.25">
      <c r="B88" s="703" t="s">
        <v>172</v>
      </c>
      <c r="C88" s="703"/>
      <c r="D88" s="703"/>
      <c r="E88" s="704" t="s">
        <v>38</v>
      </c>
      <c r="F88" s="705"/>
      <c r="G88" s="705"/>
      <c r="H88" s="705"/>
      <c r="I88" s="705"/>
      <c r="J88" s="705">
        <f>SUM(J89:J104)</f>
        <v>21628518</v>
      </c>
      <c r="K88" s="705"/>
    </row>
    <row r="89" spans="2:11" ht="91.5" thickTop="1" thickBot="1" x14ac:dyDescent="0.25">
      <c r="B89" s="277" t="s">
        <v>468</v>
      </c>
      <c r="C89" s="277" t="s">
        <v>218</v>
      </c>
      <c r="D89" s="277" t="s">
        <v>187</v>
      </c>
      <c r="E89" s="277" t="s">
        <v>36</v>
      </c>
      <c r="F89" s="322" t="s">
        <v>749</v>
      </c>
      <c r="G89" s="278"/>
      <c r="H89" s="279"/>
      <c r="I89" s="286"/>
      <c r="J89" s="276">
        <f>((437500)+3000000+500000+1500000)-437500</f>
        <v>5000000</v>
      </c>
      <c r="K89" s="286"/>
    </row>
    <row r="90" spans="2:11" ht="136.5" thickTop="1" thickBot="1" x14ac:dyDescent="0.25">
      <c r="B90" s="277" t="s">
        <v>468</v>
      </c>
      <c r="C90" s="277" t="s">
        <v>218</v>
      </c>
      <c r="D90" s="277" t="s">
        <v>187</v>
      </c>
      <c r="E90" s="277" t="s">
        <v>36</v>
      </c>
      <c r="F90" s="322" t="s">
        <v>750</v>
      </c>
      <c r="G90" s="278" t="s">
        <v>533</v>
      </c>
      <c r="H90" s="279">
        <v>725500</v>
      </c>
      <c r="I90" s="286">
        <f>457500/H90</f>
        <v>0.63059958649207448</v>
      </c>
      <c r="J90" s="276">
        <v>268000</v>
      </c>
      <c r="K90" s="286">
        <f>(J90+457500)/H90</f>
        <v>1</v>
      </c>
    </row>
    <row r="91" spans="2:11" ht="181.5" thickTop="1" thickBot="1" x14ac:dyDescent="0.25">
      <c r="B91" s="277" t="s">
        <v>468</v>
      </c>
      <c r="C91" s="277" t="s">
        <v>218</v>
      </c>
      <c r="D91" s="277" t="s">
        <v>187</v>
      </c>
      <c r="E91" s="277" t="s">
        <v>36</v>
      </c>
      <c r="F91" s="285" t="s">
        <v>705</v>
      </c>
      <c r="G91" s="281" t="s">
        <v>533</v>
      </c>
      <c r="H91" s="282">
        <v>1860900</v>
      </c>
      <c r="I91" s="283">
        <f>(49400)/H91</f>
        <v>2.6546294803589662E-2</v>
      </c>
      <c r="J91" s="284">
        <f>(900000)+557681</f>
        <v>1457681</v>
      </c>
      <c r="K91" s="283">
        <v>1</v>
      </c>
    </row>
    <row r="92" spans="2:11" ht="91.5" thickTop="1" thickBot="1" x14ac:dyDescent="0.25">
      <c r="B92" s="277" t="s">
        <v>468</v>
      </c>
      <c r="C92" s="277" t="s">
        <v>218</v>
      </c>
      <c r="D92" s="277" t="s">
        <v>187</v>
      </c>
      <c r="E92" s="274" t="s">
        <v>36</v>
      </c>
      <c r="F92" s="323" t="s">
        <v>584</v>
      </c>
      <c r="G92" s="281"/>
      <c r="H92" s="282"/>
      <c r="I92" s="283"/>
      <c r="J92" s="284">
        <f>((129406)+800000)+4000000</f>
        <v>4929406</v>
      </c>
      <c r="K92" s="283"/>
    </row>
    <row r="93" spans="2:11" ht="151.5" thickTop="1" thickBot="1" x14ac:dyDescent="0.25">
      <c r="B93" s="277" t="s">
        <v>468</v>
      </c>
      <c r="C93" s="277" t="s">
        <v>218</v>
      </c>
      <c r="D93" s="277" t="s">
        <v>187</v>
      </c>
      <c r="E93" s="277" t="s">
        <v>36</v>
      </c>
      <c r="F93" s="322" t="s">
        <v>706</v>
      </c>
      <c r="G93" s="281" t="s">
        <v>597</v>
      </c>
      <c r="H93" s="282">
        <v>2286900</v>
      </c>
      <c r="I93" s="283">
        <f>41107/H93</f>
        <v>1.7974987974987974E-2</v>
      </c>
      <c r="J93" s="284">
        <f>2286900-41107</f>
        <v>2245793</v>
      </c>
      <c r="K93" s="283">
        <f>(J93+41107)/H93</f>
        <v>1</v>
      </c>
    </row>
    <row r="94" spans="2:11" ht="151.5" thickTop="1" thickBot="1" x14ac:dyDescent="0.25">
      <c r="B94" s="277" t="s">
        <v>468</v>
      </c>
      <c r="C94" s="277" t="s">
        <v>218</v>
      </c>
      <c r="D94" s="277" t="s">
        <v>187</v>
      </c>
      <c r="E94" s="277" t="s">
        <v>36</v>
      </c>
      <c r="F94" s="322" t="s">
        <v>746</v>
      </c>
      <c r="G94" s="281" t="s">
        <v>747</v>
      </c>
      <c r="H94" s="282">
        <v>24579593</v>
      </c>
      <c r="I94" s="283">
        <f>600000/H94</f>
        <v>2.4410493696946079E-2</v>
      </c>
      <c r="J94" s="284">
        <f>(500000)+1000000</f>
        <v>1500000</v>
      </c>
      <c r="K94" s="283">
        <f>(J94+600000)/H94</f>
        <v>8.5436727939311286E-2</v>
      </c>
    </row>
    <row r="95" spans="2:11" ht="91.5" thickTop="1" thickBot="1" x14ac:dyDescent="0.25">
      <c r="B95" s="277" t="s">
        <v>468</v>
      </c>
      <c r="C95" s="277" t="s">
        <v>218</v>
      </c>
      <c r="D95" s="277" t="s">
        <v>187</v>
      </c>
      <c r="E95" s="277" t="s">
        <v>36</v>
      </c>
      <c r="F95" s="322" t="s">
        <v>601</v>
      </c>
      <c r="G95" s="278"/>
      <c r="H95" s="279"/>
      <c r="I95" s="286"/>
      <c r="J95" s="276">
        <f>((1000000)+952000+1000000+500000)-433000</f>
        <v>3019000</v>
      </c>
      <c r="K95" s="286"/>
    </row>
    <row r="96" spans="2:11" ht="136.5" thickTop="1" thickBot="1" x14ac:dyDescent="0.25">
      <c r="B96" s="277" t="s">
        <v>468</v>
      </c>
      <c r="C96" s="277" t="s">
        <v>218</v>
      </c>
      <c r="D96" s="277" t="s">
        <v>187</v>
      </c>
      <c r="E96" s="277" t="s">
        <v>36</v>
      </c>
      <c r="F96" s="322" t="s">
        <v>1381</v>
      </c>
      <c r="G96" s="281" t="s">
        <v>669</v>
      </c>
      <c r="H96" s="282">
        <v>299806.42</v>
      </c>
      <c r="I96" s="283">
        <v>0</v>
      </c>
      <c r="J96" s="284">
        <v>299806</v>
      </c>
      <c r="K96" s="283">
        <f>(J96)/H96</f>
        <v>0.99999859909604338</v>
      </c>
    </row>
    <row r="97" spans="2:11" ht="151.5" thickTop="1" thickBot="1" x14ac:dyDescent="0.25">
      <c r="B97" s="277" t="s">
        <v>468</v>
      </c>
      <c r="C97" s="277" t="s">
        <v>218</v>
      </c>
      <c r="D97" s="277" t="s">
        <v>187</v>
      </c>
      <c r="E97" s="277" t="s">
        <v>36</v>
      </c>
      <c r="F97" s="323" t="s">
        <v>1304</v>
      </c>
      <c r="G97" s="281" t="s">
        <v>669</v>
      </c>
      <c r="H97" s="282">
        <v>305590</v>
      </c>
      <c r="I97" s="283">
        <v>0</v>
      </c>
      <c r="J97" s="284">
        <v>305590</v>
      </c>
      <c r="K97" s="283">
        <f>(J97)/H97</f>
        <v>1</v>
      </c>
    </row>
    <row r="98" spans="2:11" ht="91.5" thickTop="1" thickBot="1" x14ac:dyDescent="0.25">
      <c r="B98" s="277" t="s">
        <v>468</v>
      </c>
      <c r="C98" s="277" t="s">
        <v>218</v>
      </c>
      <c r="D98" s="277" t="s">
        <v>187</v>
      </c>
      <c r="E98" s="277" t="s">
        <v>36</v>
      </c>
      <c r="F98" s="322" t="s">
        <v>774</v>
      </c>
      <c r="G98" s="281"/>
      <c r="H98" s="282"/>
      <c r="I98" s="283"/>
      <c r="J98" s="284">
        <f>(500000)+300000</f>
        <v>800000</v>
      </c>
      <c r="K98" s="283"/>
    </row>
    <row r="99" spans="2:11" ht="106.5" thickTop="1" thickBot="1" x14ac:dyDescent="0.25">
      <c r="B99" s="277" t="s">
        <v>468</v>
      </c>
      <c r="C99" s="277" t="s">
        <v>218</v>
      </c>
      <c r="D99" s="277" t="s">
        <v>187</v>
      </c>
      <c r="E99" s="277" t="s">
        <v>36</v>
      </c>
      <c r="F99" s="322" t="s">
        <v>585</v>
      </c>
      <c r="G99" s="278"/>
      <c r="H99" s="279"/>
      <c r="I99" s="278"/>
      <c r="J99" s="276">
        <f>(700000+136258+107000)-100000</f>
        <v>843258</v>
      </c>
      <c r="K99" s="283"/>
    </row>
    <row r="100" spans="2:11" ht="151.5" thickTop="1" thickBot="1" x14ac:dyDescent="0.25">
      <c r="B100" s="277" t="s">
        <v>468</v>
      </c>
      <c r="C100" s="277" t="s">
        <v>218</v>
      </c>
      <c r="D100" s="277" t="s">
        <v>187</v>
      </c>
      <c r="E100" s="277" t="s">
        <v>36</v>
      </c>
      <c r="F100" s="322" t="s">
        <v>748</v>
      </c>
      <c r="G100" s="281" t="s">
        <v>669</v>
      </c>
      <c r="H100" s="284">
        <v>77072</v>
      </c>
      <c r="I100" s="283">
        <v>0</v>
      </c>
      <c r="J100" s="284">
        <f>(77072)-15799.79</f>
        <v>61272.21</v>
      </c>
      <c r="K100" s="283">
        <v>1</v>
      </c>
    </row>
    <row r="101" spans="2:11" ht="151.5" thickTop="1" thickBot="1" x14ac:dyDescent="0.25">
      <c r="B101" s="277" t="s">
        <v>468</v>
      </c>
      <c r="C101" s="277" t="s">
        <v>218</v>
      </c>
      <c r="D101" s="277" t="s">
        <v>187</v>
      </c>
      <c r="E101" s="277" t="s">
        <v>36</v>
      </c>
      <c r="F101" s="322" t="s">
        <v>1199</v>
      </c>
      <c r="G101" s="281" t="s">
        <v>669</v>
      </c>
      <c r="H101" s="279">
        <v>123940</v>
      </c>
      <c r="I101" s="283">
        <v>0</v>
      </c>
      <c r="J101" s="276">
        <f>(123940)-35040.21</f>
        <v>88899.790000000008</v>
      </c>
      <c r="K101" s="283">
        <v>1</v>
      </c>
    </row>
    <row r="102" spans="2:11" ht="151.5" thickTop="1" thickBot="1" x14ac:dyDescent="0.25">
      <c r="B102" s="277" t="s">
        <v>468</v>
      </c>
      <c r="C102" s="277" t="s">
        <v>218</v>
      </c>
      <c r="D102" s="277" t="s">
        <v>187</v>
      </c>
      <c r="E102" s="277" t="s">
        <v>36</v>
      </c>
      <c r="F102" s="322" t="s">
        <v>1310</v>
      </c>
      <c r="G102" s="281" t="s">
        <v>669</v>
      </c>
      <c r="H102" s="279">
        <v>76903</v>
      </c>
      <c r="I102" s="283">
        <v>0</v>
      </c>
      <c r="J102" s="276">
        <v>50840</v>
      </c>
      <c r="K102" s="283">
        <v>1</v>
      </c>
    </row>
    <row r="103" spans="2:11" ht="121.5" thickTop="1" thickBot="1" x14ac:dyDescent="0.25">
      <c r="B103" s="277" t="s">
        <v>468</v>
      </c>
      <c r="C103" s="277" t="s">
        <v>218</v>
      </c>
      <c r="D103" s="277" t="s">
        <v>187</v>
      </c>
      <c r="E103" s="277" t="s">
        <v>36</v>
      </c>
      <c r="F103" s="322" t="s">
        <v>1382</v>
      </c>
      <c r="G103" s="281" t="s">
        <v>669</v>
      </c>
      <c r="H103" s="279">
        <v>403924</v>
      </c>
      <c r="I103" s="283">
        <v>0</v>
      </c>
      <c r="J103" s="276">
        <v>403924</v>
      </c>
      <c r="K103" s="283">
        <f>(J103)/H103</f>
        <v>1</v>
      </c>
    </row>
    <row r="104" spans="2:11" ht="136.5" thickTop="1" thickBot="1" x14ac:dyDescent="0.25">
      <c r="B104" s="277" t="s">
        <v>468</v>
      </c>
      <c r="C104" s="277" t="s">
        <v>218</v>
      </c>
      <c r="D104" s="277" t="s">
        <v>187</v>
      </c>
      <c r="E104" s="277" t="s">
        <v>36</v>
      </c>
      <c r="F104" s="323" t="s">
        <v>1130</v>
      </c>
      <c r="G104" s="281" t="s">
        <v>533</v>
      </c>
      <c r="H104" s="282">
        <v>355048</v>
      </c>
      <c r="I104" s="283">
        <v>0</v>
      </c>
      <c r="J104" s="284">
        <v>355048</v>
      </c>
      <c r="K104" s="283">
        <f>(J104)/H104</f>
        <v>1</v>
      </c>
    </row>
    <row r="105" spans="2:11" ht="46.5" thickTop="1" thickBot="1" x14ac:dyDescent="0.25">
      <c r="B105" s="699" t="s">
        <v>173</v>
      </c>
      <c r="C105" s="699"/>
      <c r="D105" s="699"/>
      <c r="E105" s="700" t="s">
        <v>39</v>
      </c>
      <c r="F105" s="701"/>
      <c r="G105" s="702"/>
      <c r="H105" s="702"/>
      <c r="I105" s="702"/>
      <c r="J105" s="701">
        <f>J106</f>
        <v>8740995</v>
      </c>
      <c r="K105" s="701"/>
    </row>
    <row r="106" spans="2:11" ht="58.5" thickTop="1" thickBot="1" x14ac:dyDescent="0.25">
      <c r="B106" s="703" t="s">
        <v>174</v>
      </c>
      <c r="C106" s="703"/>
      <c r="D106" s="703"/>
      <c r="E106" s="704" t="s">
        <v>40</v>
      </c>
      <c r="F106" s="705"/>
      <c r="G106" s="705"/>
      <c r="H106" s="705"/>
      <c r="I106" s="705"/>
      <c r="J106" s="705">
        <f>SUM(J107:J118)</f>
        <v>8740995</v>
      </c>
      <c r="K106" s="705"/>
    </row>
    <row r="107" spans="2:11" ht="46.5" thickTop="1" thickBot="1" x14ac:dyDescent="0.25">
      <c r="B107" s="277" t="s">
        <v>445</v>
      </c>
      <c r="C107" s="277" t="s">
        <v>257</v>
      </c>
      <c r="D107" s="277" t="s">
        <v>255</v>
      </c>
      <c r="E107" s="277" t="s">
        <v>256</v>
      </c>
      <c r="F107" s="322" t="s">
        <v>580</v>
      </c>
      <c r="G107" s="278"/>
      <c r="H107" s="279"/>
      <c r="I107" s="278"/>
      <c r="J107" s="279">
        <f>(911000)+49000</f>
        <v>960000</v>
      </c>
      <c r="K107" s="279"/>
    </row>
    <row r="108" spans="2:11" ht="76.5" thickTop="1" thickBot="1" x14ac:dyDescent="0.25">
      <c r="B108" s="277" t="s">
        <v>445</v>
      </c>
      <c r="C108" s="277" t="s">
        <v>257</v>
      </c>
      <c r="D108" s="277" t="s">
        <v>255</v>
      </c>
      <c r="E108" s="277" t="s">
        <v>256</v>
      </c>
      <c r="F108" s="322" t="s">
        <v>1143</v>
      </c>
      <c r="G108" s="278" t="s">
        <v>597</v>
      </c>
      <c r="H108" s="279">
        <v>1439300</v>
      </c>
      <c r="I108" s="283">
        <f>850000/H108</f>
        <v>0.59056485791704305</v>
      </c>
      <c r="J108" s="279">
        <v>250000</v>
      </c>
      <c r="K108" s="283">
        <v>1</v>
      </c>
    </row>
    <row r="109" spans="2:11" ht="31.5" thickTop="1" thickBot="1" x14ac:dyDescent="0.25">
      <c r="B109" s="277" t="s">
        <v>290</v>
      </c>
      <c r="C109" s="277" t="s">
        <v>291</v>
      </c>
      <c r="D109" s="277" t="s">
        <v>226</v>
      </c>
      <c r="E109" s="324" t="s">
        <v>292</v>
      </c>
      <c r="F109" s="275" t="s">
        <v>586</v>
      </c>
      <c r="G109" s="278" t="s">
        <v>669</v>
      </c>
      <c r="H109" s="325"/>
      <c r="I109" s="329">
        <v>0</v>
      </c>
      <c r="J109" s="276">
        <v>199000</v>
      </c>
      <c r="K109" s="286">
        <v>1</v>
      </c>
    </row>
    <row r="110" spans="2:11" ht="61.5" thickTop="1" thickBot="1" x14ac:dyDescent="0.25">
      <c r="B110" s="277" t="s">
        <v>288</v>
      </c>
      <c r="C110" s="277" t="s">
        <v>286</v>
      </c>
      <c r="D110" s="277" t="s">
        <v>221</v>
      </c>
      <c r="E110" s="277" t="s">
        <v>17</v>
      </c>
      <c r="F110" s="322" t="s">
        <v>580</v>
      </c>
      <c r="G110" s="278"/>
      <c r="H110" s="325"/>
      <c r="I110" s="326"/>
      <c r="J110" s="276">
        <f>58000+15000+25000+30000</f>
        <v>128000</v>
      </c>
      <c r="K110" s="286"/>
    </row>
    <row r="111" spans="2:11" ht="31.5" thickTop="1" thickBot="1" x14ac:dyDescent="0.25">
      <c r="B111" s="277" t="s">
        <v>289</v>
      </c>
      <c r="C111" s="277" t="s">
        <v>287</v>
      </c>
      <c r="D111" s="277" t="s">
        <v>220</v>
      </c>
      <c r="E111" s="277" t="s">
        <v>493</v>
      </c>
      <c r="F111" s="322" t="s">
        <v>580</v>
      </c>
      <c r="G111" s="278"/>
      <c r="H111" s="325"/>
      <c r="I111" s="326"/>
      <c r="J111" s="276">
        <v>43440</v>
      </c>
      <c r="K111" s="286"/>
    </row>
    <row r="112" spans="2:11" ht="61.5" thickTop="1" thickBot="1" x14ac:dyDescent="0.25">
      <c r="B112" s="277" t="s">
        <v>1362</v>
      </c>
      <c r="C112" s="277" t="s">
        <v>1363</v>
      </c>
      <c r="D112" s="277" t="s">
        <v>206</v>
      </c>
      <c r="E112" s="277" t="s">
        <v>1364</v>
      </c>
      <c r="F112" s="322" t="s">
        <v>580</v>
      </c>
      <c r="G112" s="278"/>
      <c r="H112" s="325"/>
      <c r="I112" s="326"/>
      <c r="J112" s="276">
        <f>166110+1240000</f>
        <v>1406110</v>
      </c>
      <c r="K112" s="286"/>
    </row>
    <row r="113" spans="1:11" ht="91.5" thickTop="1" thickBot="1" x14ac:dyDescent="0.25">
      <c r="B113" s="277" t="s">
        <v>1362</v>
      </c>
      <c r="C113" s="277" t="s">
        <v>1363</v>
      </c>
      <c r="D113" s="277" t="s">
        <v>206</v>
      </c>
      <c r="E113" s="277" t="s">
        <v>1364</v>
      </c>
      <c r="F113" s="322" t="s">
        <v>1383</v>
      </c>
      <c r="G113" s="278" t="s">
        <v>669</v>
      </c>
      <c r="H113" s="276">
        <v>898105</v>
      </c>
      <c r="I113" s="329">
        <v>0</v>
      </c>
      <c r="J113" s="276">
        <v>898105</v>
      </c>
      <c r="K113" s="286">
        <v>1</v>
      </c>
    </row>
    <row r="114" spans="1:11" ht="46.5" thickTop="1" thickBot="1" x14ac:dyDescent="0.25">
      <c r="B114" s="277" t="s">
        <v>354</v>
      </c>
      <c r="C114" s="277" t="s">
        <v>356</v>
      </c>
      <c r="D114" s="277" t="s">
        <v>212</v>
      </c>
      <c r="E114" s="327" t="s">
        <v>358</v>
      </c>
      <c r="F114" s="322" t="s">
        <v>580</v>
      </c>
      <c r="G114" s="276"/>
      <c r="H114" s="276"/>
      <c r="I114" s="328"/>
      <c r="J114" s="279">
        <f>(72894+138259+40788+136399)</f>
        <v>388340</v>
      </c>
      <c r="K114" s="279"/>
    </row>
    <row r="115" spans="1:11" ht="46.5" thickTop="1" thickBot="1" x14ac:dyDescent="0.25">
      <c r="B115" s="277" t="s">
        <v>354</v>
      </c>
      <c r="C115" s="277" t="s">
        <v>356</v>
      </c>
      <c r="D115" s="277" t="s">
        <v>212</v>
      </c>
      <c r="E115" s="327" t="s">
        <v>358</v>
      </c>
      <c r="F115" s="322" t="s">
        <v>1360</v>
      </c>
      <c r="G115" s="278" t="s">
        <v>669</v>
      </c>
      <c r="H115" s="276">
        <v>128534.96</v>
      </c>
      <c r="I115" s="329">
        <v>0</v>
      </c>
      <c r="J115" s="279">
        <v>98000</v>
      </c>
      <c r="K115" s="286">
        <v>1</v>
      </c>
    </row>
    <row r="116" spans="1:11" ht="31.5" thickTop="1" thickBot="1" x14ac:dyDescent="0.25">
      <c r="B116" s="277" t="s">
        <v>355</v>
      </c>
      <c r="C116" s="277" t="s">
        <v>357</v>
      </c>
      <c r="D116" s="277" t="s">
        <v>212</v>
      </c>
      <c r="E116" s="327" t="s">
        <v>359</v>
      </c>
      <c r="F116" s="275" t="s">
        <v>586</v>
      </c>
      <c r="G116" s="278" t="s">
        <v>669</v>
      </c>
      <c r="H116" s="276"/>
      <c r="I116" s="329">
        <v>0</v>
      </c>
      <c r="J116" s="279">
        <v>150000</v>
      </c>
      <c r="K116" s="286">
        <v>1</v>
      </c>
    </row>
    <row r="117" spans="1:11" ht="31.5" thickTop="1" thickBot="1" x14ac:dyDescent="0.25">
      <c r="B117" s="277" t="s">
        <v>395</v>
      </c>
      <c r="C117" s="277" t="s">
        <v>393</v>
      </c>
      <c r="D117" s="277" t="s">
        <v>367</v>
      </c>
      <c r="E117" s="327" t="s">
        <v>394</v>
      </c>
      <c r="F117" s="278" t="s">
        <v>587</v>
      </c>
      <c r="G117" s="278"/>
      <c r="H117" s="276"/>
      <c r="I117" s="328"/>
      <c r="J117" s="279">
        <v>4000000</v>
      </c>
      <c r="K117" s="286"/>
    </row>
    <row r="118" spans="1:11" ht="106.5" thickTop="1" thickBot="1" x14ac:dyDescent="0.25">
      <c r="B118" s="274" t="s">
        <v>1146</v>
      </c>
      <c r="C118" s="274" t="s">
        <v>1147</v>
      </c>
      <c r="D118" s="274" t="s">
        <v>326</v>
      </c>
      <c r="E118" s="274" t="s">
        <v>1150</v>
      </c>
      <c r="F118" s="297" t="s">
        <v>1151</v>
      </c>
      <c r="G118" s="279" t="s">
        <v>597</v>
      </c>
      <c r="H118" s="276">
        <f>8638500+1849000</f>
        <v>10487500</v>
      </c>
      <c r="I118" s="286">
        <f>(1996859.63+6999090.23)/H118</f>
        <v>0.85777829415971385</v>
      </c>
      <c r="J118" s="279">
        <v>220000</v>
      </c>
      <c r="K118" s="286">
        <v>1</v>
      </c>
    </row>
    <row r="119" spans="1:11" ht="46.5" thickTop="1" thickBot="1" x14ac:dyDescent="0.25">
      <c r="A119" s="174"/>
      <c r="B119" s="699">
        <v>1000000</v>
      </c>
      <c r="C119" s="699"/>
      <c r="D119" s="699"/>
      <c r="E119" s="700" t="s">
        <v>24</v>
      </c>
      <c r="F119" s="701"/>
      <c r="G119" s="702"/>
      <c r="H119" s="702"/>
      <c r="I119" s="702"/>
      <c r="J119" s="701">
        <f>J120</f>
        <v>7646625</v>
      </c>
      <c r="K119" s="701"/>
    </row>
    <row r="120" spans="1:11" ht="44.25" thickTop="1" thickBot="1" x14ac:dyDescent="0.25">
      <c r="A120" s="174"/>
      <c r="B120" s="703">
        <v>1010000</v>
      </c>
      <c r="C120" s="703"/>
      <c r="D120" s="703"/>
      <c r="E120" s="704" t="s">
        <v>41</v>
      </c>
      <c r="F120" s="705"/>
      <c r="G120" s="705"/>
      <c r="H120" s="705"/>
      <c r="I120" s="705"/>
      <c r="J120" s="705">
        <f>SUM(J121:J131)</f>
        <v>7646625</v>
      </c>
      <c r="K120" s="705"/>
    </row>
    <row r="121" spans="1:11" ht="31.5" thickTop="1" thickBot="1" x14ac:dyDescent="0.25">
      <c r="A121" s="174"/>
      <c r="B121" s="274" t="s">
        <v>795</v>
      </c>
      <c r="C121" s="274" t="s">
        <v>796</v>
      </c>
      <c r="D121" s="274" t="s">
        <v>202</v>
      </c>
      <c r="E121" s="274" t="s">
        <v>548</v>
      </c>
      <c r="F121" s="275" t="s">
        <v>580</v>
      </c>
      <c r="G121" s="279"/>
      <c r="H121" s="282"/>
      <c r="I121" s="329"/>
      <c r="J121" s="279">
        <v>49000</v>
      </c>
      <c r="K121" s="329"/>
    </row>
    <row r="122" spans="1:11" ht="61.5" thickTop="1" thickBot="1" x14ac:dyDescent="0.25">
      <c r="A122" s="174"/>
      <c r="B122" s="274" t="s">
        <v>795</v>
      </c>
      <c r="C122" s="274" t="s">
        <v>796</v>
      </c>
      <c r="D122" s="274" t="s">
        <v>202</v>
      </c>
      <c r="E122" s="274" t="s">
        <v>548</v>
      </c>
      <c r="F122" s="275" t="s">
        <v>1269</v>
      </c>
      <c r="G122" s="279" t="s">
        <v>1105</v>
      </c>
      <c r="H122" s="282">
        <v>3361251</v>
      </c>
      <c r="I122" s="329">
        <f>1829721.61/H122</f>
        <v>0.54435732707851936</v>
      </c>
      <c r="J122" s="279">
        <v>1000000</v>
      </c>
      <c r="K122" s="329">
        <f>(1829721.61+J122)/H122</f>
        <v>0.84186560599015081</v>
      </c>
    </row>
    <row r="123" spans="1:11" ht="31.5" thickTop="1" thickBot="1" x14ac:dyDescent="0.25">
      <c r="A123" s="174"/>
      <c r="B123" s="277" t="s">
        <v>193</v>
      </c>
      <c r="C123" s="277" t="s">
        <v>194</v>
      </c>
      <c r="D123" s="277" t="s">
        <v>195</v>
      </c>
      <c r="E123" s="277" t="s">
        <v>196</v>
      </c>
      <c r="F123" s="275" t="s">
        <v>580</v>
      </c>
      <c r="G123" s="279"/>
      <c r="H123" s="279"/>
      <c r="I123" s="329"/>
      <c r="J123" s="279">
        <f>(10000+28000)+766000</f>
        <v>804000</v>
      </c>
      <c r="K123" s="329"/>
    </row>
    <row r="124" spans="1:11" ht="76.5" thickTop="1" thickBot="1" x14ac:dyDescent="0.25">
      <c r="A124" s="174"/>
      <c r="B124" s="277" t="s">
        <v>193</v>
      </c>
      <c r="C124" s="277" t="s">
        <v>194</v>
      </c>
      <c r="D124" s="277" t="s">
        <v>195</v>
      </c>
      <c r="E124" s="277" t="s">
        <v>196</v>
      </c>
      <c r="F124" s="275" t="s">
        <v>712</v>
      </c>
      <c r="G124" s="278" t="s">
        <v>669</v>
      </c>
      <c r="H124" s="279"/>
      <c r="I124" s="329">
        <v>0</v>
      </c>
      <c r="J124" s="279">
        <v>84000</v>
      </c>
      <c r="K124" s="329">
        <v>1</v>
      </c>
    </row>
    <row r="125" spans="1:11" ht="46.5" thickTop="1" thickBot="1" x14ac:dyDescent="0.25">
      <c r="A125" s="174"/>
      <c r="B125" s="277" t="s">
        <v>193</v>
      </c>
      <c r="C125" s="277" t="s">
        <v>194</v>
      </c>
      <c r="D125" s="277" t="s">
        <v>195</v>
      </c>
      <c r="E125" s="277" t="s">
        <v>196</v>
      </c>
      <c r="F125" s="275" t="s">
        <v>713</v>
      </c>
      <c r="G125" s="278" t="s">
        <v>669</v>
      </c>
      <c r="H125" s="279"/>
      <c r="I125" s="329">
        <v>0</v>
      </c>
      <c r="J125" s="279">
        <v>67000</v>
      </c>
      <c r="K125" s="329">
        <v>1</v>
      </c>
    </row>
    <row r="126" spans="1:11" ht="31.5" thickTop="1" thickBot="1" x14ac:dyDescent="0.25">
      <c r="A126" s="174"/>
      <c r="B126" s="277" t="s">
        <v>197</v>
      </c>
      <c r="C126" s="277" t="s">
        <v>198</v>
      </c>
      <c r="D126" s="277" t="s">
        <v>195</v>
      </c>
      <c r="E126" s="277" t="s">
        <v>502</v>
      </c>
      <c r="F126" s="275" t="s">
        <v>580</v>
      </c>
      <c r="G126" s="278"/>
      <c r="H126" s="279"/>
      <c r="I126" s="329"/>
      <c r="J126" s="279">
        <f>14900+150000</f>
        <v>164900</v>
      </c>
      <c r="K126" s="286"/>
    </row>
    <row r="127" spans="1:11" ht="61.5" thickTop="1" thickBot="1" x14ac:dyDescent="0.25">
      <c r="A127" s="174"/>
      <c r="B127" s="277" t="s">
        <v>197</v>
      </c>
      <c r="C127" s="277" t="s">
        <v>198</v>
      </c>
      <c r="D127" s="277" t="s">
        <v>195</v>
      </c>
      <c r="E127" s="277" t="s">
        <v>502</v>
      </c>
      <c r="F127" s="297" t="s">
        <v>1200</v>
      </c>
      <c r="G127" s="279" t="s">
        <v>588</v>
      </c>
      <c r="H127" s="279">
        <v>27064985</v>
      </c>
      <c r="I127" s="329">
        <f>(1430336+2994769.5+4929931.79+5600000)/H127</f>
        <v>0.55256033912451819</v>
      </c>
      <c r="J127" s="279">
        <f>(3000000)+2000000</f>
        <v>5000000</v>
      </c>
      <c r="K127" s="329">
        <f>(1430336+2994769.5+4929931.79+5600000+J127)/H127</f>
        <v>0.73730088119391157</v>
      </c>
    </row>
    <row r="128" spans="1:11" ht="46.5" thickTop="1" thickBot="1" x14ac:dyDescent="0.25">
      <c r="A128" s="174"/>
      <c r="B128" s="277" t="s">
        <v>199</v>
      </c>
      <c r="C128" s="277" t="s">
        <v>190</v>
      </c>
      <c r="D128" s="277" t="s">
        <v>200</v>
      </c>
      <c r="E128" s="277" t="s">
        <v>201</v>
      </c>
      <c r="F128" s="275" t="s">
        <v>580</v>
      </c>
      <c r="G128" s="279"/>
      <c r="H128" s="279"/>
      <c r="I128" s="329"/>
      <c r="J128" s="279">
        <f>(124500)+16500+5100</f>
        <v>146100</v>
      </c>
      <c r="K128" s="329"/>
    </row>
    <row r="129" spans="1:11" ht="31.5" thickTop="1" thickBot="1" x14ac:dyDescent="0.25">
      <c r="A129" s="174"/>
      <c r="B129" s="274" t="s">
        <v>360</v>
      </c>
      <c r="C129" s="274" t="s">
        <v>361</v>
      </c>
      <c r="D129" s="274" t="s">
        <v>203</v>
      </c>
      <c r="E129" s="274" t="s">
        <v>503</v>
      </c>
      <c r="F129" s="275" t="s">
        <v>580</v>
      </c>
      <c r="G129" s="279"/>
      <c r="H129" s="279"/>
      <c r="I129" s="329"/>
      <c r="J129" s="279">
        <v>31625</v>
      </c>
      <c r="K129" s="329"/>
    </row>
    <row r="130" spans="1:11" ht="106.5" thickTop="1" thickBot="1" x14ac:dyDescent="0.25">
      <c r="A130" s="174"/>
      <c r="B130" s="277" t="s">
        <v>1129</v>
      </c>
      <c r="C130" s="277" t="s">
        <v>218</v>
      </c>
      <c r="D130" s="277" t="s">
        <v>187</v>
      </c>
      <c r="E130" s="277" t="s">
        <v>36</v>
      </c>
      <c r="F130" s="323" t="s">
        <v>1221</v>
      </c>
      <c r="G130" s="278" t="s">
        <v>669</v>
      </c>
      <c r="H130" s="279">
        <v>200000</v>
      </c>
      <c r="I130" s="286">
        <v>0</v>
      </c>
      <c r="J130" s="279">
        <v>200000</v>
      </c>
      <c r="K130" s="286">
        <f>(J130)/H130</f>
        <v>1</v>
      </c>
    </row>
    <row r="131" spans="1:11" ht="121.5" thickTop="1" thickBot="1" x14ac:dyDescent="0.25">
      <c r="A131" s="174"/>
      <c r="B131" s="277" t="s">
        <v>1129</v>
      </c>
      <c r="C131" s="277" t="s">
        <v>218</v>
      </c>
      <c r="D131" s="277" t="s">
        <v>187</v>
      </c>
      <c r="E131" s="277" t="s">
        <v>36</v>
      </c>
      <c r="F131" s="323" t="s">
        <v>1222</v>
      </c>
      <c r="G131" s="278" t="s">
        <v>669</v>
      </c>
      <c r="H131" s="279"/>
      <c r="I131" s="286">
        <v>0</v>
      </c>
      <c r="J131" s="279">
        <v>100000</v>
      </c>
      <c r="K131" s="286">
        <v>1</v>
      </c>
    </row>
    <row r="132" spans="1:11" ht="46.5" thickTop="1" thickBot="1" x14ac:dyDescent="0.25">
      <c r="B132" s="699" t="s">
        <v>22</v>
      </c>
      <c r="C132" s="699"/>
      <c r="D132" s="699"/>
      <c r="E132" s="700" t="s">
        <v>23</v>
      </c>
      <c r="F132" s="701"/>
      <c r="G132" s="702"/>
      <c r="H132" s="702"/>
      <c r="I132" s="702"/>
      <c r="J132" s="701">
        <f>J133</f>
        <v>5470186</v>
      </c>
      <c r="K132" s="701"/>
    </row>
    <row r="133" spans="1:11" ht="44.25" thickTop="1" thickBot="1" x14ac:dyDescent="0.25">
      <c r="B133" s="703" t="s">
        <v>21</v>
      </c>
      <c r="C133" s="703"/>
      <c r="D133" s="703"/>
      <c r="E133" s="704" t="s">
        <v>37</v>
      </c>
      <c r="F133" s="705"/>
      <c r="G133" s="705"/>
      <c r="H133" s="705"/>
      <c r="I133" s="705"/>
      <c r="J133" s="705">
        <f>SUM(J134:J145)</f>
        <v>5470186</v>
      </c>
      <c r="K133" s="705"/>
    </row>
    <row r="134" spans="1:11" ht="46.5" thickTop="1" thickBot="1" x14ac:dyDescent="0.25">
      <c r="B134" s="277" t="s">
        <v>210</v>
      </c>
      <c r="C134" s="277" t="s">
        <v>211</v>
      </c>
      <c r="D134" s="277" t="s">
        <v>206</v>
      </c>
      <c r="E134" s="277" t="s">
        <v>10</v>
      </c>
      <c r="F134" s="275" t="s">
        <v>716</v>
      </c>
      <c r="G134" s="278" t="s">
        <v>669</v>
      </c>
      <c r="H134" s="276">
        <v>733957</v>
      </c>
      <c r="I134" s="286">
        <f>0/H134</f>
        <v>0</v>
      </c>
      <c r="J134" s="276">
        <v>733957</v>
      </c>
      <c r="K134" s="286">
        <f>(J134)/H134</f>
        <v>1</v>
      </c>
    </row>
    <row r="135" spans="1:11" s="45" customFormat="1" ht="46.5" thickTop="1" thickBot="1" x14ac:dyDescent="0.25">
      <c r="B135" s="277" t="s">
        <v>28</v>
      </c>
      <c r="C135" s="277" t="s">
        <v>213</v>
      </c>
      <c r="D135" s="277" t="s">
        <v>216</v>
      </c>
      <c r="E135" s="277" t="s">
        <v>50</v>
      </c>
      <c r="F135" s="275" t="s">
        <v>580</v>
      </c>
      <c r="G135" s="278"/>
      <c r="H135" s="279"/>
      <c r="I135" s="278"/>
      <c r="J135" s="276">
        <f>(77910+32400+91670)+86000+216360+154040+611040+180000</f>
        <v>1449420</v>
      </c>
      <c r="K135" s="276"/>
    </row>
    <row r="136" spans="1:11" s="45" customFormat="1" ht="91.5" hidden="1" thickTop="1" thickBot="1" x14ac:dyDescent="0.25">
      <c r="B136" s="277" t="s">
        <v>28</v>
      </c>
      <c r="C136" s="277" t="s">
        <v>213</v>
      </c>
      <c r="D136" s="277" t="s">
        <v>216</v>
      </c>
      <c r="E136" s="277" t="s">
        <v>50</v>
      </c>
      <c r="F136" s="275" t="s">
        <v>1201</v>
      </c>
      <c r="G136" s="278" t="s">
        <v>669</v>
      </c>
      <c r="H136" s="279"/>
      <c r="I136" s="283">
        <v>0</v>
      </c>
      <c r="J136" s="276">
        <f>48600-48600</f>
        <v>0</v>
      </c>
      <c r="K136" s="283">
        <v>1</v>
      </c>
    </row>
    <row r="137" spans="1:11" s="45" customFormat="1" ht="61.5" thickTop="1" thickBot="1" x14ac:dyDescent="0.25">
      <c r="B137" s="277" t="s">
        <v>28</v>
      </c>
      <c r="C137" s="277" t="s">
        <v>213</v>
      </c>
      <c r="D137" s="277" t="s">
        <v>216</v>
      </c>
      <c r="E137" s="277" t="s">
        <v>50</v>
      </c>
      <c r="F137" s="275" t="s">
        <v>1103</v>
      </c>
      <c r="G137" s="278" t="s">
        <v>669</v>
      </c>
      <c r="H137" s="279"/>
      <c r="I137" s="283">
        <v>0</v>
      </c>
      <c r="J137" s="276">
        <v>33250</v>
      </c>
      <c r="K137" s="283">
        <v>1</v>
      </c>
    </row>
    <row r="138" spans="1:11" s="45" customFormat="1" ht="91.5" thickTop="1" thickBot="1" x14ac:dyDescent="0.25">
      <c r="B138" s="277" t="s">
        <v>28</v>
      </c>
      <c r="C138" s="277" t="s">
        <v>213</v>
      </c>
      <c r="D138" s="277" t="s">
        <v>216</v>
      </c>
      <c r="E138" s="277" t="s">
        <v>50</v>
      </c>
      <c r="F138" s="275" t="s">
        <v>1350</v>
      </c>
      <c r="G138" s="278" t="s">
        <v>669</v>
      </c>
      <c r="H138" s="279"/>
      <c r="I138" s="283">
        <v>0</v>
      </c>
      <c r="J138" s="276">
        <f>48600</f>
        <v>48600</v>
      </c>
      <c r="K138" s="283">
        <v>1</v>
      </c>
    </row>
    <row r="139" spans="1:11" s="45" customFormat="1" ht="61.5" thickTop="1" thickBot="1" x14ac:dyDescent="0.25">
      <c r="B139" s="277" t="s">
        <v>28</v>
      </c>
      <c r="C139" s="277" t="s">
        <v>213</v>
      </c>
      <c r="D139" s="277" t="s">
        <v>216</v>
      </c>
      <c r="E139" s="277" t="s">
        <v>50</v>
      </c>
      <c r="F139" s="275" t="s">
        <v>1110</v>
      </c>
      <c r="G139" s="282" t="s">
        <v>1105</v>
      </c>
      <c r="H139" s="282">
        <v>1592500</v>
      </c>
      <c r="I139" s="283">
        <f>(61861.62)/H139</f>
        <v>3.8845601255886972E-2</v>
      </c>
      <c r="J139" s="284">
        <f>(16200+9287+1509600-4449)-74322</f>
        <v>1456316</v>
      </c>
      <c r="K139" s="283">
        <v>1</v>
      </c>
    </row>
    <row r="140" spans="1:11" s="45" customFormat="1" ht="106.5" thickTop="1" thickBot="1" x14ac:dyDescent="0.25">
      <c r="B140" s="277" t="s">
        <v>28</v>
      </c>
      <c r="C140" s="277" t="s">
        <v>213</v>
      </c>
      <c r="D140" s="277" t="s">
        <v>216</v>
      </c>
      <c r="E140" s="277" t="s">
        <v>50</v>
      </c>
      <c r="F140" s="275" t="s">
        <v>1348</v>
      </c>
      <c r="G140" s="278" t="s">
        <v>1320</v>
      </c>
      <c r="H140" s="279"/>
      <c r="I140" s="283">
        <v>0</v>
      </c>
      <c r="J140" s="284">
        <f>(405800-255801)+500000</f>
        <v>649999</v>
      </c>
      <c r="K140" s="283"/>
    </row>
    <row r="141" spans="1:11" s="45" customFormat="1" ht="76.5" thickTop="1" thickBot="1" x14ac:dyDescent="0.25">
      <c r="B141" s="277" t="s">
        <v>28</v>
      </c>
      <c r="C141" s="277" t="s">
        <v>213</v>
      </c>
      <c r="D141" s="277" t="s">
        <v>216</v>
      </c>
      <c r="E141" s="277" t="s">
        <v>50</v>
      </c>
      <c r="F141" s="275" t="s">
        <v>1349</v>
      </c>
      <c r="G141" s="278" t="s">
        <v>669</v>
      </c>
      <c r="H141" s="284">
        <v>31970</v>
      </c>
      <c r="I141" s="283">
        <v>0</v>
      </c>
      <c r="J141" s="284">
        <v>31970</v>
      </c>
      <c r="K141" s="283">
        <v>1</v>
      </c>
    </row>
    <row r="142" spans="1:11" s="45" customFormat="1" ht="61.5" hidden="1" thickTop="1" thickBot="1" x14ac:dyDescent="0.25">
      <c r="B142" s="277" t="s">
        <v>28</v>
      </c>
      <c r="C142" s="277" t="s">
        <v>213</v>
      </c>
      <c r="D142" s="277" t="s">
        <v>216</v>
      </c>
      <c r="E142" s="277" t="s">
        <v>50</v>
      </c>
      <c r="F142" s="275" t="s">
        <v>744</v>
      </c>
      <c r="G142" s="278" t="s">
        <v>669</v>
      </c>
      <c r="H142" s="279"/>
      <c r="I142" s="283">
        <v>0</v>
      </c>
      <c r="J142" s="276">
        <f>(200000)-200000</f>
        <v>0</v>
      </c>
      <c r="K142" s="283">
        <v>1</v>
      </c>
    </row>
    <row r="143" spans="1:11" s="45" customFormat="1" ht="46.5" thickTop="1" thickBot="1" x14ac:dyDescent="0.25">
      <c r="B143" s="277" t="s">
        <v>29</v>
      </c>
      <c r="C143" s="277" t="s">
        <v>214</v>
      </c>
      <c r="D143" s="277" t="s">
        <v>216</v>
      </c>
      <c r="E143" s="277" t="s">
        <v>51</v>
      </c>
      <c r="F143" s="275" t="s">
        <v>580</v>
      </c>
      <c r="G143" s="278"/>
      <c r="H143" s="276"/>
      <c r="I143" s="286"/>
      <c r="J143" s="276">
        <v>15200</v>
      </c>
      <c r="K143" s="286"/>
    </row>
    <row r="144" spans="1:11" s="45" customFormat="1" ht="31.5" thickTop="1" thickBot="1" x14ac:dyDescent="0.25">
      <c r="B144" s="330" t="s">
        <v>32</v>
      </c>
      <c r="C144" s="330" t="s">
        <v>217</v>
      </c>
      <c r="D144" s="330" t="s">
        <v>216</v>
      </c>
      <c r="E144" s="274" t="s">
        <v>33</v>
      </c>
      <c r="F144" s="275" t="s">
        <v>580</v>
      </c>
      <c r="G144" s="278"/>
      <c r="H144" s="279"/>
      <c r="I144" s="286"/>
      <c r="J144" s="276">
        <v>30000</v>
      </c>
      <c r="K144" s="286"/>
    </row>
    <row r="145" spans="2:11" s="45" customFormat="1" ht="144" customHeight="1" thickTop="1" thickBot="1" x14ac:dyDescent="0.25">
      <c r="B145" s="274" t="s">
        <v>743</v>
      </c>
      <c r="C145" s="274" t="s">
        <v>218</v>
      </c>
      <c r="D145" s="274" t="s">
        <v>187</v>
      </c>
      <c r="E145" s="274" t="s">
        <v>36</v>
      </c>
      <c r="F145" s="285" t="s">
        <v>1104</v>
      </c>
      <c r="G145" s="278" t="s">
        <v>669</v>
      </c>
      <c r="H145" s="279">
        <v>1021474</v>
      </c>
      <c r="I145" s="283">
        <f>0/H145</f>
        <v>0</v>
      </c>
      <c r="J145" s="276">
        <f>45144+976330</f>
        <v>1021474</v>
      </c>
      <c r="K145" s="283">
        <v>1</v>
      </c>
    </row>
    <row r="146" spans="2:11" s="45" customFormat="1" ht="46.5" thickTop="1" thickBot="1" x14ac:dyDescent="0.25">
      <c r="B146" s="699" t="s">
        <v>175</v>
      </c>
      <c r="C146" s="699"/>
      <c r="D146" s="699"/>
      <c r="E146" s="700" t="s">
        <v>675</v>
      </c>
      <c r="F146" s="701"/>
      <c r="G146" s="702"/>
      <c r="H146" s="702"/>
      <c r="I146" s="702"/>
      <c r="J146" s="701">
        <f>J147</f>
        <v>30575149</v>
      </c>
      <c r="K146" s="701"/>
    </row>
    <row r="147" spans="2:11" s="45" customFormat="1" ht="44.25" thickTop="1" thickBot="1" x14ac:dyDescent="0.25">
      <c r="B147" s="703" t="s">
        <v>176</v>
      </c>
      <c r="C147" s="703"/>
      <c r="D147" s="703"/>
      <c r="E147" s="704" t="s">
        <v>676</v>
      </c>
      <c r="F147" s="705"/>
      <c r="G147" s="705"/>
      <c r="H147" s="705"/>
      <c r="I147" s="705"/>
      <c r="J147" s="705">
        <f>J148+J149+J150+J151+J156+J157</f>
        <v>30575149</v>
      </c>
      <c r="K147" s="705"/>
    </row>
    <row r="148" spans="2:11" s="45" customFormat="1" ht="46.5" thickTop="1" thickBot="1" x14ac:dyDescent="0.25">
      <c r="B148" s="277" t="s">
        <v>451</v>
      </c>
      <c r="C148" s="277" t="s">
        <v>257</v>
      </c>
      <c r="D148" s="277" t="s">
        <v>255</v>
      </c>
      <c r="E148" s="277" t="s">
        <v>256</v>
      </c>
      <c r="F148" s="275" t="s">
        <v>580</v>
      </c>
      <c r="G148" s="278"/>
      <c r="H148" s="279"/>
      <c r="I148" s="278"/>
      <c r="J148" s="276">
        <f>(36000)+31812+95436</f>
        <v>163248</v>
      </c>
      <c r="K148" s="276"/>
    </row>
    <row r="149" spans="2:11" s="45" customFormat="1" ht="31.5" thickTop="1" thickBot="1" x14ac:dyDescent="0.25">
      <c r="B149" s="277" t="s">
        <v>301</v>
      </c>
      <c r="C149" s="277" t="s">
        <v>302</v>
      </c>
      <c r="D149" s="277" t="s">
        <v>367</v>
      </c>
      <c r="E149" s="277" t="s">
        <v>303</v>
      </c>
      <c r="F149" s="278" t="s">
        <v>590</v>
      </c>
      <c r="G149" s="278"/>
      <c r="H149" s="276"/>
      <c r="I149" s="286"/>
      <c r="J149" s="284">
        <f>10345240-1351800</f>
        <v>8993440</v>
      </c>
      <c r="K149" s="286"/>
    </row>
    <row r="150" spans="2:11" s="45" customFormat="1" ht="31.5" thickTop="1" thickBot="1" x14ac:dyDescent="0.25">
      <c r="B150" s="277" t="s">
        <v>323</v>
      </c>
      <c r="C150" s="277" t="s">
        <v>324</v>
      </c>
      <c r="D150" s="277" t="s">
        <v>304</v>
      </c>
      <c r="E150" s="277" t="s">
        <v>325</v>
      </c>
      <c r="F150" s="278" t="s">
        <v>607</v>
      </c>
      <c r="G150" s="278"/>
      <c r="H150" s="279"/>
      <c r="I150" s="278"/>
      <c r="J150" s="284">
        <f>5000000+3000000</f>
        <v>8000000</v>
      </c>
      <c r="K150" s="276"/>
    </row>
    <row r="151" spans="2:11" s="45" customFormat="1" ht="46.5" thickTop="1" thickBot="1" x14ac:dyDescent="0.25">
      <c r="B151" s="277" t="s">
        <v>305</v>
      </c>
      <c r="C151" s="277" t="s">
        <v>306</v>
      </c>
      <c r="D151" s="277" t="s">
        <v>304</v>
      </c>
      <c r="E151" s="277" t="s">
        <v>505</v>
      </c>
      <c r="F151" s="278" t="s">
        <v>591</v>
      </c>
      <c r="G151" s="279"/>
      <c r="H151" s="279"/>
      <c r="I151" s="286"/>
      <c r="J151" s="284">
        <f>J152+J153+J154+J155</f>
        <v>13068461</v>
      </c>
      <c r="K151" s="286"/>
    </row>
    <row r="152" spans="2:11" s="45" customFormat="1" ht="46.5" thickTop="1" thickBot="1" x14ac:dyDescent="0.25">
      <c r="B152" s="331" t="s">
        <v>305</v>
      </c>
      <c r="C152" s="331" t="s">
        <v>306</v>
      </c>
      <c r="D152" s="331" t="s">
        <v>304</v>
      </c>
      <c r="E152" s="331" t="s">
        <v>505</v>
      </c>
      <c r="F152" s="332" t="s">
        <v>602</v>
      </c>
      <c r="G152" s="278"/>
      <c r="H152" s="279"/>
      <c r="I152" s="278"/>
      <c r="J152" s="377">
        <v>1948000</v>
      </c>
      <c r="K152" s="276"/>
    </row>
    <row r="153" spans="2:11" s="45" customFormat="1" ht="46.5" thickTop="1" thickBot="1" x14ac:dyDescent="0.25">
      <c r="B153" s="331" t="s">
        <v>305</v>
      </c>
      <c r="C153" s="331" t="s">
        <v>306</v>
      </c>
      <c r="D153" s="331" t="s">
        <v>304</v>
      </c>
      <c r="E153" s="331" t="s">
        <v>505</v>
      </c>
      <c r="F153" s="332" t="s">
        <v>592</v>
      </c>
      <c r="G153" s="279"/>
      <c r="H153" s="276"/>
      <c r="I153" s="286"/>
      <c r="J153" s="377">
        <v>10658900</v>
      </c>
      <c r="K153" s="286"/>
    </row>
    <row r="154" spans="2:11" s="45" customFormat="1" ht="46.5" thickTop="1" thickBot="1" x14ac:dyDescent="0.25">
      <c r="B154" s="331" t="s">
        <v>305</v>
      </c>
      <c r="C154" s="331" t="s">
        <v>306</v>
      </c>
      <c r="D154" s="331" t="s">
        <v>304</v>
      </c>
      <c r="E154" s="331" t="s">
        <v>505</v>
      </c>
      <c r="F154" s="332" t="s">
        <v>603</v>
      </c>
      <c r="G154" s="278"/>
      <c r="H154" s="276"/>
      <c r="I154" s="286"/>
      <c r="J154" s="377">
        <v>461561</v>
      </c>
      <c r="K154" s="286"/>
    </row>
    <row r="155" spans="2:11" s="45" customFormat="1" ht="61.5" hidden="1" thickTop="1" thickBot="1" x14ac:dyDescent="0.25">
      <c r="B155" s="277" t="s">
        <v>305</v>
      </c>
      <c r="C155" s="277" t="s">
        <v>306</v>
      </c>
      <c r="D155" s="277" t="s">
        <v>304</v>
      </c>
      <c r="E155" s="331" t="s">
        <v>505</v>
      </c>
      <c r="F155" s="332" t="s">
        <v>606</v>
      </c>
      <c r="G155" s="707" t="s">
        <v>533</v>
      </c>
      <c r="H155" s="706">
        <v>552300</v>
      </c>
      <c r="I155" s="708">
        <f>500000/H155</f>
        <v>0.90530508781459351</v>
      </c>
      <c r="J155" s="284">
        <f>52300-52300</f>
        <v>0</v>
      </c>
      <c r="K155" s="708">
        <f>(500000+J155)/H155</f>
        <v>0.90530508781459351</v>
      </c>
    </row>
    <row r="156" spans="2:11" s="45" customFormat="1" ht="61.5" thickTop="1" thickBot="1" x14ac:dyDescent="0.25">
      <c r="B156" s="277" t="s">
        <v>318</v>
      </c>
      <c r="C156" s="277" t="s">
        <v>233</v>
      </c>
      <c r="D156" s="277" t="s">
        <v>234</v>
      </c>
      <c r="E156" s="277" t="s">
        <v>43</v>
      </c>
      <c r="F156" s="333" t="s">
        <v>772</v>
      </c>
      <c r="G156" s="278"/>
      <c r="H156" s="276"/>
      <c r="I156" s="286"/>
      <c r="J156" s="284">
        <f>2100000-2050000</f>
        <v>50000</v>
      </c>
      <c r="K156" s="286"/>
    </row>
    <row r="157" spans="2:11" s="45" customFormat="1" ht="31.5" thickTop="1" thickBot="1" x14ac:dyDescent="0.25">
      <c r="B157" s="277" t="s">
        <v>1132</v>
      </c>
      <c r="C157" s="277" t="s">
        <v>218</v>
      </c>
      <c r="D157" s="277" t="s">
        <v>187</v>
      </c>
      <c r="E157" s="277" t="s">
        <v>36</v>
      </c>
      <c r="F157" s="278" t="s">
        <v>53</v>
      </c>
      <c r="G157" s="278"/>
      <c r="H157" s="337"/>
      <c r="I157" s="278"/>
      <c r="J157" s="279">
        <f>J158+J159</f>
        <v>300000</v>
      </c>
      <c r="K157" s="286"/>
    </row>
    <row r="158" spans="2:11" s="45" customFormat="1" ht="166.5" thickTop="1" thickBot="1" x14ac:dyDescent="0.25">
      <c r="B158" s="331" t="s">
        <v>1132</v>
      </c>
      <c r="C158" s="479" t="s">
        <v>218</v>
      </c>
      <c r="D158" s="479" t="s">
        <v>187</v>
      </c>
      <c r="E158" s="479" t="s">
        <v>36</v>
      </c>
      <c r="F158" s="480" t="s">
        <v>1131</v>
      </c>
      <c r="G158" s="481" t="s">
        <v>669</v>
      </c>
      <c r="H158" s="482">
        <v>1194767</v>
      </c>
      <c r="I158" s="483"/>
      <c r="J158" s="484">
        <v>300000</v>
      </c>
      <c r="K158" s="286">
        <f>(J158)/H158</f>
        <v>0.2510949833733272</v>
      </c>
    </row>
    <row r="159" spans="2:11" s="45" customFormat="1" ht="31.5" hidden="1" thickTop="1" thickBot="1" x14ac:dyDescent="0.25">
      <c r="B159" s="331" t="s">
        <v>1132</v>
      </c>
      <c r="C159" s="479" t="s">
        <v>218</v>
      </c>
      <c r="D159" s="479" t="s">
        <v>187</v>
      </c>
      <c r="E159" s="479" t="s">
        <v>36</v>
      </c>
      <c r="F159" s="333" t="s">
        <v>1202</v>
      </c>
      <c r="G159" s="481"/>
      <c r="H159" s="482"/>
      <c r="I159" s="483"/>
      <c r="J159" s="484">
        <f>90000-90000</f>
        <v>0</v>
      </c>
      <c r="K159" s="286"/>
    </row>
    <row r="160" spans="2:11" s="45" customFormat="1" ht="46.5" thickTop="1" thickBot="1" x14ac:dyDescent="0.25">
      <c r="B160" s="699" t="s">
        <v>643</v>
      </c>
      <c r="C160" s="699"/>
      <c r="D160" s="699"/>
      <c r="E160" s="700" t="s">
        <v>673</v>
      </c>
      <c r="F160" s="701"/>
      <c r="G160" s="702"/>
      <c r="H160" s="702"/>
      <c r="I160" s="702"/>
      <c r="J160" s="701">
        <f>J161</f>
        <v>150622013.57999998</v>
      </c>
      <c r="K160" s="701"/>
    </row>
    <row r="161" spans="2:11" s="45" customFormat="1" ht="56.25" customHeight="1" thickTop="1" thickBot="1" x14ac:dyDescent="0.25">
      <c r="B161" s="703" t="s">
        <v>644</v>
      </c>
      <c r="C161" s="703"/>
      <c r="D161" s="703"/>
      <c r="E161" s="704" t="s">
        <v>674</v>
      </c>
      <c r="F161" s="705"/>
      <c r="G161" s="705"/>
      <c r="H161" s="705"/>
      <c r="I161" s="705"/>
      <c r="J161" s="705">
        <f>J162+J163+J181+J189+J190+J191+J234</f>
        <v>150622013.57999998</v>
      </c>
      <c r="K161" s="705"/>
    </row>
    <row r="162" spans="2:11" s="45" customFormat="1" ht="72" customHeight="1" thickTop="1" thickBot="1" x14ac:dyDescent="0.25">
      <c r="B162" s="277" t="s">
        <v>645</v>
      </c>
      <c r="C162" s="277" t="s">
        <v>257</v>
      </c>
      <c r="D162" s="277" t="s">
        <v>255</v>
      </c>
      <c r="E162" s="277" t="s">
        <v>256</v>
      </c>
      <c r="F162" s="275" t="s">
        <v>580</v>
      </c>
      <c r="G162" s="334"/>
      <c r="H162" s="334"/>
      <c r="I162" s="334"/>
      <c r="J162" s="276">
        <v>144000</v>
      </c>
      <c r="K162" s="334"/>
    </row>
    <row r="163" spans="2:11" s="45" customFormat="1" ht="39.75" customHeight="1" thickTop="1" thickBot="1" x14ac:dyDescent="0.25">
      <c r="B163" s="277" t="s">
        <v>650</v>
      </c>
      <c r="C163" s="277" t="s">
        <v>310</v>
      </c>
      <c r="D163" s="277" t="s">
        <v>304</v>
      </c>
      <c r="E163" s="277" t="s">
        <v>311</v>
      </c>
      <c r="F163" s="278" t="s">
        <v>591</v>
      </c>
      <c r="G163" s="278"/>
      <c r="H163" s="279"/>
      <c r="I163" s="278"/>
      <c r="J163" s="279">
        <f>SUM(J164:J180)</f>
        <v>16490439</v>
      </c>
      <c r="K163" s="279"/>
    </row>
    <row r="164" spans="2:11" s="45" customFormat="1" ht="46.5" thickTop="1" thickBot="1" x14ac:dyDescent="0.25">
      <c r="B164" s="331" t="s">
        <v>650</v>
      </c>
      <c r="C164" s="331" t="s">
        <v>310</v>
      </c>
      <c r="D164" s="331" t="s">
        <v>304</v>
      </c>
      <c r="E164" s="331" t="s">
        <v>311</v>
      </c>
      <c r="F164" s="332" t="s">
        <v>593</v>
      </c>
      <c r="G164" s="710" t="s">
        <v>669</v>
      </c>
      <c r="H164" s="710"/>
      <c r="I164" s="713"/>
      <c r="J164" s="335">
        <v>1500000</v>
      </c>
      <c r="K164" s="335"/>
    </row>
    <row r="165" spans="2:11" s="45" customFormat="1" ht="57" customHeight="1" thickTop="1" thickBot="1" x14ac:dyDescent="0.25">
      <c r="B165" s="331" t="s">
        <v>650</v>
      </c>
      <c r="C165" s="331" t="s">
        <v>310</v>
      </c>
      <c r="D165" s="331" t="s">
        <v>304</v>
      </c>
      <c r="E165" s="331" t="s">
        <v>311</v>
      </c>
      <c r="F165" s="332" t="s">
        <v>594</v>
      </c>
      <c r="G165" s="710" t="s">
        <v>669</v>
      </c>
      <c r="H165" s="710"/>
      <c r="I165" s="713"/>
      <c r="J165" s="335">
        <f>3000000-2121016</f>
        <v>878984</v>
      </c>
      <c r="K165" s="713"/>
    </row>
    <row r="166" spans="2:11" s="45" customFormat="1" ht="39.75" customHeight="1" thickTop="1" thickBot="1" x14ac:dyDescent="0.25">
      <c r="B166" s="331" t="s">
        <v>650</v>
      </c>
      <c r="C166" s="331" t="s">
        <v>310</v>
      </c>
      <c r="D166" s="331" t="s">
        <v>304</v>
      </c>
      <c r="E166" s="331" t="s">
        <v>311</v>
      </c>
      <c r="F166" s="332" t="s">
        <v>662</v>
      </c>
      <c r="G166" s="710" t="s">
        <v>669</v>
      </c>
      <c r="H166" s="710"/>
      <c r="I166" s="713"/>
      <c r="J166" s="335">
        <v>3341100</v>
      </c>
      <c r="K166" s="335"/>
    </row>
    <row r="167" spans="2:11" s="45" customFormat="1" ht="58.5" customHeight="1" thickTop="1" thickBot="1" x14ac:dyDescent="0.25">
      <c r="B167" s="331" t="s">
        <v>650</v>
      </c>
      <c r="C167" s="331" t="s">
        <v>310</v>
      </c>
      <c r="D167" s="331" t="s">
        <v>304</v>
      </c>
      <c r="E167" s="331" t="s">
        <v>311</v>
      </c>
      <c r="F167" s="332" t="s">
        <v>595</v>
      </c>
      <c r="G167" s="710" t="s">
        <v>669</v>
      </c>
      <c r="H167" s="710"/>
      <c r="I167" s="713"/>
      <c r="J167" s="335">
        <f>600000+60000</f>
        <v>660000</v>
      </c>
      <c r="K167" s="335"/>
    </row>
    <row r="168" spans="2:11" s="45" customFormat="1" ht="85.5" customHeight="1" thickTop="1" thickBot="1" x14ac:dyDescent="0.25">
      <c r="B168" s="331" t="s">
        <v>650</v>
      </c>
      <c r="C168" s="331" t="s">
        <v>310</v>
      </c>
      <c r="D168" s="331" t="s">
        <v>304</v>
      </c>
      <c r="E168" s="331" t="s">
        <v>311</v>
      </c>
      <c r="F168" s="332" t="s">
        <v>596</v>
      </c>
      <c r="G168" s="335" t="s">
        <v>589</v>
      </c>
      <c r="H168" s="335">
        <v>4552060</v>
      </c>
      <c r="I168" s="714">
        <f>(1207002.59+1000000+346061.97)/H168</f>
        <v>0.56085916266481539</v>
      </c>
      <c r="J168" s="335">
        <f>1000000</f>
        <v>1000000</v>
      </c>
      <c r="K168" s="714">
        <f>(1207002.59+1000000+350000+J168)/H168</f>
        <v>0.78140503200748668</v>
      </c>
    </row>
    <row r="169" spans="2:11" s="45" customFormat="1" ht="55.5" customHeight="1" thickTop="1" thickBot="1" x14ac:dyDescent="0.25">
      <c r="B169" s="331" t="s">
        <v>650</v>
      </c>
      <c r="C169" s="331" t="s">
        <v>310</v>
      </c>
      <c r="D169" s="331" t="s">
        <v>304</v>
      </c>
      <c r="E169" s="331" t="s">
        <v>311</v>
      </c>
      <c r="F169" s="332" t="s">
        <v>663</v>
      </c>
      <c r="G169" s="335" t="s">
        <v>597</v>
      </c>
      <c r="H169" s="335">
        <v>7725528</v>
      </c>
      <c r="I169" s="714">
        <f>(860002.41+1990758.43)/H169</f>
        <v>0.36900530811615723</v>
      </c>
      <c r="J169" s="710">
        <f>3000000+532023</f>
        <v>3532023</v>
      </c>
      <c r="K169" s="714">
        <f>(860002.41+2000000+J169)/H169</f>
        <v>0.8273901033042661</v>
      </c>
    </row>
    <row r="170" spans="2:11" s="45" customFormat="1" ht="75.75" customHeight="1" thickTop="1" thickBot="1" x14ac:dyDescent="0.25">
      <c r="B170" s="331" t="s">
        <v>650</v>
      </c>
      <c r="C170" s="331" t="s">
        <v>310</v>
      </c>
      <c r="D170" s="331" t="s">
        <v>304</v>
      </c>
      <c r="E170" s="331" t="s">
        <v>311</v>
      </c>
      <c r="F170" s="332" t="s">
        <v>664</v>
      </c>
      <c r="G170" s="715" t="s">
        <v>597</v>
      </c>
      <c r="H170" s="715">
        <v>4380277</v>
      </c>
      <c r="I170" s="714">
        <f>(258212.92+931600.07)/H170</f>
        <v>0.27162962296676674</v>
      </c>
      <c r="J170" s="710">
        <f>2122064+850000</f>
        <v>2972064</v>
      </c>
      <c r="K170" s="714">
        <f>(258212.92+1000000+J170)/H170</f>
        <v>0.96575557207911733</v>
      </c>
    </row>
    <row r="171" spans="2:11" s="45" customFormat="1" ht="67.5" customHeight="1" thickTop="1" thickBot="1" x14ac:dyDescent="0.25">
      <c r="B171" s="331" t="s">
        <v>650</v>
      </c>
      <c r="C171" s="331" t="s">
        <v>310</v>
      </c>
      <c r="D171" s="331" t="s">
        <v>304</v>
      </c>
      <c r="E171" s="331" t="s">
        <v>311</v>
      </c>
      <c r="F171" s="332" t="s">
        <v>665</v>
      </c>
      <c r="G171" s="710" t="s">
        <v>669</v>
      </c>
      <c r="H171" s="710"/>
      <c r="I171" s="713"/>
      <c r="J171" s="335">
        <f>300000+26000</f>
        <v>326000</v>
      </c>
      <c r="K171" s="714"/>
    </row>
    <row r="172" spans="2:11" s="45" customFormat="1" ht="52.5" customHeight="1" thickTop="1" thickBot="1" x14ac:dyDescent="0.25">
      <c r="B172" s="331" t="s">
        <v>650</v>
      </c>
      <c r="C172" s="331" t="s">
        <v>310</v>
      </c>
      <c r="D172" s="331" t="s">
        <v>304</v>
      </c>
      <c r="E172" s="331" t="s">
        <v>311</v>
      </c>
      <c r="F172" s="332" t="s">
        <v>765</v>
      </c>
      <c r="G172" s="710" t="s">
        <v>669</v>
      </c>
      <c r="H172" s="710"/>
      <c r="I172" s="713">
        <v>0</v>
      </c>
      <c r="J172" s="335">
        <v>600000</v>
      </c>
      <c r="K172" s="714"/>
    </row>
    <row r="173" spans="2:11" s="45" customFormat="1" ht="57.75" customHeight="1" thickTop="1" thickBot="1" x14ac:dyDescent="0.25">
      <c r="B173" s="331" t="s">
        <v>650</v>
      </c>
      <c r="C173" s="331" t="s">
        <v>310</v>
      </c>
      <c r="D173" s="331" t="s">
        <v>304</v>
      </c>
      <c r="E173" s="331" t="s">
        <v>311</v>
      </c>
      <c r="F173" s="332" t="s">
        <v>764</v>
      </c>
      <c r="G173" s="710" t="s">
        <v>669</v>
      </c>
      <c r="H173" s="710"/>
      <c r="I173" s="713">
        <v>0</v>
      </c>
      <c r="J173" s="335">
        <v>400000</v>
      </c>
      <c r="K173" s="714"/>
    </row>
    <row r="174" spans="2:11" s="45" customFormat="1" ht="66.75" hidden="1" customHeight="1" thickTop="1" thickBot="1" x14ac:dyDescent="0.25">
      <c r="B174" s="331" t="s">
        <v>650</v>
      </c>
      <c r="C174" s="331" t="s">
        <v>310</v>
      </c>
      <c r="D174" s="331" t="s">
        <v>304</v>
      </c>
      <c r="E174" s="331" t="s">
        <v>311</v>
      </c>
      <c r="F174" s="332" t="s">
        <v>766</v>
      </c>
      <c r="G174" s="338" t="s">
        <v>661</v>
      </c>
      <c r="H174" s="335">
        <v>113479</v>
      </c>
      <c r="I174" s="714">
        <f>61479/H174</f>
        <v>0.54176543677684863</v>
      </c>
      <c r="J174" s="709">
        <v>0</v>
      </c>
      <c r="K174" s="714">
        <f>(61479+J174)/H174</f>
        <v>0.54176543677684863</v>
      </c>
    </row>
    <row r="175" spans="2:11" s="45" customFormat="1" ht="83.25" customHeight="1" thickTop="1" thickBot="1" x14ac:dyDescent="0.25">
      <c r="B175" s="331" t="s">
        <v>650</v>
      </c>
      <c r="C175" s="331" t="s">
        <v>310</v>
      </c>
      <c r="D175" s="331" t="s">
        <v>304</v>
      </c>
      <c r="E175" s="331" t="s">
        <v>311</v>
      </c>
      <c r="F175" s="332" t="s">
        <v>1090</v>
      </c>
      <c r="G175" s="710" t="s">
        <v>669</v>
      </c>
      <c r="H175" s="710"/>
      <c r="I175" s="713">
        <v>0</v>
      </c>
      <c r="J175" s="335">
        <v>180000</v>
      </c>
      <c r="K175" s="714"/>
    </row>
    <row r="176" spans="2:11" s="45" customFormat="1" ht="54.75" customHeight="1" thickTop="1" thickBot="1" x14ac:dyDescent="0.25">
      <c r="B176" s="331" t="s">
        <v>650</v>
      </c>
      <c r="C176" s="331" t="s">
        <v>310</v>
      </c>
      <c r="D176" s="331" t="s">
        <v>304</v>
      </c>
      <c r="E176" s="331" t="s">
        <v>311</v>
      </c>
      <c r="F176" s="332" t="s">
        <v>1091</v>
      </c>
      <c r="G176" s="710" t="s">
        <v>669</v>
      </c>
      <c r="H176" s="710"/>
      <c r="I176" s="713"/>
      <c r="J176" s="710">
        <f>200000-49732</f>
        <v>150268</v>
      </c>
      <c r="K176" s="714"/>
    </row>
    <row r="177" spans="2:11" s="45" customFormat="1" ht="42" customHeight="1" thickTop="1" thickBot="1" x14ac:dyDescent="0.25">
      <c r="B177" s="331" t="s">
        <v>650</v>
      </c>
      <c r="C177" s="331" t="s">
        <v>310</v>
      </c>
      <c r="D177" s="331" t="s">
        <v>304</v>
      </c>
      <c r="E177" s="331" t="s">
        <v>311</v>
      </c>
      <c r="F177" s="332" t="s">
        <v>1133</v>
      </c>
      <c r="G177" s="710" t="s">
        <v>669</v>
      </c>
      <c r="H177" s="710"/>
      <c r="I177" s="713">
        <v>0</v>
      </c>
      <c r="J177" s="335">
        <v>180000</v>
      </c>
      <c r="K177" s="714"/>
    </row>
    <row r="178" spans="2:11" s="45" customFormat="1" ht="72" customHeight="1" thickTop="1" thickBot="1" x14ac:dyDescent="0.25">
      <c r="B178" s="331" t="s">
        <v>650</v>
      </c>
      <c r="C178" s="331" t="s">
        <v>310</v>
      </c>
      <c r="D178" s="331" t="s">
        <v>304</v>
      </c>
      <c r="E178" s="331" t="s">
        <v>311</v>
      </c>
      <c r="F178" s="332" t="s">
        <v>1134</v>
      </c>
      <c r="G178" s="710" t="s">
        <v>669</v>
      </c>
      <c r="H178" s="710"/>
      <c r="I178" s="713">
        <v>0</v>
      </c>
      <c r="J178" s="335">
        <v>180000</v>
      </c>
      <c r="K178" s="714"/>
    </row>
    <row r="179" spans="2:11" s="45" customFormat="1" ht="46.5" thickTop="1" thickBot="1" x14ac:dyDescent="0.25">
      <c r="B179" s="331" t="s">
        <v>650</v>
      </c>
      <c r="C179" s="331" t="s">
        <v>310</v>
      </c>
      <c r="D179" s="331" t="s">
        <v>304</v>
      </c>
      <c r="E179" s="331" t="s">
        <v>311</v>
      </c>
      <c r="F179" s="332" t="s">
        <v>1135</v>
      </c>
      <c r="G179" s="710" t="s">
        <v>669</v>
      </c>
      <c r="H179" s="710"/>
      <c r="I179" s="713">
        <v>0</v>
      </c>
      <c r="J179" s="335">
        <v>90000</v>
      </c>
      <c r="K179" s="714"/>
    </row>
    <row r="180" spans="2:11" s="45" customFormat="1" ht="127.5" customHeight="1" thickTop="1" thickBot="1" x14ac:dyDescent="0.25">
      <c r="B180" s="331" t="s">
        <v>650</v>
      </c>
      <c r="C180" s="331" t="s">
        <v>310</v>
      </c>
      <c r="D180" s="331" t="s">
        <v>304</v>
      </c>
      <c r="E180" s="331" t="s">
        <v>311</v>
      </c>
      <c r="F180" s="712" t="s">
        <v>1312</v>
      </c>
      <c r="G180" s="710" t="s">
        <v>669</v>
      </c>
      <c r="H180" s="710"/>
      <c r="I180" s="713">
        <v>0</v>
      </c>
      <c r="J180" s="710">
        <v>500000</v>
      </c>
      <c r="K180" s="713"/>
    </row>
    <row r="181" spans="2:11" s="45" customFormat="1" ht="96" customHeight="1" thickTop="1" thickBot="1" x14ac:dyDescent="0.25">
      <c r="B181" s="277" t="s">
        <v>651</v>
      </c>
      <c r="C181" s="277" t="s">
        <v>327</v>
      </c>
      <c r="D181" s="277" t="s">
        <v>326</v>
      </c>
      <c r="E181" s="277" t="s">
        <v>508</v>
      </c>
      <c r="F181" s="278" t="s">
        <v>53</v>
      </c>
      <c r="G181" s="278"/>
      <c r="H181" s="279"/>
      <c r="I181" s="278"/>
      <c r="J181" s="276">
        <f>SUM(J182:J188)</f>
        <v>5300000</v>
      </c>
      <c r="K181" s="276"/>
    </row>
    <row r="182" spans="2:11" s="45" customFormat="1" ht="105" customHeight="1" thickTop="1" thickBot="1" x14ac:dyDescent="0.25">
      <c r="B182" s="331" t="s">
        <v>651</v>
      </c>
      <c r="C182" s="331" t="s">
        <v>327</v>
      </c>
      <c r="D182" s="331" t="s">
        <v>326</v>
      </c>
      <c r="E182" s="331" t="s">
        <v>508</v>
      </c>
      <c r="F182" s="332" t="s">
        <v>1322</v>
      </c>
      <c r="G182" s="335" t="s">
        <v>1373</v>
      </c>
      <c r="H182" s="710">
        <v>11252200</v>
      </c>
      <c r="I182" s="716">
        <v>0</v>
      </c>
      <c r="J182" s="710">
        <v>2000000</v>
      </c>
      <c r="K182" s="716">
        <f>J182/H182</f>
        <v>0.17774301914292318</v>
      </c>
    </row>
    <row r="183" spans="2:11" s="45" customFormat="1" ht="107.25" customHeight="1" thickTop="1" thickBot="1" x14ac:dyDescent="0.25">
      <c r="B183" s="331" t="s">
        <v>651</v>
      </c>
      <c r="C183" s="331" t="s">
        <v>327</v>
      </c>
      <c r="D183" s="331" t="s">
        <v>326</v>
      </c>
      <c r="E183" s="331" t="s">
        <v>508</v>
      </c>
      <c r="F183" s="332" t="s">
        <v>677</v>
      </c>
      <c r="G183" s="335" t="s">
        <v>597</v>
      </c>
      <c r="H183" s="335">
        <v>18370999</v>
      </c>
      <c r="I183" s="717">
        <f>(140000+253335)/H183</f>
        <v>2.1410648381179488E-2</v>
      </c>
      <c r="J183" s="335">
        <f>3000000</f>
        <v>3000000</v>
      </c>
      <c r="K183" s="717">
        <f>(140000+253415+J183)/H183</f>
        <v>0.18471586656773537</v>
      </c>
    </row>
    <row r="184" spans="2:11" s="45" customFormat="1" ht="105" hidden="1" customHeight="1" thickTop="1" thickBot="1" x14ac:dyDescent="0.25">
      <c r="B184" s="331" t="s">
        <v>651</v>
      </c>
      <c r="C184" s="331" t="s">
        <v>327</v>
      </c>
      <c r="D184" s="331" t="s">
        <v>326</v>
      </c>
      <c r="E184" s="331" t="s">
        <v>508</v>
      </c>
      <c r="F184" s="332" t="s">
        <v>666</v>
      </c>
      <c r="G184" s="335"/>
      <c r="H184" s="335"/>
      <c r="I184" s="717"/>
      <c r="J184" s="335">
        <f>200000-200000</f>
        <v>0</v>
      </c>
      <c r="K184" s="714"/>
    </row>
    <row r="185" spans="2:11" s="45" customFormat="1" ht="93.75" customHeight="1" thickTop="1" thickBot="1" x14ac:dyDescent="0.25">
      <c r="B185" s="331" t="s">
        <v>651</v>
      </c>
      <c r="C185" s="331" t="s">
        <v>327</v>
      </c>
      <c r="D185" s="331" t="s">
        <v>326</v>
      </c>
      <c r="E185" s="331" t="s">
        <v>508</v>
      </c>
      <c r="F185" s="332" t="s">
        <v>1089</v>
      </c>
      <c r="G185" s="335" t="s">
        <v>669</v>
      </c>
      <c r="H185" s="335"/>
      <c r="I185" s="717">
        <v>0</v>
      </c>
      <c r="J185" s="335">
        <v>300000</v>
      </c>
      <c r="K185" s="714"/>
    </row>
    <row r="186" spans="2:11" s="45" customFormat="1" ht="103.5" hidden="1" customHeight="1" thickTop="1" thickBot="1" x14ac:dyDescent="0.25">
      <c r="B186" s="331" t="s">
        <v>651</v>
      </c>
      <c r="C186" s="331" t="s">
        <v>327</v>
      </c>
      <c r="D186" s="331" t="s">
        <v>326</v>
      </c>
      <c r="E186" s="331" t="s">
        <v>508</v>
      </c>
      <c r="F186" s="339" t="s">
        <v>1152</v>
      </c>
      <c r="G186" s="335"/>
      <c r="H186" s="335"/>
      <c r="I186" s="329"/>
      <c r="J186" s="709">
        <f>257020-257020</f>
        <v>0</v>
      </c>
      <c r="K186" s="286"/>
    </row>
    <row r="187" spans="2:11" s="45" customFormat="1" ht="119.25" hidden="1" customHeight="1" thickTop="1" thickBot="1" x14ac:dyDescent="0.25">
      <c r="B187" s="331" t="s">
        <v>651</v>
      </c>
      <c r="C187" s="331" t="s">
        <v>327</v>
      </c>
      <c r="D187" s="331" t="s">
        <v>326</v>
      </c>
      <c r="E187" s="331" t="s">
        <v>508</v>
      </c>
      <c r="F187" s="339" t="s">
        <v>1153</v>
      </c>
      <c r="G187" s="335"/>
      <c r="H187" s="335"/>
      <c r="I187" s="329"/>
      <c r="J187" s="709">
        <f>224762-224762</f>
        <v>0</v>
      </c>
      <c r="K187" s="286"/>
    </row>
    <row r="188" spans="2:11" s="45" customFormat="1" ht="99" hidden="1" customHeight="1" thickTop="1" thickBot="1" x14ac:dyDescent="0.25">
      <c r="B188" s="331" t="s">
        <v>651</v>
      </c>
      <c r="C188" s="331" t="s">
        <v>327</v>
      </c>
      <c r="D188" s="331" t="s">
        <v>326</v>
      </c>
      <c r="E188" s="331" t="s">
        <v>508</v>
      </c>
      <c r="F188" s="339" t="s">
        <v>1154</v>
      </c>
      <c r="G188" s="335" t="s">
        <v>669</v>
      </c>
      <c r="H188" s="335"/>
      <c r="I188" s="329"/>
      <c r="J188" s="709">
        <f>498740-498740</f>
        <v>0</v>
      </c>
      <c r="K188" s="286"/>
    </row>
    <row r="189" spans="2:11" s="45" customFormat="1" ht="62.25" customHeight="1" thickTop="1" thickBot="1" x14ac:dyDescent="0.25">
      <c r="B189" s="277" t="s">
        <v>652</v>
      </c>
      <c r="C189" s="277" t="s">
        <v>315</v>
      </c>
      <c r="D189" s="277" t="s">
        <v>317</v>
      </c>
      <c r="E189" s="277" t="s">
        <v>316</v>
      </c>
      <c r="F189" s="278" t="s">
        <v>61</v>
      </c>
      <c r="G189" s="278"/>
      <c r="H189" s="279"/>
      <c r="I189" s="278"/>
      <c r="J189" s="279">
        <f>(16932021+60000000)-5594808-6800000</f>
        <v>64537213</v>
      </c>
      <c r="K189" s="286"/>
    </row>
    <row r="190" spans="2:11" s="45" customFormat="1" ht="76.5" thickTop="1" thickBot="1" x14ac:dyDescent="0.25">
      <c r="B190" s="277" t="s">
        <v>653</v>
      </c>
      <c r="C190" s="277" t="s">
        <v>233</v>
      </c>
      <c r="D190" s="277" t="s">
        <v>234</v>
      </c>
      <c r="E190" s="277" t="s">
        <v>43</v>
      </c>
      <c r="F190" s="333" t="s">
        <v>1081</v>
      </c>
      <c r="G190" s="278" t="s">
        <v>533</v>
      </c>
      <c r="H190" s="336">
        <v>30859243</v>
      </c>
      <c r="I190" s="329">
        <v>0</v>
      </c>
      <c r="J190" s="282">
        <f>18508795.58+2040727</f>
        <v>20549522.579999998</v>
      </c>
      <c r="K190" s="329">
        <f>J190/H190</f>
        <v>0.66591142822265592</v>
      </c>
    </row>
    <row r="191" spans="2:11" s="45" customFormat="1" ht="31.5" thickTop="1" thickBot="1" x14ac:dyDescent="0.25">
      <c r="B191" s="277" t="s">
        <v>654</v>
      </c>
      <c r="C191" s="277" t="s">
        <v>218</v>
      </c>
      <c r="D191" s="277" t="s">
        <v>187</v>
      </c>
      <c r="E191" s="277" t="s">
        <v>36</v>
      </c>
      <c r="F191" s="278" t="s">
        <v>53</v>
      </c>
      <c r="G191" s="278"/>
      <c r="H191" s="337"/>
      <c r="I191" s="278"/>
      <c r="J191" s="279">
        <f>SUM(J192:J233)</f>
        <v>43568839</v>
      </c>
      <c r="K191" s="286"/>
    </row>
    <row r="192" spans="2:11" s="45" customFormat="1" ht="61.5" thickTop="1" thickBot="1" x14ac:dyDescent="0.25">
      <c r="B192" s="479" t="s">
        <v>654</v>
      </c>
      <c r="C192" s="479" t="s">
        <v>218</v>
      </c>
      <c r="D192" s="479" t="s">
        <v>187</v>
      </c>
      <c r="E192" s="479" t="s">
        <v>36</v>
      </c>
      <c r="F192" s="480" t="s">
        <v>1088</v>
      </c>
      <c r="G192" s="718"/>
      <c r="H192" s="484"/>
      <c r="I192" s="719"/>
      <c r="J192" s="710">
        <f>1220300-2300</f>
        <v>1218000</v>
      </c>
      <c r="K192" s="719"/>
    </row>
    <row r="193" spans="2:11" s="45" customFormat="1" ht="61.5" thickTop="1" thickBot="1" x14ac:dyDescent="0.25">
      <c r="B193" s="479" t="s">
        <v>654</v>
      </c>
      <c r="C193" s="479" t="s">
        <v>218</v>
      </c>
      <c r="D193" s="479" t="s">
        <v>187</v>
      </c>
      <c r="E193" s="479" t="s">
        <v>36</v>
      </c>
      <c r="F193" s="460" t="s">
        <v>1313</v>
      </c>
      <c r="G193" s="711"/>
      <c r="H193" s="710"/>
      <c r="I193" s="716"/>
      <c r="J193" s="710">
        <v>540000</v>
      </c>
      <c r="K193" s="716"/>
    </row>
    <row r="194" spans="2:11" s="45" customFormat="1" ht="76.5" thickTop="1" thickBot="1" x14ac:dyDescent="0.25">
      <c r="B194" s="479" t="s">
        <v>654</v>
      </c>
      <c r="C194" s="479" t="s">
        <v>218</v>
      </c>
      <c r="D194" s="479" t="s">
        <v>187</v>
      </c>
      <c r="E194" s="479" t="s">
        <v>36</v>
      </c>
      <c r="F194" s="460" t="s">
        <v>1314</v>
      </c>
      <c r="G194" s="711"/>
      <c r="H194" s="710"/>
      <c r="I194" s="716"/>
      <c r="J194" s="710">
        <v>660000</v>
      </c>
      <c r="K194" s="716"/>
    </row>
    <row r="195" spans="2:11" s="45" customFormat="1" ht="46.5" thickTop="1" thickBot="1" x14ac:dyDescent="0.25">
      <c r="B195" s="479" t="s">
        <v>654</v>
      </c>
      <c r="C195" s="479" t="s">
        <v>218</v>
      </c>
      <c r="D195" s="479" t="s">
        <v>187</v>
      </c>
      <c r="E195" s="479" t="s">
        <v>36</v>
      </c>
      <c r="F195" s="480" t="s">
        <v>1184</v>
      </c>
      <c r="G195" s="718"/>
      <c r="H195" s="484"/>
      <c r="I195" s="719"/>
      <c r="J195" s="484">
        <v>2885097</v>
      </c>
      <c r="K195" s="719"/>
    </row>
    <row r="196" spans="2:11" s="45" customFormat="1" ht="46.5" thickTop="1" thickBot="1" x14ac:dyDescent="0.25">
      <c r="B196" s="479" t="s">
        <v>654</v>
      </c>
      <c r="C196" s="479" t="s">
        <v>218</v>
      </c>
      <c r="D196" s="479" t="s">
        <v>187</v>
      </c>
      <c r="E196" s="479" t="s">
        <v>36</v>
      </c>
      <c r="F196" s="480" t="s">
        <v>1101</v>
      </c>
      <c r="G196" s="718"/>
      <c r="H196" s="484"/>
      <c r="I196" s="719"/>
      <c r="J196" s="710">
        <f>50000+395000</f>
        <v>445000</v>
      </c>
      <c r="K196" s="719"/>
    </row>
    <row r="197" spans="2:11" s="45" customFormat="1" ht="76.5" thickTop="1" thickBot="1" x14ac:dyDescent="0.25">
      <c r="B197" s="331" t="s">
        <v>654</v>
      </c>
      <c r="C197" s="331" t="s">
        <v>218</v>
      </c>
      <c r="D197" s="331" t="s">
        <v>187</v>
      </c>
      <c r="E197" s="331" t="s">
        <v>36</v>
      </c>
      <c r="F197" s="333" t="s">
        <v>667</v>
      </c>
      <c r="G197" s="338" t="s">
        <v>668</v>
      </c>
      <c r="H197" s="335">
        <v>4730960</v>
      </c>
      <c r="I197" s="717">
        <f>(70200+0)/H197</f>
        <v>1.4838426027698396E-2</v>
      </c>
      <c r="J197" s="710">
        <f>3500000-3400000</f>
        <v>100000</v>
      </c>
      <c r="K197" s="717">
        <f>(70200+50000+J197)/H197</f>
        <v>4.6544464548421462E-2</v>
      </c>
    </row>
    <row r="198" spans="2:11" s="45" customFormat="1" ht="138.75" hidden="1" customHeight="1" thickTop="1" thickBot="1" x14ac:dyDescent="0.25">
      <c r="B198" s="331" t="s">
        <v>654</v>
      </c>
      <c r="C198" s="331" t="s">
        <v>218</v>
      </c>
      <c r="D198" s="331" t="s">
        <v>187</v>
      </c>
      <c r="E198" s="331" t="s">
        <v>36</v>
      </c>
      <c r="F198" s="339" t="s">
        <v>604</v>
      </c>
      <c r="G198" s="338" t="s">
        <v>669</v>
      </c>
      <c r="H198" s="335"/>
      <c r="I198" s="717">
        <v>0</v>
      </c>
      <c r="J198" s="709">
        <f>400000-380000-20000</f>
        <v>0</v>
      </c>
      <c r="K198" s="335"/>
    </row>
    <row r="199" spans="2:11" s="45" customFormat="1" ht="123" customHeight="1" thickTop="1" thickBot="1" x14ac:dyDescent="0.25">
      <c r="B199" s="331" t="s">
        <v>654</v>
      </c>
      <c r="C199" s="331" t="s">
        <v>218</v>
      </c>
      <c r="D199" s="331" t="s">
        <v>187</v>
      </c>
      <c r="E199" s="331" t="s">
        <v>36</v>
      </c>
      <c r="F199" s="339" t="s">
        <v>1217</v>
      </c>
      <c r="G199" s="338" t="s">
        <v>669</v>
      </c>
      <c r="H199" s="335"/>
      <c r="I199" s="717">
        <v>0</v>
      </c>
      <c r="J199" s="335">
        <f>380000+470000</f>
        <v>850000</v>
      </c>
      <c r="K199" s="335"/>
    </row>
    <row r="200" spans="2:11" s="45" customFormat="1" ht="100.5" customHeight="1" thickTop="1" thickBot="1" x14ac:dyDescent="0.25">
      <c r="B200" s="331" t="s">
        <v>654</v>
      </c>
      <c r="C200" s="331" t="s">
        <v>218</v>
      </c>
      <c r="D200" s="331" t="s">
        <v>187</v>
      </c>
      <c r="E200" s="331" t="s">
        <v>36</v>
      </c>
      <c r="F200" s="339" t="s">
        <v>1315</v>
      </c>
      <c r="G200" s="338" t="s">
        <v>669</v>
      </c>
      <c r="H200" s="335"/>
      <c r="I200" s="717">
        <v>0</v>
      </c>
      <c r="J200" s="710">
        <v>50000</v>
      </c>
      <c r="K200" s="717"/>
    </row>
    <row r="201" spans="2:11" s="45" customFormat="1" ht="95.25" customHeight="1" thickTop="1" thickBot="1" x14ac:dyDescent="0.25">
      <c r="B201" s="331" t="s">
        <v>654</v>
      </c>
      <c r="C201" s="331" t="s">
        <v>218</v>
      </c>
      <c r="D201" s="331" t="s">
        <v>187</v>
      </c>
      <c r="E201" s="331" t="s">
        <v>36</v>
      </c>
      <c r="F201" s="339" t="s">
        <v>1187</v>
      </c>
      <c r="G201" s="338" t="s">
        <v>669</v>
      </c>
      <c r="H201" s="335"/>
      <c r="I201" s="717">
        <v>0</v>
      </c>
      <c r="J201" s="335">
        <v>200000</v>
      </c>
      <c r="K201" s="335"/>
    </row>
    <row r="202" spans="2:11" s="45" customFormat="1" ht="106.5" thickTop="1" thickBot="1" x14ac:dyDescent="0.25">
      <c r="B202" s="331" t="s">
        <v>654</v>
      </c>
      <c r="C202" s="331" t="s">
        <v>218</v>
      </c>
      <c r="D202" s="331" t="s">
        <v>187</v>
      </c>
      <c r="E202" s="331" t="s">
        <v>36</v>
      </c>
      <c r="F202" s="339" t="s">
        <v>1185</v>
      </c>
      <c r="G202" s="338" t="s">
        <v>669</v>
      </c>
      <c r="H202" s="335"/>
      <c r="I202" s="717">
        <v>0</v>
      </c>
      <c r="J202" s="335">
        <v>50000</v>
      </c>
      <c r="K202" s="335"/>
    </row>
    <row r="203" spans="2:11" s="45" customFormat="1" ht="91.5" thickTop="1" thickBot="1" x14ac:dyDescent="0.25">
      <c r="B203" s="331" t="s">
        <v>654</v>
      </c>
      <c r="C203" s="331" t="s">
        <v>218</v>
      </c>
      <c r="D203" s="331" t="s">
        <v>187</v>
      </c>
      <c r="E203" s="331" t="s">
        <v>36</v>
      </c>
      <c r="F203" s="339" t="s">
        <v>1321</v>
      </c>
      <c r="G203" s="338" t="s">
        <v>669</v>
      </c>
      <c r="H203" s="335">
        <v>1301922</v>
      </c>
      <c r="I203" s="717">
        <v>0</v>
      </c>
      <c r="J203" s="710">
        <f>1301922-183000</f>
        <v>1118922</v>
      </c>
      <c r="K203" s="717">
        <f>J203/H203</f>
        <v>0.85943858387829686</v>
      </c>
    </row>
    <row r="204" spans="2:11" s="45" customFormat="1" ht="76.5" thickTop="1" thickBot="1" x14ac:dyDescent="0.25">
      <c r="B204" s="331" t="s">
        <v>654</v>
      </c>
      <c r="C204" s="331" t="s">
        <v>218</v>
      </c>
      <c r="D204" s="331" t="s">
        <v>187</v>
      </c>
      <c r="E204" s="331" t="s">
        <v>36</v>
      </c>
      <c r="F204" s="339" t="s">
        <v>1375</v>
      </c>
      <c r="G204" s="338" t="s">
        <v>1320</v>
      </c>
      <c r="H204" s="335"/>
      <c r="I204" s="717">
        <v>0</v>
      </c>
      <c r="J204" s="335">
        <v>2000000</v>
      </c>
      <c r="K204" s="717"/>
    </row>
    <row r="205" spans="2:11" s="45" customFormat="1" ht="90.75" customHeight="1" thickTop="1" thickBot="1" x14ac:dyDescent="0.25">
      <c r="B205" s="375" t="s">
        <v>654</v>
      </c>
      <c r="C205" s="375" t="s">
        <v>218</v>
      </c>
      <c r="D205" s="375" t="s">
        <v>187</v>
      </c>
      <c r="E205" s="375" t="s">
        <v>36</v>
      </c>
      <c r="F205" s="533" t="s">
        <v>1374</v>
      </c>
      <c r="G205" s="711"/>
      <c r="H205" s="710"/>
      <c r="I205" s="717"/>
      <c r="J205" s="710">
        <v>145000</v>
      </c>
      <c r="K205" s="716"/>
    </row>
    <row r="206" spans="2:11" s="45" customFormat="1" ht="46.5" thickTop="1" thickBot="1" x14ac:dyDescent="0.25">
      <c r="B206" s="375" t="s">
        <v>654</v>
      </c>
      <c r="C206" s="375" t="s">
        <v>218</v>
      </c>
      <c r="D206" s="375" t="s">
        <v>187</v>
      </c>
      <c r="E206" s="375" t="s">
        <v>36</v>
      </c>
      <c r="F206" s="533" t="s">
        <v>1316</v>
      </c>
      <c r="G206" s="711"/>
      <c r="H206" s="710"/>
      <c r="I206" s="711"/>
      <c r="J206" s="710">
        <v>38000</v>
      </c>
      <c r="K206" s="716"/>
    </row>
    <row r="207" spans="2:11" s="45" customFormat="1" ht="46.5" thickTop="1" thickBot="1" x14ac:dyDescent="0.25">
      <c r="B207" s="375" t="s">
        <v>654</v>
      </c>
      <c r="C207" s="375" t="s">
        <v>218</v>
      </c>
      <c r="D207" s="375" t="s">
        <v>187</v>
      </c>
      <c r="E207" s="375" t="s">
        <v>36</v>
      </c>
      <c r="F207" s="533" t="s">
        <v>1317</v>
      </c>
      <c r="G207" s="711"/>
      <c r="H207" s="710"/>
      <c r="I207" s="711"/>
      <c r="J207" s="710">
        <v>790000</v>
      </c>
      <c r="K207" s="716"/>
    </row>
    <row r="208" spans="2:11" s="45" customFormat="1" ht="46.5" thickTop="1" thickBot="1" x14ac:dyDescent="0.25">
      <c r="B208" s="331" t="s">
        <v>654</v>
      </c>
      <c r="C208" s="331" t="s">
        <v>218</v>
      </c>
      <c r="D208" s="331" t="s">
        <v>187</v>
      </c>
      <c r="E208" s="331" t="s">
        <v>36</v>
      </c>
      <c r="F208" s="339" t="s">
        <v>1085</v>
      </c>
      <c r="G208" s="338"/>
      <c r="H208" s="335"/>
      <c r="I208" s="338"/>
      <c r="J208" s="335">
        <v>22200</v>
      </c>
      <c r="K208" s="717"/>
    </row>
    <row r="209" spans="2:11" s="45" customFormat="1" ht="46.5" thickTop="1" thickBot="1" x14ac:dyDescent="0.25">
      <c r="B209" s="331" t="s">
        <v>654</v>
      </c>
      <c r="C209" s="331" t="s">
        <v>218</v>
      </c>
      <c r="D209" s="331" t="s">
        <v>187</v>
      </c>
      <c r="E209" s="331" t="s">
        <v>36</v>
      </c>
      <c r="F209" s="339" t="s">
        <v>1319</v>
      </c>
      <c r="G209" s="338"/>
      <c r="H209" s="335"/>
      <c r="I209" s="338"/>
      <c r="J209" s="335">
        <v>6400</v>
      </c>
      <c r="K209" s="717"/>
    </row>
    <row r="210" spans="2:11" s="45" customFormat="1" ht="61.5" thickTop="1" thickBot="1" x14ac:dyDescent="0.25">
      <c r="B210" s="331" t="s">
        <v>654</v>
      </c>
      <c r="C210" s="331" t="s">
        <v>218</v>
      </c>
      <c r="D210" s="331" t="s">
        <v>187</v>
      </c>
      <c r="E210" s="331" t="s">
        <v>36</v>
      </c>
      <c r="F210" s="339" t="s">
        <v>1086</v>
      </c>
      <c r="G210" s="338"/>
      <c r="H210" s="335"/>
      <c r="I210" s="338"/>
      <c r="J210" s="335">
        <v>350000</v>
      </c>
      <c r="K210" s="717"/>
    </row>
    <row r="211" spans="2:11" s="45" customFormat="1" ht="46.5" thickTop="1" thickBot="1" x14ac:dyDescent="0.25">
      <c r="B211" s="331" t="s">
        <v>654</v>
      </c>
      <c r="C211" s="331" t="s">
        <v>218</v>
      </c>
      <c r="D211" s="331" t="s">
        <v>187</v>
      </c>
      <c r="E211" s="331" t="s">
        <v>36</v>
      </c>
      <c r="F211" s="339" t="s">
        <v>1087</v>
      </c>
      <c r="G211" s="338"/>
      <c r="H211" s="335"/>
      <c r="I211" s="338"/>
      <c r="J211" s="335">
        <v>48590</v>
      </c>
      <c r="K211" s="717"/>
    </row>
    <row r="212" spans="2:11" s="45" customFormat="1" ht="91.5" thickTop="1" thickBot="1" x14ac:dyDescent="0.25">
      <c r="B212" s="331" t="s">
        <v>654</v>
      </c>
      <c r="C212" s="331" t="s">
        <v>218</v>
      </c>
      <c r="D212" s="331" t="s">
        <v>187</v>
      </c>
      <c r="E212" s="331" t="s">
        <v>36</v>
      </c>
      <c r="F212" s="333" t="s">
        <v>1203</v>
      </c>
      <c r="G212" s="338" t="s">
        <v>669</v>
      </c>
      <c r="H212" s="335">
        <v>1050599</v>
      </c>
      <c r="I212" s="717">
        <v>0</v>
      </c>
      <c r="J212" s="710">
        <f>1050599-70414</f>
        <v>980185</v>
      </c>
      <c r="K212" s="717">
        <f>J212/H212</f>
        <v>0.93297728248361178</v>
      </c>
    </row>
    <row r="213" spans="2:11" s="45" customFormat="1" ht="91.5" thickTop="1" thickBot="1" x14ac:dyDescent="0.25">
      <c r="B213" s="331" t="s">
        <v>654</v>
      </c>
      <c r="C213" s="331" t="s">
        <v>218</v>
      </c>
      <c r="D213" s="331" t="s">
        <v>187</v>
      </c>
      <c r="E213" s="331" t="s">
        <v>36</v>
      </c>
      <c r="F213" s="339" t="s">
        <v>670</v>
      </c>
      <c r="G213" s="338" t="s">
        <v>669</v>
      </c>
      <c r="H213" s="335">
        <v>694860</v>
      </c>
      <c r="I213" s="717">
        <v>0</v>
      </c>
      <c r="J213" s="710">
        <f>694860-72171</f>
        <v>622689</v>
      </c>
      <c r="K213" s="717">
        <f>J213/H213</f>
        <v>0.89613591227009759</v>
      </c>
    </row>
    <row r="214" spans="2:11" s="45" customFormat="1" ht="136.5" thickTop="1" thickBot="1" x14ac:dyDescent="0.25">
      <c r="B214" s="331" t="s">
        <v>654</v>
      </c>
      <c r="C214" s="331" t="s">
        <v>218</v>
      </c>
      <c r="D214" s="331" t="s">
        <v>187</v>
      </c>
      <c r="E214" s="331" t="s">
        <v>36</v>
      </c>
      <c r="F214" s="339" t="s">
        <v>671</v>
      </c>
      <c r="G214" s="335" t="s">
        <v>533</v>
      </c>
      <c r="H214" s="335">
        <v>1306212</v>
      </c>
      <c r="I214" s="717">
        <f>(300000+299522)/H214</f>
        <v>0.4589775626008642</v>
      </c>
      <c r="J214" s="335">
        <v>700000</v>
      </c>
      <c r="K214" s="717">
        <f>(300000+300000+J214)/H214</f>
        <v>0.99524426356517937</v>
      </c>
    </row>
    <row r="215" spans="2:11" s="45" customFormat="1" ht="76.5" thickTop="1" thickBot="1" x14ac:dyDescent="0.25">
      <c r="B215" s="331" t="s">
        <v>654</v>
      </c>
      <c r="C215" s="331" t="s">
        <v>218</v>
      </c>
      <c r="D215" s="331" t="s">
        <v>187</v>
      </c>
      <c r="E215" s="331" t="s">
        <v>36</v>
      </c>
      <c r="F215" s="339" t="s">
        <v>672</v>
      </c>
      <c r="G215" s="335" t="s">
        <v>669</v>
      </c>
      <c r="H215" s="335">
        <v>700000</v>
      </c>
      <c r="I215" s="717">
        <v>0</v>
      </c>
      <c r="J215" s="335">
        <f>700000-210000</f>
        <v>490000</v>
      </c>
      <c r="K215" s="717">
        <v>1</v>
      </c>
    </row>
    <row r="216" spans="2:11" s="45" customFormat="1" ht="61.5" thickTop="1" thickBot="1" x14ac:dyDescent="0.25">
      <c r="B216" s="331" t="s">
        <v>654</v>
      </c>
      <c r="C216" s="331" t="s">
        <v>218</v>
      </c>
      <c r="D216" s="331" t="s">
        <v>187</v>
      </c>
      <c r="E216" s="331" t="s">
        <v>36</v>
      </c>
      <c r="F216" s="339" t="s">
        <v>598</v>
      </c>
      <c r="G216" s="335" t="s">
        <v>533</v>
      </c>
      <c r="H216" s="335">
        <v>1978170</v>
      </c>
      <c r="I216" s="717">
        <f>899093.21/H216</f>
        <v>0.45450755496241474</v>
      </c>
      <c r="J216" s="335">
        <v>1078170</v>
      </c>
      <c r="K216" s="717">
        <f>(900000+J216)/H216</f>
        <v>1</v>
      </c>
    </row>
    <row r="217" spans="2:11" s="45" customFormat="1" ht="91.5" thickTop="1" thickBot="1" x14ac:dyDescent="0.25">
      <c r="B217" s="331" t="s">
        <v>654</v>
      </c>
      <c r="C217" s="331" t="s">
        <v>218</v>
      </c>
      <c r="D217" s="331" t="s">
        <v>187</v>
      </c>
      <c r="E217" s="331" t="s">
        <v>36</v>
      </c>
      <c r="F217" s="339" t="s">
        <v>1136</v>
      </c>
      <c r="G217" s="335" t="s">
        <v>669</v>
      </c>
      <c r="H217" s="335">
        <v>3490558</v>
      </c>
      <c r="I217" s="717">
        <v>0</v>
      </c>
      <c r="J217" s="710">
        <f>100000+1500000+500000</f>
        <v>2100000</v>
      </c>
      <c r="K217" s="717">
        <f>J217/H217</f>
        <v>0.60162300698054583</v>
      </c>
    </row>
    <row r="218" spans="2:11" s="45" customFormat="1" ht="91.5" hidden="1" thickTop="1" thickBot="1" x14ac:dyDescent="0.25">
      <c r="B218" s="331" t="s">
        <v>654</v>
      </c>
      <c r="C218" s="331" t="s">
        <v>218</v>
      </c>
      <c r="D218" s="331" t="s">
        <v>187</v>
      </c>
      <c r="E218" s="331" t="s">
        <v>36</v>
      </c>
      <c r="F218" s="339" t="s">
        <v>768</v>
      </c>
      <c r="G218" s="335"/>
      <c r="H218" s="335"/>
      <c r="I218" s="717"/>
      <c r="J218" s="335">
        <f>100000-100000</f>
        <v>0</v>
      </c>
      <c r="K218" s="717"/>
    </row>
    <row r="219" spans="2:11" s="45" customFormat="1" ht="91.5" hidden="1" thickTop="1" thickBot="1" x14ac:dyDescent="0.25">
      <c r="B219" s="331" t="s">
        <v>654</v>
      </c>
      <c r="C219" s="331" t="s">
        <v>218</v>
      </c>
      <c r="D219" s="331" t="s">
        <v>187</v>
      </c>
      <c r="E219" s="331" t="s">
        <v>36</v>
      </c>
      <c r="F219" s="339" t="s">
        <v>769</v>
      </c>
      <c r="G219" s="335"/>
      <c r="H219" s="335"/>
      <c r="I219" s="717"/>
      <c r="J219" s="335">
        <f>100000-100000</f>
        <v>0</v>
      </c>
      <c r="K219" s="717"/>
    </row>
    <row r="220" spans="2:11" s="45" customFormat="1" ht="105" customHeight="1" thickTop="1" thickBot="1" x14ac:dyDescent="0.25">
      <c r="B220" s="331" t="s">
        <v>654</v>
      </c>
      <c r="C220" s="331" t="s">
        <v>218</v>
      </c>
      <c r="D220" s="331" t="s">
        <v>187</v>
      </c>
      <c r="E220" s="331" t="s">
        <v>36</v>
      </c>
      <c r="F220" s="339" t="s">
        <v>767</v>
      </c>
      <c r="G220" s="338" t="s">
        <v>1105</v>
      </c>
      <c r="H220" s="335">
        <v>11472055</v>
      </c>
      <c r="I220" s="717">
        <f>(6562194)/H220</f>
        <v>0.57201556303556778</v>
      </c>
      <c r="J220" s="335">
        <f>4571460+102000</f>
        <v>4673460</v>
      </c>
      <c r="K220" s="717">
        <v>1</v>
      </c>
    </row>
    <row r="221" spans="2:11" s="45" customFormat="1" ht="46.5" thickTop="1" thickBot="1" x14ac:dyDescent="0.25">
      <c r="B221" s="331" t="s">
        <v>654</v>
      </c>
      <c r="C221" s="331" t="s">
        <v>218</v>
      </c>
      <c r="D221" s="331" t="s">
        <v>187</v>
      </c>
      <c r="E221" s="331" t="s">
        <v>36</v>
      </c>
      <c r="F221" s="339" t="s">
        <v>1027</v>
      </c>
      <c r="G221" s="338"/>
      <c r="H221" s="335"/>
      <c r="I221" s="717"/>
      <c r="J221" s="335">
        <v>1000000</v>
      </c>
      <c r="K221" s="717"/>
    </row>
    <row r="222" spans="2:11" s="45" customFormat="1" ht="91.5" thickTop="1" thickBot="1" x14ac:dyDescent="0.25">
      <c r="B222" s="331" t="s">
        <v>654</v>
      </c>
      <c r="C222" s="331" t="s">
        <v>218</v>
      </c>
      <c r="D222" s="331" t="s">
        <v>187</v>
      </c>
      <c r="E222" s="331" t="s">
        <v>36</v>
      </c>
      <c r="F222" s="339" t="s">
        <v>1204</v>
      </c>
      <c r="G222" s="711" t="s">
        <v>669</v>
      </c>
      <c r="H222" s="710">
        <v>6455767</v>
      </c>
      <c r="I222" s="716">
        <v>0</v>
      </c>
      <c r="J222" s="710">
        <f>4000000+1940000</f>
        <v>5940000</v>
      </c>
      <c r="K222" s="716">
        <f>J222/H222</f>
        <v>0.92010755654595344</v>
      </c>
    </row>
    <row r="223" spans="2:11" s="45" customFormat="1" ht="121.5" thickTop="1" thickBot="1" x14ac:dyDescent="0.25">
      <c r="B223" s="331" t="s">
        <v>654</v>
      </c>
      <c r="C223" s="331" t="s">
        <v>218</v>
      </c>
      <c r="D223" s="331" t="s">
        <v>187</v>
      </c>
      <c r="E223" s="331" t="s">
        <v>36</v>
      </c>
      <c r="F223" s="339" t="s">
        <v>1092</v>
      </c>
      <c r="G223" s="338" t="s">
        <v>669</v>
      </c>
      <c r="H223" s="335">
        <v>1187842</v>
      </c>
      <c r="I223" s="717">
        <f>0</f>
        <v>0</v>
      </c>
      <c r="J223" s="335">
        <v>593921</v>
      </c>
      <c r="K223" s="717">
        <v>1</v>
      </c>
    </row>
    <row r="224" spans="2:11" s="45" customFormat="1" ht="91.5" thickTop="1" thickBot="1" x14ac:dyDescent="0.25">
      <c r="B224" s="331" t="s">
        <v>654</v>
      </c>
      <c r="C224" s="331" t="s">
        <v>218</v>
      </c>
      <c r="D224" s="331" t="s">
        <v>187</v>
      </c>
      <c r="E224" s="331" t="s">
        <v>36</v>
      </c>
      <c r="F224" s="339" t="s">
        <v>1205</v>
      </c>
      <c r="G224" s="335" t="s">
        <v>669</v>
      </c>
      <c r="H224" s="335">
        <v>1201688</v>
      </c>
      <c r="I224" s="717">
        <f>(310000)/H224</f>
        <v>0.25797045489344989</v>
      </c>
      <c r="J224" s="335">
        <v>891000</v>
      </c>
      <c r="K224" s="717">
        <f>(310000+J224)/H224</f>
        <v>0.99942747202268811</v>
      </c>
    </row>
    <row r="225" spans="2:11" s="45" customFormat="1" ht="91.5" thickTop="1" thickBot="1" x14ac:dyDescent="0.25">
      <c r="B225" s="331" t="s">
        <v>654</v>
      </c>
      <c r="C225" s="331" t="s">
        <v>218</v>
      </c>
      <c r="D225" s="331" t="s">
        <v>187</v>
      </c>
      <c r="E225" s="331" t="s">
        <v>36</v>
      </c>
      <c r="F225" s="339" t="s">
        <v>1102</v>
      </c>
      <c r="G225" s="338" t="s">
        <v>669</v>
      </c>
      <c r="H225" s="335">
        <v>2924077</v>
      </c>
      <c r="I225" s="717">
        <v>0</v>
      </c>
      <c r="J225" s="335">
        <v>100000</v>
      </c>
      <c r="K225" s="717">
        <f>J225/H225</f>
        <v>3.4198825817514385E-2</v>
      </c>
    </row>
    <row r="226" spans="2:11" s="45" customFormat="1" ht="91.5" thickTop="1" thickBot="1" x14ac:dyDescent="0.25">
      <c r="B226" s="331" t="s">
        <v>654</v>
      </c>
      <c r="C226" s="331" t="s">
        <v>218</v>
      </c>
      <c r="D226" s="331" t="s">
        <v>187</v>
      </c>
      <c r="E226" s="331" t="s">
        <v>36</v>
      </c>
      <c r="F226" s="339" t="s">
        <v>1137</v>
      </c>
      <c r="G226" s="335" t="s">
        <v>669</v>
      </c>
      <c r="H226" s="335">
        <v>990371</v>
      </c>
      <c r="I226" s="717">
        <v>0</v>
      </c>
      <c r="J226" s="335">
        <v>495200</v>
      </c>
      <c r="K226" s="717">
        <f>J226/H226</f>
        <v>0.50001464097797699</v>
      </c>
    </row>
    <row r="227" spans="2:11" s="45" customFormat="1" ht="121.5" thickTop="1" thickBot="1" x14ac:dyDescent="0.25">
      <c r="B227" s="331" t="s">
        <v>654</v>
      </c>
      <c r="C227" s="375" t="s">
        <v>218</v>
      </c>
      <c r="D227" s="375" t="s">
        <v>187</v>
      </c>
      <c r="E227" s="375" t="s">
        <v>36</v>
      </c>
      <c r="F227" s="533" t="s">
        <v>1318</v>
      </c>
      <c r="G227" s="710" t="s">
        <v>1320</v>
      </c>
      <c r="H227" s="710">
        <v>3193463</v>
      </c>
      <c r="I227" s="716">
        <v>0</v>
      </c>
      <c r="J227" s="710">
        <v>1000000</v>
      </c>
      <c r="K227" s="717">
        <f>J227/H227</f>
        <v>0.31313968566412076</v>
      </c>
    </row>
    <row r="228" spans="2:11" s="45" customFormat="1" ht="46.5" thickTop="1" thickBot="1" x14ac:dyDescent="0.25">
      <c r="B228" s="331" t="s">
        <v>654</v>
      </c>
      <c r="C228" s="331" t="s">
        <v>218</v>
      </c>
      <c r="D228" s="331" t="s">
        <v>187</v>
      </c>
      <c r="E228" s="331" t="s">
        <v>36</v>
      </c>
      <c r="F228" s="339" t="s">
        <v>1138</v>
      </c>
      <c r="G228" s="331"/>
      <c r="H228" s="331"/>
      <c r="I228" s="331"/>
      <c r="J228" s="335">
        <v>2000000</v>
      </c>
      <c r="K228" s="717"/>
    </row>
    <row r="229" spans="2:11" s="45" customFormat="1" ht="105" customHeight="1" thickTop="1" thickBot="1" x14ac:dyDescent="0.25">
      <c r="B229" s="331" t="s">
        <v>654</v>
      </c>
      <c r="C229" s="331" t="s">
        <v>218</v>
      </c>
      <c r="D229" s="331" t="s">
        <v>187</v>
      </c>
      <c r="E229" s="331" t="s">
        <v>36</v>
      </c>
      <c r="F229" s="339" t="s">
        <v>1082</v>
      </c>
      <c r="G229" s="335" t="s">
        <v>669</v>
      </c>
      <c r="H229" s="335">
        <v>3304175</v>
      </c>
      <c r="I229" s="717">
        <v>0</v>
      </c>
      <c r="J229" s="335">
        <v>3304175</v>
      </c>
      <c r="K229" s="717">
        <v>1</v>
      </c>
    </row>
    <row r="230" spans="2:11" s="45" customFormat="1" ht="91.5" thickTop="1" thickBot="1" x14ac:dyDescent="0.25">
      <c r="B230" s="331" t="s">
        <v>654</v>
      </c>
      <c r="C230" s="331" t="s">
        <v>218</v>
      </c>
      <c r="D230" s="331" t="s">
        <v>187</v>
      </c>
      <c r="E230" s="331" t="s">
        <v>36</v>
      </c>
      <c r="F230" s="339" t="s">
        <v>1206</v>
      </c>
      <c r="G230" s="335" t="s">
        <v>669</v>
      </c>
      <c r="H230" s="335">
        <v>2115430</v>
      </c>
      <c r="I230" s="717">
        <v>0</v>
      </c>
      <c r="J230" s="335">
        <v>2115430</v>
      </c>
      <c r="K230" s="717">
        <v>1</v>
      </c>
    </row>
    <row r="231" spans="2:11" s="45" customFormat="1" ht="76.5" thickTop="1" thickBot="1" x14ac:dyDescent="0.25">
      <c r="B231" s="331" t="s">
        <v>654</v>
      </c>
      <c r="C231" s="331" t="s">
        <v>218</v>
      </c>
      <c r="D231" s="331" t="s">
        <v>187</v>
      </c>
      <c r="E231" s="331" t="s">
        <v>36</v>
      </c>
      <c r="F231" s="339" t="s">
        <v>1207</v>
      </c>
      <c r="G231" s="335" t="s">
        <v>669</v>
      </c>
      <c r="H231" s="335">
        <v>864238</v>
      </c>
      <c r="I231" s="717">
        <v>0</v>
      </c>
      <c r="J231" s="335">
        <v>864238</v>
      </c>
      <c r="K231" s="717">
        <v>1</v>
      </c>
    </row>
    <row r="232" spans="2:11" s="45" customFormat="1" ht="105" customHeight="1" thickTop="1" thickBot="1" x14ac:dyDescent="0.25">
      <c r="B232" s="331" t="s">
        <v>654</v>
      </c>
      <c r="C232" s="331" t="s">
        <v>218</v>
      </c>
      <c r="D232" s="331" t="s">
        <v>187</v>
      </c>
      <c r="E232" s="331" t="s">
        <v>36</v>
      </c>
      <c r="F232" s="339" t="s">
        <v>1083</v>
      </c>
      <c r="G232" s="335" t="s">
        <v>669</v>
      </c>
      <c r="H232" s="335">
        <v>2086056</v>
      </c>
      <c r="I232" s="717">
        <v>0</v>
      </c>
      <c r="J232" s="335">
        <v>2086056</v>
      </c>
      <c r="K232" s="717">
        <v>1</v>
      </c>
    </row>
    <row r="233" spans="2:11" s="45" customFormat="1" ht="91.5" thickTop="1" thickBot="1" x14ac:dyDescent="0.25">
      <c r="B233" s="331" t="s">
        <v>654</v>
      </c>
      <c r="C233" s="331" t="s">
        <v>218</v>
      </c>
      <c r="D233" s="331" t="s">
        <v>187</v>
      </c>
      <c r="E233" s="331" t="s">
        <v>36</v>
      </c>
      <c r="F233" s="339" t="s">
        <v>1084</v>
      </c>
      <c r="G233" s="335" t="s">
        <v>669</v>
      </c>
      <c r="H233" s="335">
        <v>1017106</v>
      </c>
      <c r="I233" s="717">
        <v>0</v>
      </c>
      <c r="J233" s="335">
        <v>1017106</v>
      </c>
      <c r="K233" s="717">
        <v>1</v>
      </c>
    </row>
    <row r="234" spans="2:11" s="45" customFormat="1" ht="31.5" thickTop="1" thickBot="1" x14ac:dyDescent="0.25">
      <c r="B234" s="277" t="s">
        <v>657</v>
      </c>
      <c r="C234" s="274" t="s">
        <v>271</v>
      </c>
      <c r="D234" s="274" t="s">
        <v>272</v>
      </c>
      <c r="E234" s="274" t="s">
        <v>270</v>
      </c>
      <c r="F234" s="280" t="s">
        <v>580</v>
      </c>
      <c r="G234" s="282"/>
      <c r="H234" s="282"/>
      <c r="I234" s="344"/>
      <c r="J234" s="282">
        <v>32000</v>
      </c>
      <c r="K234" s="344"/>
    </row>
    <row r="235" spans="2:11" ht="46.5" thickTop="1" thickBot="1" x14ac:dyDescent="0.25">
      <c r="B235" s="699" t="s">
        <v>25</v>
      </c>
      <c r="C235" s="699"/>
      <c r="D235" s="699"/>
      <c r="E235" s="700" t="s">
        <v>1072</v>
      </c>
      <c r="F235" s="701"/>
      <c r="G235" s="702"/>
      <c r="H235" s="702"/>
      <c r="I235" s="702"/>
      <c r="J235" s="701">
        <f>J236</f>
        <v>261650566.50999999</v>
      </c>
      <c r="K235" s="701"/>
    </row>
    <row r="236" spans="2:11" ht="44.25" thickTop="1" thickBot="1" x14ac:dyDescent="0.25">
      <c r="B236" s="703" t="s">
        <v>26</v>
      </c>
      <c r="C236" s="703"/>
      <c r="D236" s="703"/>
      <c r="E236" s="704" t="s">
        <v>1073</v>
      </c>
      <c r="F236" s="705"/>
      <c r="G236" s="705"/>
      <c r="H236" s="705"/>
      <c r="I236" s="705"/>
      <c r="J236" s="705">
        <f>SUM(J237:J257)</f>
        <v>261650566.50999999</v>
      </c>
      <c r="K236" s="705"/>
    </row>
    <row r="237" spans="2:11" ht="73.5" customHeight="1" thickTop="1" thickBot="1" x14ac:dyDescent="0.25">
      <c r="B237" s="340" t="s">
        <v>465</v>
      </c>
      <c r="C237" s="340" t="s">
        <v>467</v>
      </c>
      <c r="D237" s="340" t="s">
        <v>216</v>
      </c>
      <c r="E237" s="340" t="s">
        <v>466</v>
      </c>
      <c r="F237" s="280" t="s">
        <v>500</v>
      </c>
      <c r="G237" s="279" t="s">
        <v>470</v>
      </c>
      <c r="H237" s="279">
        <f>282861499</f>
        <v>282861499</v>
      </c>
      <c r="I237" s="329">
        <f>(122740173.92)/H237</f>
        <v>0.43392322516115917</v>
      </c>
      <c r="J237" s="282">
        <f>((8000000+2000000+7000000)+70000000+25000000)</f>
        <v>112000000</v>
      </c>
      <c r="K237" s="329">
        <f>(122740173.92+J237)/H237</f>
        <v>0.82987672323690831</v>
      </c>
    </row>
    <row r="238" spans="2:11" ht="78" hidden="1" customHeight="1" thickTop="1" thickBot="1" x14ac:dyDescent="0.25">
      <c r="B238" s="340" t="s">
        <v>336</v>
      </c>
      <c r="C238" s="340" t="s">
        <v>337</v>
      </c>
      <c r="D238" s="340" t="s">
        <v>326</v>
      </c>
      <c r="E238" s="340" t="s">
        <v>335</v>
      </c>
      <c r="F238" s="610" t="s">
        <v>640</v>
      </c>
      <c r="G238" s="279" t="s">
        <v>470</v>
      </c>
      <c r="H238" s="279">
        <v>30010059</v>
      </c>
      <c r="I238" s="329">
        <f>(11364795.14+7640000)/H238</f>
        <v>0.6332808322702731</v>
      </c>
      <c r="J238" s="279">
        <v>0</v>
      </c>
      <c r="K238" s="329">
        <f>(11364795.14+7640000+J238)/H238</f>
        <v>0.6332808322702731</v>
      </c>
    </row>
    <row r="239" spans="2:11" ht="151.5" customHeight="1" thickTop="1" thickBot="1" x14ac:dyDescent="0.25">
      <c r="B239" s="340" t="s">
        <v>1156</v>
      </c>
      <c r="C239" s="340" t="s">
        <v>327</v>
      </c>
      <c r="D239" s="340" t="s">
        <v>326</v>
      </c>
      <c r="E239" s="340" t="s">
        <v>508</v>
      </c>
      <c r="F239" s="434" t="s">
        <v>1155</v>
      </c>
      <c r="G239" s="279"/>
      <c r="H239" s="279"/>
      <c r="I239" s="329"/>
      <c r="J239" s="279">
        <v>36872.51</v>
      </c>
      <c r="K239" s="329"/>
    </row>
    <row r="240" spans="2:11" ht="55.5" customHeight="1" thickTop="1" thickBot="1" x14ac:dyDescent="0.25">
      <c r="B240" s="340" t="s">
        <v>336</v>
      </c>
      <c r="C240" s="340" t="s">
        <v>337</v>
      </c>
      <c r="D240" s="340" t="s">
        <v>326</v>
      </c>
      <c r="E240" s="340" t="s">
        <v>335</v>
      </c>
      <c r="F240" s="434" t="s">
        <v>1251</v>
      </c>
      <c r="G240" s="282" t="s">
        <v>1144</v>
      </c>
      <c r="H240" s="282">
        <v>56437448</v>
      </c>
      <c r="I240" s="344">
        <f>(28071676.14)/H240</f>
        <v>0.49739449841885125</v>
      </c>
      <c r="J240" s="282">
        <f>3512869+10010000+1600000</f>
        <v>15122869</v>
      </c>
      <c r="K240" s="344">
        <f>(28071676.14+2857360+J240+1500000)/H240</f>
        <v>0.8425594498886626</v>
      </c>
    </row>
    <row r="241" spans="2:11" ht="76.5" thickTop="1" thickBot="1" x14ac:dyDescent="0.25">
      <c r="B241" s="340" t="s">
        <v>336</v>
      </c>
      <c r="C241" s="340" t="s">
        <v>337</v>
      </c>
      <c r="D241" s="340" t="s">
        <v>326</v>
      </c>
      <c r="E241" s="340" t="s">
        <v>335</v>
      </c>
      <c r="F241" s="434" t="s">
        <v>1208</v>
      </c>
      <c r="G241" s="282" t="s">
        <v>641</v>
      </c>
      <c r="H241" s="279">
        <f>9300000+10829899</f>
        <v>20129899</v>
      </c>
      <c r="I241" s="329">
        <f>(6879597.52)/H241</f>
        <v>0.34176016084333061</v>
      </c>
      <c r="J241" s="279">
        <v>700000</v>
      </c>
      <c r="K241" s="329">
        <f>(6879597.52+J241)/H241</f>
        <v>0.37653430451886516</v>
      </c>
    </row>
    <row r="242" spans="2:11" ht="82.5" customHeight="1" thickTop="1" thickBot="1" x14ac:dyDescent="0.25">
      <c r="B242" s="340" t="s">
        <v>336</v>
      </c>
      <c r="C242" s="340" t="s">
        <v>337</v>
      </c>
      <c r="D242" s="340" t="s">
        <v>326</v>
      </c>
      <c r="E242" s="340" t="s">
        <v>335</v>
      </c>
      <c r="F242" s="434" t="s">
        <v>1290</v>
      </c>
      <c r="G242" s="282" t="s">
        <v>470</v>
      </c>
      <c r="H242" s="282">
        <v>34056704</v>
      </c>
      <c r="I242" s="329">
        <f>(13051785.82)/H242</f>
        <v>0.38323690454601833</v>
      </c>
      <c r="J242" s="282">
        <f>2443118+5992910-1087940</f>
        <v>7348088</v>
      </c>
      <c r="K242" s="329">
        <f>(13051785.82+1007090+1087940+J242)/H242</f>
        <v>0.66051323756990699</v>
      </c>
    </row>
    <row r="243" spans="2:11" ht="76.5" thickTop="1" thickBot="1" x14ac:dyDescent="0.25">
      <c r="B243" s="340" t="s">
        <v>336</v>
      </c>
      <c r="C243" s="340" t="s">
        <v>337</v>
      </c>
      <c r="D243" s="340" t="s">
        <v>326</v>
      </c>
      <c r="E243" s="340" t="s">
        <v>335</v>
      </c>
      <c r="F243" s="434" t="s">
        <v>1209</v>
      </c>
      <c r="G243" s="279"/>
      <c r="H243" s="279"/>
      <c r="I243" s="279"/>
      <c r="J243" s="279">
        <v>200000</v>
      </c>
      <c r="K243" s="329"/>
    </row>
    <row r="244" spans="2:11" ht="66.75" customHeight="1" thickTop="1" thickBot="1" x14ac:dyDescent="0.25">
      <c r="B244" s="340" t="s">
        <v>565</v>
      </c>
      <c r="C244" s="340" t="s">
        <v>566</v>
      </c>
      <c r="D244" s="340" t="s">
        <v>326</v>
      </c>
      <c r="E244" s="340" t="s">
        <v>887</v>
      </c>
      <c r="F244" s="434" t="s">
        <v>599</v>
      </c>
      <c r="G244" s="282" t="s">
        <v>1215</v>
      </c>
      <c r="H244" s="279">
        <v>21098584</v>
      </c>
      <c r="I244" s="329">
        <f>(529041.07)/H244</f>
        <v>2.5074719232342793E-2</v>
      </c>
      <c r="J244" s="279">
        <v>200000</v>
      </c>
      <c r="K244" s="329">
        <f>(529041.07+J244)/H244</f>
        <v>3.4554028365126305E-2</v>
      </c>
    </row>
    <row r="245" spans="2:11" ht="61.5" thickTop="1" thickBot="1" x14ac:dyDescent="0.25">
      <c r="B245" s="340" t="s">
        <v>340</v>
      </c>
      <c r="C245" s="340" t="s">
        <v>341</v>
      </c>
      <c r="D245" s="340" t="s">
        <v>326</v>
      </c>
      <c r="E245" s="340" t="s">
        <v>501</v>
      </c>
      <c r="F245" s="611" t="s">
        <v>1253</v>
      </c>
      <c r="G245" s="282" t="s">
        <v>1216</v>
      </c>
      <c r="H245" s="279">
        <v>15423995</v>
      </c>
      <c r="I245" s="329">
        <f>111261.75/H245</f>
        <v>7.2135494079192839E-3</v>
      </c>
      <c r="J245" s="282">
        <v>100000</v>
      </c>
      <c r="K245" s="329">
        <f>(111261.75+J245)/H245</f>
        <v>1.3696953999271913E-2</v>
      </c>
    </row>
    <row r="246" spans="2:11" ht="104.25" customHeight="1" thickTop="1" thickBot="1" x14ac:dyDescent="0.25">
      <c r="B246" s="340" t="s">
        <v>340</v>
      </c>
      <c r="C246" s="340" t="s">
        <v>341</v>
      </c>
      <c r="D246" s="340" t="s">
        <v>326</v>
      </c>
      <c r="E246" s="340" t="s">
        <v>501</v>
      </c>
      <c r="F246" s="611" t="s">
        <v>1254</v>
      </c>
      <c r="G246" s="282" t="s">
        <v>470</v>
      </c>
      <c r="H246" s="282">
        <v>10111121</v>
      </c>
      <c r="I246" s="344">
        <f>(7825154.66)/H246</f>
        <v>0.77391563803855179</v>
      </c>
      <c r="J246" s="282">
        <f>2206836-1581020</f>
        <v>625816</v>
      </c>
      <c r="K246" s="329">
        <f>(7825154.66+J246)/H246</f>
        <v>0.83580946761491626</v>
      </c>
    </row>
    <row r="247" spans="2:11" ht="46.5" thickTop="1" thickBot="1" x14ac:dyDescent="0.25">
      <c r="B247" s="340" t="s">
        <v>340</v>
      </c>
      <c r="C247" s="340" t="s">
        <v>341</v>
      </c>
      <c r="D247" s="340" t="s">
        <v>326</v>
      </c>
      <c r="E247" s="340" t="s">
        <v>501</v>
      </c>
      <c r="F247" s="611" t="s">
        <v>1256</v>
      </c>
      <c r="G247" s="282" t="s">
        <v>642</v>
      </c>
      <c r="H247" s="279">
        <v>20249401</v>
      </c>
      <c r="I247" s="329">
        <f>(14384713.31)/H247</f>
        <v>0.71037722597325226</v>
      </c>
      <c r="J247" s="282">
        <f>420000+68629</f>
        <v>488629</v>
      </c>
      <c r="K247" s="329">
        <f>(14384713.31+J247)/H247</f>
        <v>0.73450776692110553</v>
      </c>
    </row>
    <row r="248" spans="2:11" ht="76.5" thickTop="1" thickBot="1" x14ac:dyDescent="0.25">
      <c r="B248" s="340" t="s">
        <v>340</v>
      </c>
      <c r="C248" s="340" t="s">
        <v>341</v>
      </c>
      <c r="D248" s="340" t="s">
        <v>326</v>
      </c>
      <c r="E248" s="340" t="s">
        <v>501</v>
      </c>
      <c r="F248" s="611" t="s">
        <v>1255</v>
      </c>
      <c r="G248" s="282" t="s">
        <v>1214</v>
      </c>
      <c r="H248" s="279">
        <v>53314687</v>
      </c>
      <c r="I248" s="329">
        <f>(1418673.51)/H248</f>
        <v>2.6609431468668288E-2</v>
      </c>
      <c r="J248" s="282">
        <v>200000</v>
      </c>
      <c r="K248" s="329">
        <f>(1418673.51+J248)/H248</f>
        <v>3.0360742997515865E-2</v>
      </c>
    </row>
    <row r="249" spans="2:11" ht="46.5" thickTop="1" thickBot="1" x14ac:dyDescent="0.25">
      <c r="B249" s="340" t="s">
        <v>340</v>
      </c>
      <c r="C249" s="340" t="s">
        <v>341</v>
      </c>
      <c r="D249" s="340" t="s">
        <v>326</v>
      </c>
      <c r="E249" s="340" t="s">
        <v>501</v>
      </c>
      <c r="F249" s="342" t="s">
        <v>1259</v>
      </c>
      <c r="G249" s="279" t="s">
        <v>605</v>
      </c>
      <c r="H249" s="279">
        <v>65017720</v>
      </c>
      <c r="I249" s="329">
        <f>(4855726.3)/H249</f>
        <v>7.4683121770495797E-2</v>
      </c>
      <c r="J249" s="279">
        <f>(5700000+5000000+2000000)</f>
        <v>12700000</v>
      </c>
      <c r="K249" s="329">
        <f>(4855726.3+J249)/H249</f>
        <v>0.27001448681990081</v>
      </c>
    </row>
    <row r="250" spans="2:11" ht="102" customHeight="1" thickTop="1" thickBot="1" x14ac:dyDescent="0.25">
      <c r="B250" s="340" t="s">
        <v>340</v>
      </c>
      <c r="C250" s="340" t="s">
        <v>341</v>
      </c>
      <c r="D250" s="340" t="s">
        <v>326</v>
      </c>
      <c r="E250" s="340" t="s">
        <v>501</v>
      </c>
      <c r="F250" s="730" t="s">
        <v>1380</v>
      </c>
      <c r="G250" s="279" t="s">
        <v>1311</v>
      </c>
      <c r="H250" s="279"/>
      <c r="I250" s="329">
        <v>0</v>
      </c>
      <c r="J250" s="279">
        <v>120000</v>
      </c>
      <c r="K250" s="329">
        <v>1</v>
      </c>
    </row>
    <row r="251" spans="2:11" ht="91.5" thickTop="1" thickBot="1" x14ac:dyDescent="0.25">
      <c r="B251" s="343" t="s">
        <v>340</v>
      </c>
      <c r="C251" s="343" t="s">
        <v>341</v>
      </c>
      <c r="D251" s="343" t="s">
        <v>326</v>
      </c>
      <c r="E251" s="343" t="s">
        <v>501</v>
      </c>
      <c r="F251" s="342" t="s">
        <v>1263</v>
      </c>
      <c r="G251" s="282"/>
      <c r="H251" s="282"/>
      <c r="I251" s="344"/>
      <c r="J251" s="282">
        <v>50000</v>
      </c>
      <c r="K251" s="344"/>
    </row>
    <row r="252" spans="2:11" ht="76.5" thickTop="1" thickBot="1" x14ac:dyDescent="0.25">
      <c r="B252" s="343" t="s">
        <v>340</v>
      </c>
      <c r="C252" s="343" t="s">
        <v>341</v>
      </c>
      <c r="D252" s="343" t="s">
        <v>326</v>
      </c>
      <c r="E252" s="343" t="s">
        <v>501</v>
      </c>
      <c r="F252" s="342" t="s">
        <v>1210</v>
      </c>
      <c r="G252" s="282"/>
      <c r="H252" s="282"/>
      <c r="I252" s="344"/>
      <c r="J252" s="282">
        <v>50000</v>
      </c>
      <c r="K252" s="344"/>
    </row>
    <row r="253" spans="2:11" ht="102" customHeight="1" thickTop="1" thickBot="1" x14ac:dyDescent="0.25">
      <c r="B253" s="340" t="s">
        <v>340</v>
      </c>
      <c r="C253" s="340" t="s">
        <v>341</v>
      </c>
      <c r="D253" s="340" t="s">
        <v>326</v>
      </c>
      <c r="E253" s="340" t="s">
        <v>501</v>
      </c>
      <c r="F253" s="342" t="s">
        <v>1211</v>
      </c>
      <c r="G253" s="279"/>
      <c r="H253" s="279"/>
      <c r="I253" s="329"/>
      <c r="J253" s="282">
        <v>100000</v>
      </c>
      <c r="K253" s="329"/>
    </row>
    <row r="254" spans="2:11" ht="110.25" customHeight="1" thickTop="1" thickBot="1" x14ac:dyDescent="0.25">
      <c r="B254" s="340" t="s">
        <v>340</v>
      </c>
      <c r="C254" s="340" t="s">
        <v>341</v>
      </c>
      <c r="D254" s="340" t="s">
        <v>326</v>
      </c>
      <c r="E254" s="340" t="s">
        <v>501</v>
      </c>
      <c r="F254" s="342" t="s">
        <v>1212</v>
      </c>
      <c r="G254" s="279"/>
      <c r="H254" s="279"/>
      <c r="I254" s="329"/>
      <c r="J254" s="282">
        <f>(300000)+395970+61020</f>
        <v>756990</v>
      </c>
      <c r="K254" s="329"/>
    </row>
    <row r="255" spans="2:11" ht="110.25" customHeight="1" thickTop="1" thickBot="1" x14ac:dyDescent="0.25">
      <c r="B255" s="340" t="s">
        <v>340</v>
      </c>
      <c r="C255" s="340" t="s">
        <v>341</v>
      </c>
      <c r="D255" s="340" t="s">
        <v>326</v>
      </c>
      <c r="E255" s="343" t="s">
        <v>501</v>
      </c>
      <c r="F255" s="342" t="s">
        <v>1213</v>
      </c>
      <c r="G255" s="279"/>
      <c r="H255" s="279"/>
      <c r="I255" s="329"/>
      <c r="J255" s="282">
        <v>400000</v>
      </c>
      <c r="K255" s="329"/>
    </row>
    <row r="256" spans="2:11" ht="96.75" customHeight="1" thickTop="1" thickBot="1" x14ac:dyDescent="0.25">
      <c r="B256" s="340" t="s">
        <v>340</v>
      </c>
      <c r="C256" s="340" t="s">
        <v>341</v>
      </c>
      <c r="D256" s="340" t="s">
        <v>326</v>
      </c>
      <c r="E256" s="340" t="s">
        <v>501</v>
      </c>
      <c r="F256" s="434" t="s">
        <v>1257</v>
      </c>
      <c r="G256" s="282" t="s">
        <v>605</v>
      </c>
      <c r="H256" s="282">
        <v>37427012</v>
      </c>
      <c r="I256" s="344">
        <f>(17243634.19)/H256</f>
        <v>0.46072697948743546</v>
      </c>
      <c r="J256" s="282">
        <v>370000</v>
      </c>
      <c r="K256" s="344">
        <f>(17243634.19+J256)/H256</f>
        <v>0.47061288755832287</v>
      </c>
    </row>
    <row r="257" spans="1:11" ht="54" customHeight="1" thickTop="1" thickBot="1" x14ac:dyDescent="0.25">
      <c r="B257" s="340" t="s">
        <v>471</v>
      </c>
      <c r="C257" s="340" t="s">
        <v>378</v>
      </c>
      <c r="D257" s="340" t="s">
        <v>187</v>
      </c>
      <c r="E257" s="340" t="s">
        <v>283</v>
      </c>
      <c r="F257" s="611" t="s">
        <v>1250</v>
      </c>
      <c r="G257" s="279" t="s">
        <v>1258</v>
      </c>
      <c r="H257" s="279">
        <v>204203314</v>
      </c>
      <c r="I257" s="344">
        <f>(40567842.39+53857912)/H257</f>
        <v>0.46241048952809843</v>
      </c>
      <c r="J257" s="282">
        <f>((23737852+6343450)+20000000)+60000000</f>
        <v>110081302</v>
      </c>
      <c r="K257" s="344">
        <f>(40567842.39+53857912+J257)/H257</f>
        <v>1.0014874508353964</v>
      </c>
    </row>
    <row r="258" spans="1:11" ht="46.5" thickTop="1" thickBot="1" x14ac:dyDescent="0.25">
      <c r="B258" s="699" t="s">
        <v>177</v>
      </c>
      <c r="C258" s="699"/>
      <c r="D258" s="699"/>
      <c r="E258" s="700" t="s">
        <v>1074</v>
      </c>
      <c r="F258" s="701"/>
      <c r="G258" s="702"/>
      <c r="H258" s="702"/>
      <c r="I258" s="702"/>
      <c r="J258" s="701">
        <f>J259</f>
        <v>787000</v>
      </c>
      <c r="K258" s="701"/>
    </row>
    <row r="259" spans="1:11" ht="78" customHeight="1" thickTop="1" thickBot="1" x14ac:dyDescent="0.25">
      <c r="B259" s="703" t="s">
        <v>178</v>
      </c>
      <c r="C259" s="703"/>
      <c r="D259" s="703"/>
      <c r="E259" s="704" t="s">
        <v>1093</v>
      </c>
      <c r="F259" s="705"/>
      <c r="G259" s="705"/>
      <c r="H259" s="705"/>
      <c r="I259" s="705"/>
      <c r="J259" s="705">
        <f>SUM(J260:J263)</f>
        <v>787000</v>
      </c>
      <c r="K259" s="705"/>
    </row>
    <row r="260" spans="1:11" ht="57" customHeight="1" thickTop="1" thickBot="1" x14ac:dyDescent="0.25">
      <c r="B260" s="277" t="s">
        <v>449</v>
      </c>
      <c r="C260" s="277" t="s">
        <v>257</v>
      </c>
      <c r="D260" s="277" t="s">
        <v>255</v>
      </c>
      <c r="E260" s="277" t="s">
        <v>256</v>
      </c>
      <c r="F260" s="275" t="s">
        <v>580</v>
      </c>
      <c r="G260" s="279"/>
      <c r="H260" s="279"/>
      <c r="I260" s="329"/>
      <c r="J260" s="279">
        <f>(140000)+36000</f>
        <v>176000</v>
      </c>
      <c r="K260" s="329"/>
    </row>
    <row r="261" spans="1:11" ht="76.5" thickTop="1" thickBot="1" x14ac:dyDescent="0.25">
      <c r="B261" s="274" t="s">
        <v>1121</v>
      </c>
      <c r="C261" s="274" t="s">
        <v>1122</v>
      </c>
      <c r="D261" s="274" t="s">
        <v>326</v>
      </c>
      <c r="E261" s="274" t="s">
        <v>1123</v>
      </c>
      <c r="F261" s="275" t="s">
        <v>1124</v>
      </c>
      <c r="G261" s="279" t="s">
        <v>669</v>
      </c>
      <c r="H261" s="279"/>
      <c r="I261" s="329">
        <v>0</v>
      </c>
      <c r="J261" s="444">
        <f>211000-13000</f>
        <v>198000</v>
      </c>
      <c r="K261" s="329">
        <v>1</v>
      </c>
    </row>
    <row r="262" spans="1:11" ht="61.5" thickTop="1" thickBot="1" x14ac:dyDescent="0.25">
      <c r="B262" s="274" t="s">
        <v>1121</v>
      </c>
      <c r="C262" s="274" t="s">
        <v>1122</v>
      </c>
      <c r="D262" s="274" t="s">
        <v>326</v>
      </c>
      <c r="E262" s="274" t="s">
        <v>1123</v>
      </c>
      <c r="F262" s="443" t="s">
        <v>1125</v>
      </c>
      <c r="G262" s="279" t="s">
        <v>669</v>
      </c>
      <c r="H262" s="279"/>
      <c r="I262" s="329">
        <v>0</v>
      </c>
      <c r="J262" s="444">
        <f>400000+13000</f>
        <v>413000</v>
      </c>
      <c r="K262" s="329">
        <v>1</v>
      </c>
    </row>
    <row r="263" spans="1:11" ht="63.75" hidden="1" customHeight="1" thickTop="1" thickBot="1" x14ac:dyDescent="0.25">
      <c r="B263" s="274" t="s">
        <v>1121</v>
      </c>
      <c r="C263" s="274" t="s">
        <v>1122</v>
      </c>
      <c r="D263" s="274" t="s">
        <v>326</v>
      </c>
      <c r="E263" s="274" t="s">
        <v>1123</v>
      </c>
      <c r="F263" s="664" t="s">
        <v>1291</v>
      </c>
      <c r="G263" s="279" t="s">
        <v>669</v>
      </c>
      <c r="H263" s="279"/>
      <c r="I263" s="329">
        <v>0</v>
      </c>
      <c r="J263" s="507"/>
      <c r="K263" s="329">
        <v>1</v>
      </c>
    </row>
    <row r="264" spans="1:11" ht="46.5" thickTop="1" thickBot="1" x14ac:dyDescent="0.25">
      <c r="B264" s="699" t="s">
        <v>479</v>
      </c>
      <c r="C264" s="699"/>
      <c r="D264" s="699"/>
      <c r="E264" s="700" t="s">
        <v>481</v>
      </c>
      <c r="F264" s="701"/>
      <c r="G264" s="702"/>
      <c r="H264" s="702"/>
      <c r="I264" s="702"/>
      <c r="J264" s="701">
        <f>J265</f>
        <v>36000</v>
      </c>
      <c r="K264" s="701"/>
    </row>
    <row r="265" spans="1:11" ht="44.25" thickTop="1" thickBot="1" x14ac:dyDescent="0.25">
      <c r="B265" s="703" t="s">
        <v>480</v>
      </c>
      <c r="C265" s="703"/>
      <c r="D265" s="703"/>
      <c r="E265" s="704" t="s">
        <v>482</v>
      </c>
      <c r="F265" s="705"/>
      <c r="G265" s="705"/>
      <c r="H265" s="705"/>
      <c r="I265" s="705"/>
      <c r="J265" s="705">
        <f>J266</f>
        <v>36000</v>
      </c>
      <c r="K265" s="705"/>
    </row>
    <row r="266" spans="1:11" ht="46.5" thickTop="1" thickBot="1" x14ac:dyDescent="0.25">
      <c r="B266" s="277" t="s">
        <v>483</v>
      </c>
      <c r="C266" s="277" t="s">
        <v>257</v>
      </c>
      <c r="D266" s="277" t="s">
        <v>255</v>
      </c>
      <c r="E266" s="277" t="s">
        <v>256</v>
      </c>
      <c r="F266" s="275" t="s">
        <v>580</v>
      </c>
      <c r="G266" s="345"/>
      <c r="H266" s="346"/>
      <c r="I266" s="345"/>
      <c r="J266" s="276">
        <f>(18000)+18000</f>
        <v>36000</v>
      </c>
      <c r="K266" s="276"/>
    </row>
    <row r="267" spans="1:11" ht="31.5" thickTop="1" thickBot="1" x14ac:dyDescent="0.25">
      <c r="A267" s="519"/>
      <c r="B267" s="699" t="s">
        <v>183</v>
      </c>
      <c r="C267" s="699"/>
      <c r="D267" s="699"/>
      <c r="E267" s="700" t="s">
        <v>382</v>
      </c>
      <c r="F267" s="701"/>
      <c r="G267" s="702"/>
      <c r="H267" s="702"/>
      <c r="I267" s="702"/>
      <c r="J267" s="701">
        <f>J268</f>
        <v>1209885</v>
      </c>
      <c r="K267" s="701"/>
    </row>
    <row r="268" spans="1:11" ht="44.25" thickTop="1" thickBot="1" x14ac:dyDescent="0.25">
      <c r="A268" s="519"/>
      <c r="B268" s="703" t="s">
        <v>184</v>
      </c>
      <c r="C268" s="703"/>
      <c r="D268" s="703"/>
      <c r="E268" s="704" t="s">
        <v>383</v>
      </c>
      <c r="F268" s="705"/>
      <c r="G268" s="705"/>
      <c r="H268" s="705"/>
      <c r="I268" s="705"/>
      <c r="J268" s="705">
        <f>SUM(J269:J270)</f>
        <v>1209885</v>
      </c>
      <c r="K268" s="705"/>
    </row>
    <row r="269" spans="1:11" ht="31.5" thickTop="1" thickBot="1" x14ac:dyDescent="0.25">
      <c r="B269" s="277" t="s">
        <v>277</v>
      </c>
      <c r="C269" s="277" t="s">
        <v>278</v>
      </c>
      <c r="D269" s="277" t="s">
        <v>187</v>
      </c>
      <c r="E269" s="277" t="s">
        <v>276</v>
      </c>
      <c r="F269" s="278" t="s">
        <v>61</v>
      </c>
      <c r="G269" s="278"/>
      <c r="H269" s="279"/>
      <c r="I269" s="278"/>
      <c r="J269" s="279">
        <f>(400000)-190115</f>
        <v>209885</v>
      </c>
      <c r="K269" s="279"/>
    </row>
    <row r="270" spans="1:11" ht="76.5" thickTop="1" thickBot="1" x14ac:dyDescent="0.25">
      <c r="B270" s="274" t="s">
        <v>1108</v>
      </c>
      <c r="C270" s="274" t="s">
        <v>391</v>
      </c>
      <c r="D270" s="274" t="s">
        <v>45</v>
      </c>
      <c r="E270" s="274" t="s">
        <v>392</v>
      </c>
      <c r="F270" s="275" t="s">
        <v>1109</v>
      </c>
      <c r="G270" s="278"/>
      <c r="H270" s="279"/>
      <c r="I270" s="278"/>
      <c r="J270" s="279">
        <f>(1000000)</f>
        <v>1000000</v>
      </c>
      <c r="K270" s="279"/>
    </row>
    <row r="271" spans="1:11" ht="61.5" thickTop="1" thickBot="1" x14ac:dyDescent="0.25">
      <c r="B271" s="699" t="s">
        <v>181</v>
      </c>
      <c r="C271" s="699"/>
      <c r="D271" s="699"/>
      <c r="E271" s="700" t="s">
        <v>1067</v>
      </c>
      <c r="F271" s="701"/>
      <c r="G271" s="702"/>
      <c r="H271" s="702"/>
      <c r="I271" s="702"/>
      <c r="J271" s="701">
        <f>J272</f>
        <v>64000</v>
      </c>
      <c r="K271" s="701"/>
    </row>
    <row r="272" spans="1:11" ht="58.5" thickTop="1" thickBot="1" x14ac:dyDescent="0.25">
      <c r="B272" s="703" t="s">
        <v>182</v>
      </c>
      <c r="C272" s="703"/>
      <c r="D272" s="703"/>
      <c r="E272" s="704" t="s">
        <v>1068</v>
      </c>
      <c r="F272" s="705"/>
      <c r="G272" s="705"/>
      <c r="H272" s="705"/>
      <c r="I272" s="705"/>
      <c r="J272" s="705">
        <f>J273</f>
        <v>64000</v>
      </c>
      <c r="K272" s="705"/>
    </row>
    <row r="273" spans="1:11" ht="46.5" thickTop="1" thickBot="1" x14ac:dyDescent="0.25">
      <c r="B273" s="277" t="s">
        <v>452</v>
      </c>
      <c r="C273" s="277" t="s">
        <v>257</v>
      </c>
      <c r="D273" s="277" t="s">
        <v>255</v>
      </c>
      <c r="E273" s="277" t="s">
        <v>256</v>
      </c>
      <c r="F273" s="275" t="s">
        <v>580</v>
      </c>
      <c r="G273" s="278"/>
      <c r="H273" s="279"/>
      <c r="I273" s="278"/>
      <c r="J273" s="276">
        <f>(18000)+46000</f>
        <v>64000</v>
      </c>
      <c r="K273" s="279"/>
    </row>
    <row r="274" spans="1:11" ht="46.5" thickTop="1" thickBot="1" x14ac:dyDescent="0.25">
      <c r="B274" s="699" t="s">
        <v>179</v>
      </c>
      <c r="C274" s="699"/>
      <c r="D274" s="699"/>
      <c r="E274" s="700" t="s">
        <v>1076</v>
      </c>
      <c r="F274" s="701"/>
      <c r="G274" s="702"/>
      <c r="H274" s="702"/>
      <c r="I274" s="702"/>
      <c r="J274" s="701">
        <f>J275</f>
        <v>350000</v>
      </c>
      <c r="K274" s="701"/>
    </row>
    <row r="275" spans="1:11" ht="44.25" thickTop="1" thickBot="1" x14ac:dyDescent="0.25">
      <c r="B275" s="703" t="s">
        <v>180</v>
      </c>
      <c r="C275" s="703"/>
      <c r="D275" s="703"/>
      <c r="E275" s="704" t="s">
        <v>1077</v>
      </c>
      <c r="F275" s="705"/>
      <c r="G275" s="705"/>
      <c r="H275" s="705"/>
      <c r="I275" s="705"/>
      <c r="J275" s="705">
        <f>SUM(J276:J279)</f>
        <v>350000</v>
      </c>
      <c r="K275" s="705"/>
    </row>
    <row r="276" spans="1:11" ht="46.5" thickTop="1" thickBot="1" x14ac:dyDescent="0.25">
      <c r="B276" s="277" t="s">
        <v>448</v>
      </c>
      <c r="C276" s="277" t="s">
        <v>257</v>
      </c>
      <c r="D276" s="277" t="s">
        <v>255</v>
      </c>
      <c r="E276" s="277" t="s">
        <v>256</v>
      </c>
      <c r="F276" s="275" t="s">
        <v>580</v>
      </c>
      <c r="G276" s="278"/>
      <c r="H276" s="279"/>
      <c r="I276" s="278"/>
      <c r="J276" s="276">
        <v>100000</v>
      </c>
      <c r="K276" s="279"/>
    </row>
    <row r="277" spans="1:11" ht="31.5" thickTop="1" thickBot="1" x14ac:dyDescent="0.25">
      <c r="B277" s="277" t="s">
        <v>328</v>
      </c>
      <c r="C277" s="277" t="s">
        <v>329</v>
      </c>
      <c r="D277" s="277" t="s">
        <v>330</v>
      </c>
      <c r="E277" s="277" t="s">
        <v>499</v>
      </c>
      <c r="F277" s="341" t="s">
        <v>34</v>
      </c>
      <c r="G277" s="278"/>
      <c r="H277" s="279"/>
      <c r="I277" s="278"/>
      <c r="J277" s="276">
        <v>20000</v>
      </c>
      <c r="K277" s="279"/>
    </row>
    <row r="278" spans="1:11" ht="31.5" thickTop="1" thickBot="1" x14ac:dyDescent="0.25">
      <c r="B278" s="277" t="s">
        <v>328</v>
      </c>
      <c r="C278" s="277" t="s">
        <v>329</v>
      </c>
      <c r="D278" s="277" t="s">
        <v>330</v>
      </c>
      <c r="E278" s="277" t="s">
        <v>499</v>
      </c>
      <c r="F278" s="341" t="s">
        <v>35</v>
      </c>
      <c r="G278" s="278"/>
      <c r="H278" s="279"/>
      <c r="I278" s="278"/>
      <c r="J278" s="276">
        <v>180000</v>
      </c>
      <c r="K278" s="279"/>
    </row>
    <row r="279" spans="1:11" ht="46.5" thickTop="1" thickBot="1" x14ac:dyDescent="0.25">
      <c r="B279" s="277" t="s">
        <v>396</v>
      </c>
      <c r="C279" s="277" t="s">
        <v>397</v>
      </c>
      <c r="D279" s="277" t="s">
        <v>187</v>
      </c>
      <c r="E279" s="277" t="s">
        <v>398</v>
      </c>
      <c r="F279" s="341" t="s">
        <v>345</v>
      </c>
      <c r="G279" s="278"/>
      <c r="H279" s="279"/>
      <c r="I279" s="278"/>
      <c r="J279" s="276">
        <v>50000</v>
      </c>
      <c r="K279" s="279"/>
    </row>
    <row r="280" spans="1:11" ht="31.5" thickTop="1" thickBot="1" x14ac:dyDescent="0.25">
      <c r="B280" s="699" t="s">
        <v>185</v>
      </c>
      <c r="C280" s="699"/>
      <c r="D280" s="699"/>
      <c r="E280" s="700" t="s">
        <v>27</v>
      </c>
      <c r="F280" s="701"/>
      <c r="G280" s="702"/>
      <c r="H280" s="702"/>
      <c r="I280" s="702"/>
      <c r="J280" s="701">
        <f>J281</f>
        <v>40000</v>
      </c>
      <c r="K280" s="701"/>
    </row>
    <row r="281" spans="1:11" ht="44.25" thickTop="1" thickBot="1" x14ac:dyDescent="0.25">
      <c r="B281" s="703" t="s">
        <v>186</v>
      </c>
      <c r="C281" s="703"/>
      <c r="D281" s="703"/>
      <c r="E281" s="704" t="s">
        <v>42</v>
      </c>
      <c r="F281" s="705"/>
      <c r="G281" s="705"/>
      <c r="H281" s="705"/>
      <c r="I281" s="705"/>
      <c r="J281" s="705">
        <f>J282</f>
        <v>40000</v>
      </c>
      <c r="K281" s="705"/>
    </row>
    <row r="282" spans="1:11" ht="46.5" thickTop="1" thickBot="1" x14ac:dyDescent="0.25">
      <c r="B282" s="274" t="s">
        <v>450</v>
      </c>
      <c r="C282" s="274" t="s">
        <v>257</v>
      </c>
      <c r="D282" s="274" t="s">
        <v>255</v>
      </c>
      <c r="E282" s="274" t="s">
        <v>256</v>
      </c>
      <c r="F282" s="275" t="s">
        <v>580</v>
      </c>
      <c r="G282" s="278"/>
      <c r="H282" s="279"/>
      <c r="I282" s="278"/>
      <c r="J282" s="276">
        <v>40000</v>
      </c>
      <c r="K282" s="279"/>
    </row>
    <row r="283" spans="1:11" ht="34.5" customHeight="1" thickTop="1" thickBot="1" x14ac:dyDescent="0.25">
      <c r="A283" s="518"/>
      <c r="B283" s="179" t="s">
        <v>410</v>
      </c>
      <c r="C283" s="179" t="s">
        <v>410</v>
      </c>
      <c r="D283" s="179" t="s">
        <v>410</v>
      </c>
      <c r="E283" s="186" t="s">
        <v>420</v>
      </c>
      <c r="F283" s="179" t="s">
        <v>410</v>
      </c>
      <c r="G283" s="179" t="s">
        <v>410</v>
      </c>
      <c r="H283" s="179" t="s">
        <v>410</v>
      </c>
      <c r="I283" s="179" t="s">
        <v>410</v>
      </c>
      <c r="J283" s="179">
        <f>J12+J18+J132+J87+J105+J119+J274+J267+J265+J258+J271+J235+J160+J146+J280</f>
        <v>560942120.33999991</v>
      </c>
      <c r="K283" s="179" t="s">
        <v>410</v>
      </c>
    </row>
    <row r="284" spans="1:11" ht="16.5" thickTop="1" x14ac:dyDescent="0.2">
      <c r="B284" s="838" t="s">
        <v>600</v>
      </c>
      <c r="C284" s="839"/>
      <c r="D284" s="839"/>
      <c r="E284" s="839"/>
      <c r="F284" s="839"/>
      <c r="G284" s="839"/>
      <c r="H284" s="839"/>
      <c r="I284" s="839"/>
      <c r="J284" s="839"/>
      <c r="K284" s="839"/>
    </row>
    <row r="285" spans="1:11" ht="12" customHeight="1" x14ac:dyDescent="0.2">
      <c r="B285" s="840"/>
      <c r="C285" s="840"/>
      <c r="D285" s="840"/>
      <c r="E285" s="840"/>
      <c r="F285" s="840"/>
      <c r="G285" s="840"/>
      <c r="H285" s="840"/>
      <c r="I285" s="840"/>
      <c r="J285" s="840"/>
      <c r="K285" s="840"/>
    </row>
    <row r="286" spans="1:11" ht="26.45" hidden="1" customHeight="1" x14ac:dyDescent="0.2">
      <c r="B286" s="625"/>
      <c r="C286" s="625"/>
      <c r="D286" s="625" t="s">
        <v>612</v>
      </c>
      <c r="E286" s="625"/>
      <c r="F286" s="625"/>
      <c r="G286" s="625"/>
      <c r="H286" s="625"/>
      <c r="I286" s="625"/>
      <c r="J286" s="625" t="s">
        <v>608</v>
      </c>
      <c r="K286" s="625"/>
    </row>
    <row r="287" spans="1:11" ht="15" x14ac:dyDescent="0.25">
      <c r="D287" s="125" t="s">
        <v>1264</v>
      </c>
      <c r="E287" s="125"/>
      <c r="F287" s="125"/>
      <c r="G287" s="125" t="s">
        <v>1265</v>
      </c>
      <c r="H287" s="127"/>
      <c r="I287" s="128"/>
      <c r="J287" s="128"/>
      <c r="K287" s="127"/>
    </row>
    <row r="288" spans="1:11" ht="15" x14ac:dyDescent="0.25">
      <c r="D288" s="125"/>
      <c r="E288" s="623"/>
      <c r="F288" s="617"/>
      <c r="G288" s="127"/>
      <c r="H288" s="520"/>
      <c r="I288" s="520"/>
      <c r="J288" s="520"/>
      <c r="K288" s="520"/>
    </row>
    <row r="289" spans="4:11" ht="15" x14ac:dyDescent="0.25">
      <c r="D289" s="125" t="s">
        <v>609</v>
      </c>
      <c r="E289" s="623"/>
      <c r="F289" s="617"/>
      <c r="G289" s="127" t="s">
        <v>610</v>
      </c>
      <c r="H289" s="127"/>
      <c r="I289" s="128"/>
      <c r="J289" s="128"/>
      <c r="K289" s="127"/>
    </row>
    <row r="301" spans="4:11" ht="46.5" x14ac:dyDescent="0.2">
      <c r="K301" s="95"/>
    </row>
    <row r="304" spans="4:11" ht="46.5" x14ac:dyDescent="0.2">
      <c r="G304" s="95"/>
      <c r="K304" s="95"/>
    </row>
  </sheetData>
  <mergeCells count="18">
    <mergeCell ref="B8:C8"/>
    <mergeCell ref="B81:B82"/>
    <mergeCell ref="C81:C82"/>
    <mergeCell ref="D81:D82"/>
    <mergeCell ref="E81:E82"/>
    <mergeCell ref="B1:K1"/>
    <mergeCell ref="G2:K2"/>
    <mergeCell ref="B4:K4"/>
    <mergeCell ref="B5:K5"/>
    <mergeCell ref="B7:C7"/>
    <mergeCell ref="I81:I82"/>
    <mergeCell ref="J81:J82"/>
    <mergeCell ref="K81:K82"/>
    <mergeCell ref="B284:K284"/>
    <mergeCell ref="B285:K285"/>
    <mergeCell ref="F81:F82"/>
    <mergeCell ref="G81:G82"/>
    <mergeCell ref="H81:H82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3" manualBreakCount="3">
    <brk id="30" max="10" man="1"/>
    <brk id="40" max="10" man="1"/>
    <brk id="2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view="pageBreakPreview" zoomScale="25" zoomScaleNormal="25" zoomScaleSheetLayoutView="25" zoomScalePageLayoutView="10" workbookViewId="0">
      <pane ySplit="14" topLeftCell="A15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6384" width="9.140625" style="113"/>
  </cols>
  <sheetData>
    <row r="1" spans="1:10" ht="45.75" x14ac:dyDescent="0.2">
      <c r="D1" s="115"/>
      <c r="E1" s="116"/>
      <c r="F1" s="114"/>
      <c r="G1" s="116"/>
      <c r="H1" s="116"/>
      <c r="I1" s="768" t="s">
        <v>725</v>
      </c>
      <c r="J1" s="768"/>
    </row>
    <row r="2" spans="1:10" ht="45.75" x14ac:dyDescent="0.2">
      <c r="A2" s="115"/>
      <c r="B2" s="115"/>
      <c r="C2" s="115"/>
      <c r="D2" s="115"/>
      <c r="E2" s="116"/>
      <c r="F2" s="114"/>
      <c r="G2" s="116"/>
      <c r="H2" s="116"/>
      <c r="I2" s="768" t="s">
        <v>1393</v>
      </c>
      <c r="J2" s="770"/>
    </row>
    <row r="3" spans="1:10" ht="40.700000000000003" customHeight="1" x14ac:dyDescent="0.2">
      <c r="A3" s="115"/>
      <c r="B3" s="115"/>
      <c r="C3" s="115"/>
      <c r="D3" s="115"/>
      <c r="E3" s="116"/>
      <c r="F3" s="114"/>
      <c r="G3" s="116"/>
      <c r="H3" s="116"/>
      <c r="I3" s="768"/>
      <c r="J3" s="770"/>
    </row>
    <row r="4" spans="1:10" ht="45.75" hidden="1" x14ac:dyDescent="0.2">
      <c r="A4" s="115"/>
      <c r="B4" s="115"/>
      <c r="C4" s="115"/>
      <c r="D4" s="115"/>
      <c r="E4" s="116"/>
      <c r="F4" s="114"/>
      <c r="G4" s="116"/>
      <c r="H4" s="116"/>
      <c r="I4" s="115"/>
      <c r="J4" s="114"/>
    </row>
    <row r="5" spans="1:10" ht="45" x14ac:dyDescent="0.2">
      <c r="A5" s="771" t="s">
        <v>679</v>
      </c>
      <c r="B5" s="771"/>
      <c r="C5" s="771"/>
      <c r="D5" s="771"/>
      <c r="E5" s="771"/>
      <c r="F5" s="771"/>
      <c r="G5" s="771"/>
      <c r="H5" s="771"/>
      <c r="I5" s="771"/>
      <c r="J5" s="771"/>
    </row>
    <row r="6" spans="1:10" s="138" customFormat="1" ht="45" x14ac:dyDescent="0.2">
      <c r="A6" s="771" t="s">
        <v>680</v>
      </c>
      <c r="B6" s="771"/>
      <c r="C6" s="771"/>
      <c r="D6" s="771"/>
      <c r="E6" s="771"/>
      <c r="F6" s="771"/>
      <c r="G6" s="771"/>
      <c r="H6" s="771"/>
      <c r="I6" s="771"/>
      <c r="J6" s="771"/>
    </row>
    <row r="7" spans="1:10" ht="45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0" ht="45" x14ac:dyDescent="0.2">
      <c r="A8" s="771"/>
      <c r="B8" s="771"/>
      <c r="C8" s="771"/>
      <c r="D8" s="771"/>
      <c r="E8" s="771"/>
      <c r="F8" s="771"/>
      <c r="G8" s="771"/>
      <c r="H8" s="771"/>
      <c r="I8" s="771"/>
      <c r="J8" s="771"/>
    </row>
    <row r="9" spans="1:10" ht="45.75" x14ac:dyDescent="0.65">
      <c r="A9" s="772">
        <v>22564000000</v>
      </c>
      <c r="B9" s="773"/>
      <c r="C9" s="736"/>
      <c r="D9" s="736"/>
      <c r="E9" s="736"/>
      <c r="F9" s="736"/>
      <c r="G9" s="736"/>
      <c r="H9" s="736"/>
      <c r="I9" s="736"/>
      <c r="J9" s="736"/>
    </row>
    <row r="10" spans="1:10" ht="45.75" x14ac:dyDescent="0.2">
      <c r="A10" s="777" t="s">
        <v>537</v>
      </c>
      <c r="B10" s="778"/>
      <c r="C10" s="736"/>
      <c r="D10" s="736"/>
      <c r="E10" s="736"/>
      <c r="F10" s="736"/>
      <c r="G10" s="736"/>
      <c r="H10" s="736"/>
      <c r="I10" s="736"/>
      <c r="J10" s="736"/>
    </row>
    <row r="11" spans="1:10" ht="53.45" customHeight="1" thickBot="1" x14ac:dyDescent="0.25">
      <c r="A11" s="116"/>
      <c r="B11" s="116"/>
      <c r="C11" s="116"/>
      <c r="D11" s="116"/>
      <c r="E11" s="116"/>
      <c r="F11" s="114"/>
      <c r="G11" s="116"/>
      <c r="H11" s="116"/>
      <c r="I11" s="116"/>
      <c r="J11" s="6" t="s">
        <v>433</v>
      </c>
    </row>
    <row r="12" spans="1:10" ht="104.25" customHeight="1" thickTop="1" thickBot="1" x14ac:dyDescent="0.25">
      <c r="A12" s="776" t="s">
        <v>538</v>
      </c>
      <c r="B12" s="776" t="s">
        <v>539</v>
      </c>
      <c r="C12" s="776" t="s">
        <v>419</v>
      </c>
      <c r="D12" s="776" t="s">
        <v>681</v>
      </c>
      <c r="E12" s="776" t="s">
        <v>542</v>
      </c>
      <c r="F12" s="776" t="s">
        <v>543</v>
      </c>
      <c r="G12" s="776" t="s">
        <v>412</v>
      </c>
      <c r="H12" s="776" t="s">
        <v>12</v>
      </c>
      <c r="I12" s="774" t="s">
        <v>57</v>
      </c>
      <c r="J12" s="775"/>
    </row>
    <row r="13" spans="1:10" ht="406.5" customHeight="1" thickTop="1" thickBot="1" x14ac:dyDescent="0.25">
      <c r="A13" s="774"/>
      <c r="B13" s="779"/>
      <c r="C13" s="779"/>
      <c r="D13" s="774"/>
      <c r="E13" s="774"/>
      <c r="F13" s="774"/>
      <c r="G13" s="774"/>
      <c r="H13" s="774"/>
      <c r="I13" s="151" t="s">
        <v>413</v>
      </c>
      <c r="J13" s="151" t="s">
        <v>414</v>
      </c>
    </row>
    <row r="14" spans="1:10" s="2" customFormat="1" ht="46.5" thickTop="1" thickBot="1" x14ac:dyDescent="0.25">
      <c r="A14" s="152" t="s">
        <v>2</v>
      </c>
      <c r="B14" s="152" t="s">
        <v>3</v>
      </c>
      <c r="C14" s="152" t="s">
        <v>14</v>
      </c>
      <c r="D14" s="152" t="s">
        <v>5</v>
      </c>
      <c r="E14" s="152" t="s">
        <v>421</v>
      </c>
      <c r="F14" s="152" t="s">
        <v>422</v>
      </c>
      <c r="G14" s="152" t="s">
        <v>423</v>
      </c>
      <c r="H14" s="152" t="s">
        <v>424</v>
      </c>
      <c r="I14" s="152" t="s">
        <v>425</v>
      </c>
      <c r="J14" s="152" t="s">
        <v>426</v>
      </c>
    </row>
    <row r="15" spans="1:10" s="2" customFormat="1" ht="148.69999999999999" customHeight="1" thickTop="1" thickBot="1" x14ac:dyDescent="0.25">
      <c r="A15" s="691" t="s">
        <v>165</v>
      </c>
      <c r="B15" s="691"/>
      <c r="C15" s="691"/>
      <c r="D15" s="692" t="s">
        <v>167</v>
      </c>
      <c r="E15" s="693"/>
      <c r="F15" s="694"/>
      <c r="G15" s="694">
        <f>G16</f>
        <v>29516437.170000002</v>
      </c>
      <c r="H15" s="694">
        <f t="shared" ref="H15:J15" si="0">H16</f>
        <v>20147292.59</v>
      </c>
      <c r="I15" s="693">
        <f>I16</f>
        <v>9369144.5800000001</v>
      </c>
      <c r="J15" s="693">
        <f t="shared" si="0"/>
        <v>5694500</v>
      </c>
    </row>
    <row r="16" spans="1:10" s="2" customFormat="1" ht="157.69999999999999" customHeight="1" thickTop="1" thickBot="1" x14ac:dyDescent="0.25">
      <c r="A16" s="695" t="s">
        <v>166</v>
      </c>
      <c r="B16" s="695"/>
      <c r="C16" s="695"/>
      <c r="D16" s="696" t="s">
        <v>168</v>
      </c>
      <c r="E16" s="697"/>
      <c r="F16" s="697"/>
      <c r="G16" s="697">
        <f>SUM(G17:G38)</f>
        <v>29516437.170000002</v>
      </c>
      <c r="H16" s="697">
        <f>SUM(H17:H38)</f>
        <v>20147292.59</v>
      </c>
      <c r="I16" s="697">
        <f>SUM(I17:I38)</f>
        <v>9369144.5800000001</v>
      </c>
      <c r="J16" s="697">
        <f>SUM(J17:J38)</f>
        <v>5694500</v>
      </c>
    </row>
    <row r="17" spans="1:10" ht="321.75" thickTop="1" thickBot="1" x14ac:dyDescent="0.25">
      <c r="A17" s="167" t="s">
        <v>253</v>
      </c>
      <c r="B17" s="167" t="s">
        <v>254</v>
      </c>
      <c r="C17" s="167" t="s">
        <v>255</v>
      </c>
      <c r="D17" s="167" t="s">
        <v>252</v>
      </c>
      <c r="E17" s="222" t="s">
        <v>1028</v>
      </c>
      <c r="F17" s="385" t="s">
        <v>1029</v>
      </c>
      <c r="G17" s="168">
        <f t="shared" ref="G17:G25" si="1">H17+I17</f>
        <v>2236000</v>
      </c>
      <c r="H17" s="230"/>
      <c r="I17" s="168">
        <f>(300000+300000+330000+15000)+336000+900000+55000</f>
        <v>2236000</v>
      </c>
      <c r="J17" s="168">
        <f>(300000+300000+330000+15000)+336000+900000+55000</f>
        <v>2236000</v>
      </c>
    </row>
    <row r="18" spans="1:10" s="147" customFormat="1" ht="367.5" thickTop="1" thickBot="1" x14ac:dyDescent="0.25">
      <c r="A18" s="167" t="s">
        <v>253</v>
      </c>
      <c r="B18" s="167" t="s">
        <v>254</v>
      </c>
      <c r="C18" s="167" t="s">
        <v>255</v>
      </c>
      <c r="D18" s="167" t="s">
        <v>252</v>
      </c>
      <c r="E18" s="222" t="s">
        <v>1050</v>
      </c>
      <c r="F18" s="388" t="s">
        <v>1051</v>
      </c>
      <c r="G18" s="168">
        <f t="shared" si="1"/>
        <v>638500</v>
      </c>
      <c r="H18" s="230">
        <v>20000</v>
      </c>
      <c r="I18" s="168">
        <v>618500</v>
      </c>
      <c r="J18" s="168">
        <v>618500</v>
      </c>
    </row>
    <row r="19" spans="1:10" s="218" customFormat="1" ht="409.6" thickTop="1" thickBot="1" x14ac:dyDescent="0.25">
      <c r="A19" s="223" t="s">
        <v>778</v>
      </c>
      <c r="B19" s="223" t="s">
        <v>390</v>
      </c>
      <c r="C19" s="223" t="s">
        <v>779</v>
      </c>
      <c r="D19" s="223" t="s">
        <v>780</v>
      </c>
      <c r="E19" s="222" t="s">
        <v>1063</v>
      </c>
      <c r="F19" s="405" t="s">
        <v>1064</v>
      </c>
      <c r="G19" s="168">
        <f t="shared" si="1"/>
        <v>49000</v>
      </c>
      <c r="H19" s="230">
        <f>'d3'!E21</f>
        <v>49000</v>
      </c>
      <c r="I19" s="168"/>
      <c r="J19" s="168"/>
    </row>
    <row r="20" spans="1:10" ht="138.75" thickTop="1" thickBot="1" x14ac:dyDescent="0.25">
      <c r="A20" s="167" t="s">
        <v>268</v>
      </c>
      <c r="B20" s="167" t="s">
        <v>45</v>
      </c>
      <c r="C20" s="167" t="s">
        <v>44</v>
      </c>
      <c r="D20" s="167" t="s">
        <v>269</v>
      </c>
      <c r="E20" s="392" t="s">
        <v>1030</v>
      </c>
      <c r="F20" s="385" t="s">
        <v>1031</v>
      </c>
      <c r="G20" s="168">
        <f t="shared" si="1"/>
        <v>1500000</v>
      </c>
      <c r="H20" s="230">
        <v>1500000</v>
      </c>
      <c r="I20" s="168"/>
      <c r="J20" s="168"/>
    </row>
    <row r="21" spans="1:10" ht="184.5" customHeight="1" thickTop="1" thickBot="1" x14ac:dyDescent="0.25">
      <c r="A21" s="167" t="s">
        <v>268</v>
      </c>
      <c r="B21" s="167" t="s">
        <v>45</v>
      </c>
      <c r="C21" s="167" t="s">
        <v>44</v>
      </c>
      <c r="D21" s="167" t="s">
        <v>269</v>
      </c>
      <c r="E21" s="222" t="s">
        <v>1034</v>
      </c>
      <c r="F21" s="385" t="s">
        <v>1035</v>
      </c>
      <c r="G21" s="168">
        <f t="shared" si="1"/>
        <v>1635750</v>
      </c>
      <c r="H21" s="230">
        <f>(20000+41000+1549750)+25000</f>
        <v>1635750</v>
      </c>
      <c r="I21" s="168"/>
      <c r="J21" s="168"/>
    </row>
    <row r="22" spans="1:10" ht="138.75" thickTop="1" thickBot="1" x14ac:dyDescent="0.25">
      <c r="A22" s="167" t="s">
        <v>259</v>
      </c>
      <c r="B22" s="167" t="s">
        <v>260</v>
      </c>
      <c r="C22" s="167" t="s">
        <v>261</v>
      </c>
      <c r="D22" s="167" t="s">
        <v>258</v>
      </c>
      <c r="E22" s="222" t="s">
        <v>1028</v>
      </c>
      <c r="F22" s="385" t="s">
        <v>1029</v>
      </c>
      <c r="G22" s="168">
        <f t="shared" si="1"/>
        <v>5892400</v>
      </c>
      <c r="H22" s="168">
        <f>'d3'!E25</f>
        <v>4392400</v>
      </c>
      <c r="I22" s="168">
        <f>'d3'!J25</f>
        <v>1500000</v>
      </c>
      <c r="J22" s="168">
        <f>'d3'!K25</f>
        <v>1500000</v>
      </c>
    </row>
    <row r="23" spans="1:10" s="657" customFormat="1" ht="230.25" thickTop="1" thickBot="1" x14ac:dyDescent="0.25">
      <c r="A23" s="662" t="s">
        <v>1292</v>
      </c>
      <c r="B23" s="662" t="s">
        <v>1293</v>
      </c>
      <c r="C23" s="662" t="s">
        <v>261</v>
      </c>
      <c r="D23" s="662" t="s">
        <v>1294</v>
      </c>
      <c r="E23" s="222" t="s">
        <v>1028</v>
      </c>
      <c r="F23" s="659" t="s">
        <v>1029</v>
      </c>
      <c r="G23" s="168">
        <f t="shared" si="1"/>
        <v>250000</v>
      </c>
      <c r="H23" s="168">
        <f>'d3'!E26</f>
        <v>250000</v>
      </c>
      <c r="I23" s="168">
        <f>'d3'!J26</f>
        <v>0</v>
      </c>
      <c r="J23" s="168">
        <f>'d3'!K26</f>
        <v>0</v>
      </c>
    </row>
    <row r="24" spans="1:10" ht="230.25" thickTop="1" thickBot="1" x14ac:dyDescent="0.25">
      <c r="A24" s="223" t="s">
        <v>321</v>
      </c>
      <c r="B24" s="223" t="s">
        <v>322</v>
      </c>
      <c r="C24" s="223" t="s">
        <v>187</v>
      </c>
      <c r="D24" s="223" t="s">
        <v>477</v>
      </c>
      <c r="E24" s="222" t="s">
        <v>1034</v>
      </c>
      <c r="F24" s="385" t="s">
        <v>1035</v>
      </c>
      <c r="G24" s="168">
        <f t="shared" si="1"/>
        <v>290200</v>
      </c>
      <c r="H24" s="168">
        <f>'d3'!E28</f>
        <v>290200</v>
      </c>
      <c r="I24" s="168">
        <f>'d3'!J28</f>
        <v>0</v>
      </c>
      <c r="J24" s="168">
        <f>'d3'!K28</f>
        <v>0</v>
      </c>
    </row>
    <row r="25" spans="1:10" ht="364.5" customHeight="1" thickTop="1" thickBot="1" x14ac:dyDescent="0.7">
      <c r="A25" s="857" t="s">
        <v>366</v>
      </c>
      <c r="B25" s="857" t="s">
        <v>365</v>
      </c>
      <c r="C25" s="857" t="s">
        <v>187</v>
      </c>
      <c r="D25" s="231" t="s">
        <v>475</v>
      </c>
      <c r="E25" s="857" t="s">
        <v>1034</v>
      </c>
      <c r="F25" s="857" t="s">
        <v>1035</v>
      </c>
      <c r="G25" s="859">
        <f t="shared" si="1"/>
        <v>3674644.58</v>
      </c>
      <c r="H25" s="859">
        <f>'d3'!E30</f>
        <v>0</v>
      </c>
      <c r="I25" s="859">
        <f>'d3'!J30</f>
        <v>3674644.58</v>
      </c>
      <c r="J25" s="859">
        <f>'d3'!K30</f>
        <v>0</v>
      </c>
    </row>
    <row r="26" spans="1:10" ht="184.5" thickTop="1" thickBot="1" x14ac:dyDescent="0.25">
      <c r="A26" s="858"/>
      <c r="B26" s="858"/>
      <c r="C26" s="858"/>
      <c r="D26" s="232" t="s">
        <v>476</v>
      </c>
      <c r="E26" s="858"/>
      <c r="F26" s="858"/>
      <c r="G26" s="860"/>
      <c r="H26" s="860"/>
      <c r="I26" s="860"/>
      <c r="J26" s="860"/>
    </row>
    <row r="27" spans="1:10" s="445" customFormat="1" ht="276" thickTop="1" thickBot="1" x14ac:dyDescent="0.25">
      <c r="A27" s="447" t="s">
        <v>1126</v>
      </c>
      <c r="B27" s="447" t="s">
        <v>278</v>
      </c>
      <c r="C27" s="447" t="s">
        <v>187</v>
      </c>
      <c r="D27" s="447" t="s">
        <v>276</v>
      </c>
      <c r="E27" s="446" t="s">
        <v>484</v>
      </c>
      <c r="F27" s="201" t="s">
        <v>460</v>
      </c>
      <c r="G27" s="168">
        <f>H27+I27</f>
        <v>1600542.59</v>
      </c>
      <c r="H27" s="168">
        <f>'d3'!E32</f>
        <v>1600542.59</v>
      </c>
      <c r="I27" s="168">
        <f>'d3'!J32</f>
        <v>0</v>
      </c>
      <c r="J27" s="168">
        <f>'d3'!K32</f>
        <v>0</v>
      </c>
    </row>
    <row r="28" spans="1:10" ht="255.75" customHeight="1" thickTop="1" thickBot="1" x14ac:dyDescent="0.25">
      <c r="A28" s="167" t="s">
        <v>262</v>
      </c>
      <c r="B28" s="167" t="s">
        <v>263</v>
      </c>
      <c r="C28" s="167" t="s">
        <v>264</v>
      </c>
      <c r="D28" s="167" t="s">
        <v>265</v>
      </c>
      <c r="E28" s="168" t="s">
        <v>1069</v>
      </c>
      <c r="F28" s="405" t="s">
        <v>1070</v>
      </c>
      <c r="G28" s="168">
        <f>H28+I28</f>
        <v>6359300</v>
      </c>
      <c r="H28" s="168">
        <f>'d3'!E35</f>
        <v>6359300</v>
      </c>
      <c r="I28" s="168">
        <f>'d3'!J35</f>
        <v>0</v>
      </c>
      <c r="J28" s="168">
        <f>'d3'!K35</f>
        <v>0</v>
      </c>
    </row>
    <row r="29" spans="1:10" ht="276" thickTop="1" thickBot="1" x14ac:dyDescent="0.25">
      <c r="A29" s="200" t="s">
        <v>266</v>
      </c>
      <c r="B29" s="200" t="s">
        <v>267</v>
      </c>
      <c r="C29" s="200" t="s">
        <v>45</v>
      </c>
      <c r="D29" s="200" t="s">
        <v>478</v>
      </c>
      <c r="E29" s="222" t="s">
        <v>1034</v>
      </c>
      <c r="F29" s="385" t="s">
        <v>1035</v>
      </c>
      <c r="G29" s="209">
        <f>H29+I29</f>
        <v>300000</v>
      </c>
      <c r="H29" s="234">
        <f>'d3'!E38</f>
        <v>300000</v>
      </c>
      <c r="I29" s="209">
        <f>'d3'!J38</f>
        <v>0</v>
      </c>
      <c r="J29" s="209">
        <f>'d3'!K38</f>
        <v>0</v>
      </c>
    </row>
    <row r="30" spans="1:10" s="164" customFormat="1" ht="230.25" thickTop="1" thickBot="1" x14ac:dyDescent="0.25">
      <c r="A30" s="217" t="s">
        <v>694</v>
      </c>
      <c r="B30" s="217" t="s">
        <v>391</v>
      </c>
      <c r="C30" s="217" t="s">
        <v>45</v>
      </c>
      <c r="D30" s="217" t="s">
        <v>392</v>
      </c>
      <c r="E30" s="222" t="s">
        <v>1034</v>
      </c>
      <c r="F30" s="385" t="s">
        <v>1035</v>
      </c>
      <c r="G30" s="209">
        <f>H30+I30</f>
        <v>120100</v>
      </c>
      <c r="H30" s="234">
        <f>'d3'!E39</f>
        <v>120100</v>
      </c>
      <c r="I30" s="209">
        <f>'d3'!J39</f>
        <v>0</v>
      </c>
      <c r="J30" s="209">
        <f>'d3'!K39</f>
        <v>0</v>
      </c>
    </row>
    <row r="31" spans="1:10" ht="276" thickTop="1" thickBot="1" x14ac:dyDescent="0.25">
      <c r="A31" s="502" t="s">
        <v>562</v>
      </c>
      <c r="B31" s="502" t="s">
        <v>563</v>
      </c>
      <c r="C31" s="502" t="s">
        <v>45</v>
      </c>
      <c r="D31" s="502" t="s">
        <v>564</v>
      </c>
      <c r="E31" s="500" t="s">
        <v>1237</v>
      </c>
      <c r="F31" s="201" t="s">
        <v>1192</v>
      </c>
      <c r="G31" s="500">
        <f t="shared" ref="G31:G38" si="2">H31+I31</f>
        <v>1680000</v>
      </c>
      <c r="H31" s="500">
        <f>400000+80000+400000+80000+60000+200000+80000</f>
        <v>1300000</v>
      </c>
      <c r="I31" s="500">
        <f>80000+300000</f>
        <v>380000</v>
      </c>
      <c r="J31" s="500">
        <f>80000+300000</f>
        <v>380000</v>
      </c>
    </row>
    <row r="32" spans="1:10" s="499" customFormat="1" ht="409.6" thickTop="1" thickBot="1" x14ac:dyDescent="0.25">
      <c r="A32" s="502" t="s">
        <v>562</v>
      </c>
      <c r="B32" s="502" t="s">
        <v>563</v>
      </c>
      <c r="C32" s="502" t="s">
        <v>45</v>
      </c>
      <c r="D32" s="502" t="s">
        <v>564</v>
      </c>
      <c r="E32" s="500" t="s">
        <v>1193</v>
      </c>
      <c r="F32" s="500" t="s">
        <v>1033</v>
      </c>
      <c r="G32" s="500">
        <f t="shared" si="2"/>
        <v>1000000</v>
      </c>
      <c r="H32" s="500">
        <f>(500000)+500000</f>
        <v>1000000</v>
      </c>
      <c r="I32" s="500">
        <v>0</v>
      </c>
      <c r="J32" s="500">
        <v>0</v>
      </c>
    </row>
    <row r="33" spans="1:10" s="499" customFormat="1" ht="367.5" thickTop="1" thickBot="1" x14ac:dyDescent="0.25">
      <c r="A33" s="502" t="s">
        <v>562</v>
      </c>
      <c r="B33" s="502" t="s">
        <v>563</v>
      </c>
      <c r="C33" s="502" t="s">
        <v>45</v>
      </c>
      <c r="D33" s="502" t="s">
        <v>564</v>
      </c>
      <c r="E33" s="500" t="s">
        <v>1194</v>
      </c>
      <c r="F33" s="500" t="s">
        <v>1195</v>
      </c>
      <c r="G33" s="500">
        <f t="shared" si="2"/>
        <v>880000</v>
      </c>
      <c r="H33" s="500">
        <f>(500000)+300000+80000</f>
        <v>880000</v>
      </c>
      <c r="I33" s="500">
        <v>0</v>
      </c>
      <c r="J33" s="500">
        <v>0</v>
      </c>
    </row>
    <row r="34" spans="1:10" s="499" customFormat="1" ht="230.25" thickTop="1" thickBot="1" x14ac:dyDescent="0.25">
      <c r="A34" s="502" t="s">
        <v>562</v>
      </c>
      <c r="B34" s="502" t="s">
        <v>563</v>
      </c>
      <c r="C34" s="502" t="s">
        <v>45</v>
      </c>
      <c r="D34" s="502" t="s">
        <v>564</v>
      </c>
      <c r="E34" s="534" t="s">
        <v>1230</v>
      </c>
      <c r="F34" s="534" t="s">
        <v>1231</v>
      </c>
      <c r="G34" s="500">
        <f t="shared" si="2"/>
        <v>300000</v>
      </c>
      <c r="H34" s="500">
        <v>300000</v>
      </c>
      <c r="I34" s="500">
        <v>0</v>
      </c>
      <c r="J34" s="500">
        <v>0</v>
      </c>
    </row>
    <row r="35" spans="1:10" s="499" customFormat="1" ht="409.6" thickTop="1" thickBot="1" x14ac:dyDescent="0.25">
      <c r="A35" s="502" t="s">
        <v>562</v>
      </c>
      <c r="B35" s="502" t="s">
        <v>563</v>
      </c>
      <c r="C35" s="502" t="s">
        <v>45</v>
      </c>
      <c r="D35" s="502" t="s">
        <v>564</v>
      </c>
      <c r="E35" s="534" t="s">
        <v>1232</v>
      </c>
      <c r="F35" s="534" t="s">
        <v>1233</v>
      </c>
      <c r="G35" s="500">
        <f t="shared" si="2"/>
        <v>880000</v>
      </c>
      <c r="H35" s="500">
        <v>0</v>
      </c>
      <c r="I35" s="500">
        <f>(500000)+380000</f>
        <v>880000</v>
      </c>
      <c r="J35" s="500">
        <f>(500000)+380000</f>
        <v>880000</v>
      </c>
    </row>
    <row r="36" spans="1:10" s="499" customFormat="1" ht="321.75" thickTop="1" thickBot="1" x14ac:dyDescent="0.25">
      <c r="A36" s="502" t="s">
        <v>562</v>
      </c>
      <c r="B36" s="502" t="s">
        <v>563</v>
      </c>
      <c r="C36" s="502" t="s">
        <v>45</v>
      </c>
      <c r="D36" s="502" t="s">
        <v>564</v>
      </c>
      <c r="E36" s="534" t="s">
        <v>1245</v>
      </c>
      <c r="F36" s="534" t="s">
        <v>1234</v>
      </c>
      <c r="G36" s="500">
        <f t="shared" si="2"/>
        <v>80000</v>
      </c>
      <c r="H36" s="500">
        <v>0</v>
      </c>
      <c r="I36" s="500">
        <v>80000</v>
      </c>
      <c r="J36" s="500">
        <v>80000</v>
      </c>
    </row>
    <row r="37" spans="1:10" s="675" customFormat="1" ht="276" thickTop="1" thickBot="1" x14ac:dyDescent="0.25">
      <c r="A37" s="680" t="s">
        <v>562</v>
      </c>
      <c r="B37" s="680" t="s">
        <v>563</v>
      </c>
      <c r="C37" s="680" t="s">
        <v>45</v>
      </c>
      <c r="D37" s="680" t="s">
        <v>564</v>
      </c>
      <c r="E37" s="679" t="s">
        <v>1365</v>
      </c>
      <c r="F37" s="679"/>
      <c r="G37" s="682">
        <f t="shared" si="2"/>
        <v>50000</v>
      </c>
      <c r="H37" s="682">
        <v>50000</v>
      </c>
      <c r="I37" s="682"/>
      <c r="J37" s="682"/>
    </row>
    <row r="38" spans="1:10" s="499" customFormat="1" ht="230.25" thickTop="1" thickBot="1" x14ac:dyDescent="0.25">
      <c r="A38" s="502" t="s">
        <v>562</v>
      </c>
      <c r="B38" s="502" t="s">
        <v>563</v>
      </c>
      <c r="C38" s="502" t="s">
        <v>45</v>
      </c>
      <c r="D38" s="502" t="s">
        <v>564</v>
      </c>
      <c r="E38" s="534" t="s">
        <v>1235</v>
      </c>
      <c r="F38" s="534" t="s">
        <v>1236</v>
      </c>
      <c r="G38" s="500">
        <f t="shared" si="2"/>
        <v>100000</v>
      </c>
      <c r="H38" s="500">
        <v>100000</v>
      </c>
      <c r="I38" s="500">
        <v>0</v>
      </c>
      <c r="J38" s="500">
        <v>0</v>
      </c>
    </row>
    <row r="39" spans="1:10" ht="136.5" thickTop="1" thickBot="1" x14ac:dyDescent="0.25">
      <c r="A39" s="691" t="s">
        <v>169</v>
      </c>
      <c r="B39" s="691"/>
      <c r="C39" s="691"/>
      <c r="D39" s="692" t="s">
        <v>0</v>
      </c>
      <c r="E39" s="693"/>
      <c r="F39" s="694"/>
      <c r="G39" s="694">
        <f>G40</f>
        <v>1812260238.2</v>
      </c>
      <c r="H39" s="694">
        <f t="shared" ref="H39:J39" si="3">H40</f>
        <v>1600610141.95</v>
      </c>
      <c r="I39" s="693">
        <f t="shared" si="3"/>
        <v>211650096.25</v>
      </c>
      <c r="J39" s="693">
        <f t="shared" si="3"/>
        <v>66426682.250000007</v>
      </c>
    </row>
    <row r="40" spans="1:10" ht="172.5" customHeight="1" thickTop="1" thickBot="1" x14ac:dyDescent="0.25">
      <c r="A40" s="695" t="s">
        <v>170</v>
      </c>
      <c r="B40" s="695"/>
      <c r="C40" s="695"/>
      <c r="D40" s="696" t="s">
        <v>1</v>
      </c>
      <c r="E40" s="697"/>
      <c r="F40" s="697"/>
      <c r="G40" s="697">
        <f>SUM(G41:G68)</f>
        <v>1812260238.2</v>
      </c>
      <c r="H40" s="697">
        <f>SUM(H41:H68)</f>
        <v>1600610141.95</v>
      </c>
      <c r="I40" s="697">
        <f>SUM(I41:I68)</f>
        <v>211650096.25</v>
      </c>
      <c r="J40" s="697">
        <f>SUM(J41:J68)</f>
        <v>66426682.250000007</v>
      </c>
    </row>
    <row r="41" spans="1:10" ht="230.25" thickTop="1" thickBot="1" x14ac:dyDescent="0.25">
      <c r="A41" s="273" t="s">
        <v>219</v>
      </c>
      <c r="B41" s="273" t="s">
        <v>220</v>
      </c>
      <c r="C41" s="273" t="s">
        <v>222</v>
      </c>
      <c r="D41" s="273" t="s">
        <v>223</v>
      </c>
      <c r="E41" s="150" t="s">
        <v>703</v>
      </c>
      <c r="F41" s="272" t="s">
        <v>441</v>
      </c>
      <c r="G41" s="272">
        <f t="shared" ref="G41:G53" si="4">H41+I41</f>
        <v>542157406.37</v>
      </c>
      <c r="H41" s="272">
        <f>'d3'!E44-H42</f>
        <v>469282991</v>
      </c>
      <c r="I41" s="272">
        <f>'d3'!J44-I42</f>
        <v>72874415.370000005</v>
      </c>
      <c r="J41" s="272">
        <f>'d3'!K44-J42</f>
        <v>8328695.3700000001</v>
      </c>
    </row>
    <row r="42" spans="1:10" s="169" customFormat="1" ht="230.25" thickTop="1" thickBot="1" x14ac:dyDescent="0.25">
      <c r="A42" s="273" t="s">
        <v>219</v>
      </c>
      <c r="B42" s="273" t="s">
        <v>220</v>
      </c>
      <c r="C42" s="273" t="s">
        <v>222</v>
      </c>
      <c r="D42" s="273" t="s">
        <v>223</v>
      </c>
      <c r="E42" s="150" t="s">
        <v>487</v>
      </c>
      <c r="F42" s="201" t="s">
        <v>488</v>
      </c>
      <c r="G42" s="272">
        <f>H42+I42</f>
        <v>590000</v>
      </c>
      <c r="H42" s="272">
        <f>(37683.94+102316.06+90274+29393+150000+101020+33980)-228977.94+274310.94</f>
        <v>590000</v>
      </c>
      <c r="I42" s="272">
        <f>(30333+15000)-45333</f>
        <v>0</v>
      </c>
      <c r="J42" s="272">
        <f>(30333+15000)-45333</f>
        <v>0</v>
      </c>
    </row>
    <row r="43" spans="1:10" ht="230.25" thickTop="1" thickBot="1" x14ac:dyDescent="0.25">
      <c r="A43" s="292" t="s">
        <v>800</v>
      </c>
      <c r="B43" s="292" t="s">
        <v>801</v>
      </c>
      <c r="C43" s="292" t="s">
        <v>225</v>
      </c>
      <c r="D43" s="292" t="s">
        <v>802</v>
      </c>
      <c r="E43" s="150" t="s">
        <v>703</v>
      </c>
      <c r="F43" s="293" t="s">
        <v>441</v>
      </c>
      <c r="G43" s="293">
        <f t="shared" si="4"/>
        <v>356929189.02999997</v>
      </c>
      <c r="H43" s="293">
        <f>'d3'!E46-H44-H45</f>
        <v>281346745.13999999</v>
      </c>
      <c r="I43" s="293">
        <f>'d3'!J46-I44-I45</f>
        <v>75582443.890000001</v>
      </c>
      <c r="J43" s="293">
        <f>'d3'!K46-J44-J45</f>
        <v>23025393.890000004</v>
      </c>
    </row>
    <row r="44" spans="1:10" ht="230.25" thickTop="1" thickBot="1" x14ac:dyDescent="0.25">
      <c r="A44" s="292" t="s">
        <v>800</v>
      </c>
      <c r="B44" s="292" t="s">
        <v>801</v>
      </c>
      <c r="C44" s="292" t="s">
        <v>225</v>
      </c>
      <c r="D44" s="292" t="s">
        <v>802</v>
      </c>
      <c r="E44" s="150" t="s">
        <v>704</v>
      </c>
      <c r="F44" s="293" t="s">
        <v>437</v>
      </c>
      <c r="G44" s="293">
        <f t="shared" si="4"/>
        <v>7730217</v>
      </c>
      <c r="H44" s="293">
        <v>7730217</v>
      </c>
      <c r="I44" s="293">
        <v>0</v>
      </c>
      <c r="J44" s="293">
        <v>0</v>
      </c>
    </row>
    <row r="45" spans="1:10" ht="230.25" thickTop="1" thickBot="1" x14ac:dyDescent="0.25">
      <c r="A45" s="292" t="s">
        <v>800</v>
      </c>
      <c r="B45" s="292" t="s">
        <v>801</v>
      </c>
      <c r="C45" s="292" t="s">
        <v>225</v>
      </c>
      <c r="D45" s="292" t="s">
        <v>802</v>
      </c>
      <c r="E45" s="150" t="s">
        <v>487</v>
      </c>
      <c r="F45" s="201" t="s">
        <v>488</v>
      </c>
      <c r="G45" s="293">
        <f>H45+I45</f>
        <v>150000</v>
      </c>
      <c r="H45" s="293">
        <f>(45200+12350)</f>
        <v>57550</v>
      </c>
      <c r="I45" s="293">
        <f>92450</f>
        <v>92450</v>
      </c>
      <c r="J45" s="293">
        <v>92450</v>
      </c>
    </row>
    <row r="46" spans="1:10" ht="276" thickTop="1" thickBot="1" x14ac:dyDescent="0.25">
      <c r="A46" s="292" t="s">
        <v>810</v>
      </c>
      <c r="B46" s="292" t="s">
        <v>811</v>
      </c>
      <c r="C46" s="292" t="s">
        <v>228</v>
      </c>
      <c r="D46" s="292" t="s">
        <v>545</v>
      </c>
      <c r="E46" s="150" t="s">
        <v>703</v>
      </c>
      <c r="F46" s="293" t="s">
        <v>441</v>
      </c>
      <c r="G46" s="293">
        <f t="shared" si="4"/>
        <v>21082231</v>
      </c>
      <c r="H46" s="293">
        <f>'d3'!E47-H47</f>
        <v>20135478</v>
      </c>
      <c r="I46" s="293">
        <f>'d3'!J47-I47</f>
        <v>946753</v>
      </c>
      <c r="J46" s="293">
        <f>'d3'!K47-J47</f>
        <v>894853</v>
      </c>
    </row>
    <row r="47" spans="1:10" ht="276" thickTop="1" thickBot="1" x14ac:dyDescent="0.25">
      <c r="A47" s="292" t="s">
        <v>810</v>
      </c>
      <c r="B47" s="292" t="s">
        <v>811</v>
      </c>
      <c r="C47" s="292" t="s">
        <v>228</v>
      </c>
      <c r="D47" s="292" t="s">
        <v>545</v>
      </c>
      <c r="E47" s="150" t="s">
        <v>704</v>
      </c>
      <c r="F47" s="293" t="s">
        <v>437</v>
      </c>
      <c r="G47" s="293">
        <f t="shared" si="4"/>
        <v>2866404</v>
      </c>
      <c r="H47" s="293">
        <v>2866404</v>
      </c>
      <c r="I47" s="293"/>
      <c r="J47" s="293"/>
    </row>
    <row r="48" spans="1:10" s="665" customFormat="1" ht="230.25" thickTop="1" thickBot="1" x14ac:dyDescent="0.25">
      <c r="A48" s="668" t="s">
        <v>1325</v>
      </c>
      <c r="B48" s="668" t="s">
        <v>1326</v>
      </c>
      <c r="C48" s="668" t="s">
        <v>228</v>
      </c>
      <c r="D48" s="668" t="s">
        <v>1327</v>
      </c>
      <c r="E48" s="150" t="s">
        <v>703</v>
      </c>
      <c r="F48" s="667" t="s">
        <v>441</v>
      </c>
      <c r="G48" s="667">
        <f t="shared" si="4"/>
        <v>4274885.82</v>
      </c>
      <c r="H48" s="667">
        <f>'d3'!E48</f>
        <v>4274885.82</v>
      </c>
      <c r="I48" s="667">
        <f>'d3'!J48</f>
        <v>0</v>
      </c>
      <c r="J48" s="667">
        <f>'d3'!K48</f>
        <v>0</v>
      </c>
    </row>
    <row r="49" spans="1:10" s="294" customFormat="1" ht="230.25" thickTop="1" thickBot="1" x14ac:dyDescent="0.25">
      <c r="A49" s="296" t="s">
        <v>819</v>
      </c>
      <c r="B49" s="296" t="s">
        <v>820</v>
      </c>
      <c r="C49" s="296" t="s">
        <v>225</v>
      </c>
      <c r="D49" s="296" t="s">
        <v>802</v>
      </c>
      <c r="E49" s="150" t="s">
        <v>703</v>
      </c>
      <c r="F49" s="295" t="s">
        <v>441</v>
      </c>
      <c r="G49" s="295">
        <f t="shared" si="4"/>
        <v>608795058</v>
      </c>
      <c r="H49" s="295">
        <f>'d3'!E50</f>
        <v>608795058</v>
      </c>
      <c r="I49" s="295">
        <f>'d3'!J50</f>
        <v>0</v>
      </c>
      <c r="J49" s="295">
        <f>'d3'!K50</f>
        <v>0</v>
      </c>
    </row>
    <row r="50" spans="1:10" s="485" customFormat="1" ht="230.25" thickTop="1" thickBot="1" x14ac:dyDescent="0.25">
      <c r="A50" s="491" t="s">
        <v>1173</v>
      </c>
      <c r="B50" s="491" t="s">
        <v>1174</v>
      </c>
      <c r="C50" s="491" t="s">
        <v>225</v>
      </c>
      <c r="D50" s="491" t="s">
        <v>1177</v>
      </c>
      <c r="E50" s="150" t="s">
        <v>703</v>
      </c>
      <c r="F50" s="486" t="s">
        <v>441</v>
      </c>
      <c r="G50" s="486">
        <f t="shared" si="4"/>
        <v>6197509.9900000002</v>
      </c>
      <c r="H50" s="486">
        <f>'d3'!E53</f>
        <v>0</v>
      </c>
      <c r="I50" s="486">
        <f>'d3'!J53</f>
        <v>6197509.9900000002</v>
      </c>
      <c r="J50" s="486">
        <f>'d3'!K53</f>
        <v>6197509.9900000002</v>
      </c>
    </row>
    <row r="51" spans="1:10" ht="230.25" thickTop="1" thickBot="1" x14ac:dyDescent="0.25">
      <c r="A51" s="299" t="s">
        <v>821</v>
      </c>
      <c r="B51" s="299" t="s">
        <v>227</v>
      </c>
      <c r="C51" s="299" t="s">
        <v>202</v>
      </c>
      <c r="D51" s="299" t="s">
        <v>547</v>
      </c>
      <c r="E51" s="150" t="s">
        <v>703</v>
      </c>
      <c r="F51" s="300" t="s">
        <v>441</v>
      </c>
      <c r="G51" s="300">
        <f t="shared" si="4"/>
        <v>41519733</v>
      </c>
      <c r="H51" s="300">
        <f>'d3'!E54</f>
        <v>33303488</v>
      </c>
      <c r="I51" s="300">
        <f>'d3'!J54</f>
        <v>8216245</v>
      </c>
      <c r="J51" s="300">
        <f>'d3'!K54</f>
        <v>2616695</v>
      </c>
    </row>
    <row r="52" spans="1:10" s="298" customFormat="1" ht="230.25" thickTop="1" thickBot="1" x14ac:dyDescent="0.25">
      <c r="A52" s="299" t="s">
        <v>822</v>
      </c>
      <c r="B52" s="299" t="s">
        <v>823</v>
      </c>
      <c r="C52" s="299" t="s">
        <v>230</v>
      </c>
      <c r="D52" s="299" t="s">
        <v>824</v>
      </c>
      <c r="E52" s="150" t="s">
        <v>703</v>
      </c>
      <c r="F52" s="300" t="s">
        <v>441</v>
      </c>
      <c r="G52" s="300">
        <f t="shared" si="4"/>
        <v>128308343.98999999</v>
      </c>
      <c r="H52" s="300">
        <f>'d3'!E56</f>
        <v>104225532.98999999</v>
      </c>
      <c r="I52" s="300">
        <f>'d3'!J56</f>
        <v>24082811</v>
      </c>
      <c r="J52" s="300">
        <f>'d3'!K56</f>
        <v>2028217</v>
      </c>
    </row>
    <row r="53" spans="1:10" s="298" customFormat="1" ht="230.25" thickTop="1" thickBot="1" x14ac:dyDescent="0.25">
      <c r="A53" s="299" t="s">
        <v>826</v>
      </c>
      <c r="B53" s="299" t="s">
        <v>825</v>
      </c>
      <c r="C53" s="299" t="s">
        <v>230</v>
      </c>
      <c r="D53" s="299" t="s">
        <v>827</v>
      </c>
      <c r="E53" s="150" t="s">
        <v>703</v>
      </c>
      <c r="F53" s="300" t="s">
        <v>441</v>
      </c>
      <c r="G53" s="300">
        <f t="shared" si="4"/>
        <v>17771100</v>
      </c>
      <c r="H53" s="300">
        <f>'d3'!E57</f>
        <v>17771100</v>
      </c>
      <c r="I53" s="300">
        <f>'d3'!J57</f>
        <v>0</v>
      </c>
      <c r="J53" s="300">
        <f>'d3'!K57</f>
        <v>0</v>
      </c>
    </row>
    <row r="54" spans="1:10" s="298" customFormat="1" ht="230.25" thickTop="1" thickBot="1" x14ac:dyDescent="0.25">
      <c r="A54" s="304" t="s">
        <v>831</v>
      </c>
      <c r="B54" s="304" t="s">
        <v>832</v>
      </c>
      <c r="C54" s="304" t="s">
        <v>231</v>
      </c>
      <c r="D54" s="304" t="s">
        <v>550</v>
      </c>
      <c r="E54" s="150" t="s">
        <v>703</v>
      </c>
      <c r="F54" s="302" t="s">
        <v>441</v>
      </c>
      <c r="G54" s="302">
        <f t="shared" ref="G54" si="5">H54+I54</f>
        <v>28505432</v>
      </c>
      <c r="H54" s="302">
        <f>'d3'!E59</f>
        <v>28090832</v>
      </c>
      <c r="I54" s="302">
        <f>'d3'!J59</f>
        <v>414600</v>
      </c>
      <c r="J54" s="302">
        <f>'d3'!K59</f>
        <v>0</v>
      </c>
    </row>
    <row r="55" spans="1:10" s="298" customFormat="1" ht="230.25" thickTop="1" thickBot="1" x14ac:dyDescent="0.25">
      <c r="A55" s="304" t="s">
        <v>833</v>
      </c>
      <c r="B55" s="304" t="s">
        <v>834</v>
      </c>
      <c r="C55" s="304" t="s">
        <v>231</v>
      </c>
      <c r="D55" s="304" t="s">
        <v>364</v>
      </c>
      <c r="E55" s="150" t="s">
        <v>703</v>
      </c>
      <c r="F55" s="302" t="s">
        <v>441</v>
      </c>
      <c r="G55" s="302">
        <f>H55+I55</f>
        <v>174660</v>
      </c>
      <c r="H55" s="302">
        <f>'d3'!E60-H56</f>
        <v>174660</v>
      </c>
      <c r="I55" s="302">
        <f>'d3'!J60-I56</f>
        <v>0</v>
      </c>
      <c r="J55" s="302">
        <f>'d3'!K60-J56</f>
        <v>0</v>
      </c>
    </row>
    <row r="56" spans="1:10" s="298" customFormat="1" ht="230.25" thickTop="1" thickBot="1" x14ac:dyDescent="0.25">
      <c r="A56" s="304" t="s">
        <v>833</v>
      </c>
      <c r="B56" s="304" t="s">
        <v>834</v>
      </c>
      <c r="C56" s="304" t="s">
        <v>231</v>
      </c>
      <c r="D56" s="304" t="s">
        <v>364</v>
      </c>
      <c r="E56" s="150" t="s">
        <v>704</v>
      </c>
      <c r="F56" s="302" t="s">
        <v>437</v>
      </c>
      <c r="G56" s="302">
        <f>H56+I56</f>
        <v>32580</v>
      </c>
      <c r="H56" s="302">
        <v>32580</v>
      </c>
      <c r="I56" s="302"/>
      <c r="J56" s="302"/>
    </row>
    <row r="57" spans="1:10" s="298" customFormat="1" ht="230.25" thickTop="1" thickBot="1" x14ac:dyDescent="0.25">
      <c r="A57" s="304" t="s">
        <v>837</v>
      </c>
      <c r="B57" s="304" t="s">
        <v>838</v>
      </c>
      <c r="C57" s="304" t="s">
        <v>231</v>
      </c>
      <c r="D57" s="304" t="s">
        <v>839</v>
      </c>
      <c r="E57" s="150" t="s">
        <v>703</v>
      </c>
      <c r="F57" s="302" t="s">
        <v>441</v>
      </c>
      <c r="G57" s="302">
        <f t="shared" ref="G57:G58" si="6">H57+I57</f>
        <v>1197685</v>
      </c>
      <c r="H57" s="300">
        <f>'d3'!E62</f>
        <v>1147685</v>
      </c>
      <c r="I57" s="300">
        <f>'d3'!J62</f>
        <v>50000</v>
      </c>
      <c r="J57" s="302">
        <f>'d3'!K62</f>
        <v>50000</v>
      </c>
    </row>
    <row r="58" spans="1:10" s="298" customFormat="1" ht="230.25" thickTop="1" thickBot="1" x14ac:dyDescent="0.25">
      <c r="A58" s="304" t="s">
        <v>840</v>
      </c>
      <c r="B58" s="304" t="s">
        <v>841</v>
      </c>
      <c r="C58" s="304" t="s">
        <v>231</v>
      </c>
      <c r="D58" s="304" t="s">
        <v>842</v>
      </c>
      <c r="E58" s="150" t="s">
        <v>703</v>
      </c>
      <c r="F58" s="302" t="s">
        <v>441</v>
      </c>
      <c r="G58" s="302">
        <f t="shared" si="6"/>
        <v>3886800</v>
      </c>
      <c r="H58" s="302">
        <f>'d3'!E63</f>
        <v>3886800</v>
      </c>
      <c r="I58" s="302">
        <f>'d3'!J63</f>
        <v>0</v>
      </c>
      <c r="J58" s="302">
        <f>'d3'!K63</f>
        <v>0</v>
      </c>
    </row>
    <row r="59" spans="1:10" s="263" customFormat="1" ht="230.25" thickTop="1" thickBot="1" x14ac:dyDescent="0.25">
      <c r="A59" s="266" t="s">
        <v>807</v>
      </c>
      <c r="B59" s="266" t="s">
        <v>808</v>
      </c>
      <c r="C59" s="266" t="s">
        <v>231</v>
      </c>
      <c r="D59" s="266" t="s">
        <v>809</v>
      </c>
      <c r="E59" s="150" t="s">
        <v>703</v>
      </c>
      <c r="F59" s="264" t="s">
        <v>441</v>
      </c>
      <c r="G59" s="264">
        <f t="shared" ref="G59:G60" si="7">H59+I59</f>
        <v>2110415</v>
      </c>
      <c r="H59" s="264">
        <f>'d3'!E64</f>
        <v>2060415</v>
      </c>
      <c r="I59" s="264">
        <f>'d3'!J64</f>
        <v>50000</v>
      </c>
      <c r="J59" s="264">
        <f>'d3'!K64</f>
        <v>50000</v>
      </c>
    </row>
    <row r="60" spans="1:10" s="72" customFormat="1" ht="367.5" thickTop="1" thickBot="1" x14ac:dyDescent="0.25">
      <c r="A60" s="304" t="s">
        <v>815</v>
      </c>
      <c r="B60" s="304" t="s">
        <v>816</v>
      </c>
      <c r="C60" s="304" t="s">
        <v>231</v>
      </c>
      <c r="D60" s="304" t="s">
        <v>817</v>
      </c>
      <c r="E60" s="150" t="s">
        <v>703</v>
      </c>
      <c r="F60" s="302" t="s">
        <v>441</v>
      </c>
      <c r="G60" s="302">
        <f t="shared" si="7"/>
        <v>6479806</v>
      </c>
      <c r="H60" s="302">
        <f>'d3'!E66</f>
        <v>4362735</v>
      </c>
      <c r="I60" s="302">
        <f>'d3'!J66</f>
        <v>2117071</v>
      </c>
      <c r="J60" s="302">
        <f>'d3'!K66</f>
        <v>2117071</v>
      </c>
    </row>
    <row r="61" spans="1:10" s="72" customFormat="1" ht="321.75" thickTop="1" thickBot="1" x14ac:dyDescent="0.25">
      <c r="A61" s="660" t="s">
        <v>1295</v>
      </c>
      <c r="B61" s="660" t="s">
        <v>1296</v>
      </c>
      <c r="C61" s="660" t="s">
        <v>231</v>
      </c>
      <c r="D61" s="660" t="s">
        <v>1297</v>
      </c>
      <c r="E61" s="150" t="s">
        <v>703</v>
      </c>
      <c r="F61" s="659" t="s">
        <v>441</v>
      </c>
      <c r="G61" s="659">
        <f t="shared" ref="G61" si="8">H61+I61</f>
        <v>6063695</v>
      </c>
      <c r="H61" s="659">
        <f>'d3'!E67</f>
        <v>4680566</v>
      </c>
      <c r="I61" s="659">
        <f>'d3'!J67</f>
        <v>1383129</v>
      </c>
      <c r="J61" s="659">
        <f>'d3'!K67</f>
        <v>1383129</v>
      </c>
    </row>
    <row r="62" spans="1:10" s="72" customFormat="1" ht="409.6" thickTop="1" thickBot="1" x14ac:dyDescent="0.25">
      <c r="A62" s="668" t="s">
        <v>1329</v>
      </c>
      <c r="B62" s="668" t="s">
        <v>1331</v>
      </c>
      <c r="C62" s="668" t="s">
        <v>231</v>
      </c>
      <c r="D62" s="668" t="s">
        <v>1333</v>
      </c>
      <c r="E62" s="150" t="s">
        <v>703</v>
      </c>
      <c r="F62" s="667" t="s">
        <v>441</v>
      </c>
      <c r="G62" s="667">
        <f>H62+I62</f>
        <v>4547046.18</v>
      </c>
      <c r="H62" s="667">
        <f>'d3'!E69</f>
        <v>0</v>
      </c>
      <c r="I62" s="667">
        <f>'d3'!J69</f>
        <v>4547046.18</v>
      </c>
      <c r="J62" s="667">
        <f>'d3'!K69</f>
        <v>4547046.18</v>
      </c>
    </row>
    <row r="63" spans="1:10" s="72" customFormat="1" ht="409.6" customHeight="1" thickTop="1" x14ac:dyDescent="0.2">
      <c r="A63" s="787" t="s">
        <v>1357</v>
      </c>
      <c r="B63" s="787" t="s">
        <v>1358</v>
      </c>
      <c r="C63" s="787" t="s">
        <v>231</v>
      </c>
      <c r="D63" s="787" t="s">
        <v>1359</v>
      </c>
      <c r="E63" s="787" t="s">
        <v>703</v>
      </c>
      <c r="F63" s="787" t="s">
        <v>441</v>
      </c>
      <c r="G63" s="850">
        <f>H63+I63</f>
        <v>10623233.82</v>
      </c>
      <c r="H63" s="850">
        <f>'d3'!E70</f>
        <v>0</v>
      </c>
      <c r="I63" s="850">
        <f>'d3'!J70</f>
        <v>10623233.82</v>
      </c>
      <c r="J63" s="850">
        <f>'d3'!K70</f>
        <v>10623233.82</v>
      </c>
    </row>
    <row r="64" spans="1:10" s="72" customFormat="1" ht="122.25" customHeight="1" thickBot="1" x14ac:dyDescent="0.25">
      <c r="A64" s="788"/>
      <c r="B64" s="788"/>
      <c r="C64" s="788"/>
      <c r="D64" s="788"/>
      <c r="E64" s="788"/>
      <c r="F64" s="788"/>
      <c r="G64" s="788"/>
      <c r="H64" s="788"/>
      <c r="I64" s="788">
        <f>'d3'!J71</f>
        <v>0</v>
      </c>
      <c r="J64" s="788">
        <f>'d3'!K71</f>
        <v>0</v>
      </c>
    </row>
    <row r="65" spans="1:10" s="263" customFormat="1" ht="321.75" thickTop="1" thickBot="1" x14ac:dyDescent="0.25">
      <c r="A65" s="266" t="s">
        <v>804</v>
      </c>
      <c r="B65" s="266" t="s">
        <v>805</v>
      </c>
      <c r="C65" s="266" t="s">
        <v>231</v>
      </c>
      <c r="D65" s="266" t="s">
        <v>806</v>
      </c>
      <c r="E65" s="150" t="s">
        <v>703</v>
      </c>
      <c r="F65" s="264" t="s">
        <v>441</v>
      </c>
      <c r="G65" s="264">
        <f>H65+I65</f>
        <v>7118182</v>
      </c>
      <c r="H65" s="264">
        <f>'d3'!E72</f>
        <v>4721984</v>
      </c>
      <c r="I65" s="264">
        <f>'d3'!J72</f>
        <v>2396198</v>
      </c>
      <c r="J65" s="264">
        <f>'d3'!K72</f>
        <v>2396198</v>
      </c>
    </row>
    <row r="66" spans="1:10" s="527" customFormat="1" ht="321.75" thickTop="1" thickBot="1" x14ac:dyDescent="0.25">
      <c r="A66" s="529" t="s">
        <v>1218</v>
      </c>
      <c r="B66" s="529" t="s">
        <v>1219</v>
      </c>
      <c r="C66" s="529" t="s">
        <v>231</v>
      </c>
      <c r="D66" s="529" t="s">
        <v>1220</v>
      </c>
      <c r="E66" s="150" t="s">
        <v>703</v>
      </c>
      <c r="F66" s="528" t="s">
        <v>441</v>
      </c>
      <c r="G66" s="528">
        <f>H66+I66</f>
        <v>1648625</v>
      </c>
      <c r="H66" s="528">
        <f>'d3'!E73</f>
        <v>1072435</v>
      </c>
      <c r="I66" s="528">
        <f>'d3'!J73</f>
        <v>576190</v>
      </c>
      <c r="J66" s="528">
        <f>'d3'!K73</f>
        <v>576190</v>
      </c>
    </row>
    <row r="67" spans="1:10" s="665" customFormat="1" ht="367.5" thickTop="1" thickBot="1" x14ac:dyDescent="0.25">
      <c r="A67" s="668" t="s">
        <v>1335</v>
      </c>
      <c r="B67" s="668" t="s">
        <v>1337</v>
      </c>
      <c r="C67" s="668" t="s">
        <v>231</v>
      </c>
      <c r="D67" s="668" t="s">
        <v>1339</v>
      </c>
      <c r="E67" s="150" t="s">
        <v>703</v>
      </c>
      <c r="F67" s="667" t="s">
        <v>441</v>
      </c>
      <c r="G67" s="667">
        <f>H67+I67</f>
        <v>1500000</v>
      </c>
      <c r="H67" s="667">
        <f>'d3'!E77</f>
        <v>0</v>
      </c>
      <c r="I67" s="667">
        <f>'d3'!J77</f>
        <v>1500000</v>
      </c>
      <c r="J67" s="667">
        <f>'d3'!K77</f>
        <v>1500000</v>
      </c>
    </row>
    <row r="68" spans="1:10" ht="367.5" hidden="1" thickTop="1" thickBot="1" x14ac:dyDescent="0.25">
      <c r="A68" s="303" t="s">
        <v>463</v>
      </c>
      <c r="B68" s="303" t="s">
        <v>464</v>
      </c>
      <c r="C68" s="303" t="s">
        <v>206</v>
      </c>
      <c r="D68" s="303" t="s">
        <v>462</v>
      </c>
      <c r="E68" s="150" t="s">
        <v>704</v>
      </c>
      <c r="F68" s="302" t="s">
        <v>437</v>
      </c>
      <c r="G68" s="302">
        <f>H68+I68</f>
        <v>0</v>
      </c>
      <c r="H68" s="302">
        <f>'d3'!E75</f>
        <v>0</v>
      </c>
      <c r="I68" s="302">
        <f>'d3'!J75</f>
        <v>0</v>
      </c>
      <c r="J68" s="302">
        <f>'d3'!K75</f>
        <v>0</v>
      </c>
    </row>
    <row r="69" spans="1:10" ht="136.5" thickTop="1" thickBot="1" x14ac:dyDescent="0.25">
      <c r="A69" s="691" t="s">
        <v>171</v>
      </c>
      <c r="B69" s="691"/>
      <c r="C69" s="691"/>
      <c r="D69" s="692" t="s">
        <v>18</v>
      </c>
      <c r="E69" s="693"/>
      <c r="F69" s="694"/>
      <c r="G69" s="694">
        <f>G70</f>
        <v>99463545</v>
      </c>
      <c r="H69" s="694">
        <f t="shared" ref="H69:J69" si="9">H70</f>
        <v>77813027</v>
      </c>
      <c r="I69" s="693">
        <f t="shared" si="9"/>
        <v>21650518</v>
      </c>
      <c r="J69" s="693">
        <f t="shared" si="9"/>
        <v>21628518</v>
      </c>
    </row>
    <row r="70" spans="1:10" ht="172.5" customHeight="1" thickTop="1" thickBot="1" x14ac:dyDescent="0.25">
      <c r="A70" s="695" t="s">
        <v>172</v>
      </c>
      <c r="B70" s="695"/>
      <c r="C70" s="695"/>
      <c r="D70" s="696" t="s">
        <v>38</v>
      </c>
      <c r="E70" s="697"/>
      <c r="F70" s="697"/>
      <c r="G70" s="697">
        <f>SUM(G71:G93)</f>
        <v>99463545</v>
      </c>
      <c r="H70" s="697">
        <f>SUM(H71:H93)</f>
        <v>77813027</v>
      </c>
      <c r="I70" s="697">
        <f>SUM(I71:I93)</f>
        <v>21650518</v>
      </c>
      <c r="J70" s="697">
        <f>SUM(J71:J93)</f>
        <v>21628518</v>
      </c>
    </row>
    <row r="71" spans="1:10" ht="138.75" thickTop="1" thickBot="1" x14ac:dyDescent="0.25">
      <c r="A71" s="200" t="s">
        <v>235</v>
      </c>
      <c r="B71" s="200" t="s">
        <v>232</v>
      </c>
      <c r="C71" s="200" t="s">
        <v>236</v>
      </c>
      <c r="D71" s="200" t="s">
        <v>19</v>
      </c>
      <c r="E71" s="209" t="s">
        <v>469</v>
      </c>
      <c r="F71" s="209" t="s">
        <v>440</v>
      </c>
      <c r="G71" s="850">
        <f>H71+I71</f>
        <v>15249455</v>
      </c>
      <c r="H71" s="850">
        <f>'d3'!E83</f>
        <v>15249455</v>
      </c>
      <c r="I71" s="850">
        <f>'d3'!J83</f>
        <v>0</v>
      </c>
      <c r="J71" s="850">
        <f>'d3'!K83</f>
        <v>0</v>
      </c>
    </row>
    <row r="72" spans="1:10" ht="405.75" customHeight="1" thickTop="1" thickBot="1" x14ac:dyDescent="0.25">
      <c r="A72" s="200" t="s">
        <v>235</v>
      </c>
      <c r="B72" s="200" t="s">
        <v>232</v>
      </c>
      <c r="C72" s="200" t="s">
        <v>236</v>
      </c>
      <c r="D72" s="200" t="s">
        <v>19</v>
      </c>
      <c r="E72" s="471" t="s">
        <v>1048</v>
      </c>
      <c r="F72" s="389" t="s">
        <v>1049</v>
      </c>
      <c r="G72" s="852"/>
      <c r="H72" s="852"/>
      <c r="I72" s="852"/>
      <c r="J72" s="852"/>
    </row>
    <row r="73" spans="1:10" ht="138.75" thickTop="1" thickBot="1" x14ac:dyDescent="0.25">
      <c r="A73" s="200" t="s">
        <v>554</v>
      </c>
      <c r="B73" s="200" t="s">
        <v>557</v>
      </c>
      <c r="C73" s="200" t="s">
        <v>556</v>
      </c>
      <c r="D73" s="200" t="s">
        <v>555</v>
      </c>
      <c r="E73" s="209" t="s">
        <v>469</v>
      </c>
      <c r="F73" s="209" t="s">
        <v>440</v>
      </c>
      <c r="G73" s="850">
        <f>H73+I73</f>
        <v>7747407</v>
      </c>
      <c r="H73" s="850">
        <f>'d3'!E84</f>
        <v>7747407</v>
      </c>
      <c r="I73" s="850">
        <f>'d3'!J84</f>
        <v>0</v>
      </c>
      <c r="J73" s="850">
        <f>'d3'!K84</f>
        <v>0</v>
      </c>
    </row>
    <row r="74" spans="1:10" ht="409.6" thickTop="1" thickBot="1" x14ac:dyDescent="0.25">
      <c r="A74" s="200" t="s">
        <v>554</v>
      </c>
      <c r="B74" s="200" t="s">
        <v>557</v>
      </c>
      <c r="C74" s="200" t="s">
        <v>556</v>
      </c>
      <c r="D74" s="200" t="s">
        <v>555</v>
      </c>
      <c r="E74" s="471" t="s">
        <v>1048</v>
      </c>
      <c r="F74" s="389" t="s">
        <v>1049</v>
      </c>
      <c r="G74" s="852"/>
      <c r="H74" s="852"/>
      <c r="I74" s="852"/>
      <c r="J74" s="852"/>
    </row>
    <row r="75" spans="1:10" ht="138.75" thickTop="1" thickBot="1" x14ac:dyDescent="0.25">
      <c r="A75" s="200" t="s">
        <v>237</v>
      </c>
      <c r="B75" s="200" t="s">
        <v>238</v>
      </c>
      <c r="C75" s="200" t="s">
        <v>239</v>
      </c>
      <c r="D75" s="200" t="s">
        <v>240</v>
      </c>
      <c r="E75" s="209" t="s">
        <v>469</v>
      </c>
      <c r="F75" s="209" t="s">
        <v>440</v>
      </c>
      <c r="G75" s="850">
        <f t="shared" ref="G75:G86" si="10">H75+I75</f>
        <v>5291200</v>
      </c>
      <c r="H75" s="850">
        <f>'d3'!E85</f>
        <v>5291200</v>
      </c>
      <c r="I75" s="850">
        <f>'d3'!J85</f>
        <v>0</v>
      </c>
      <c r="J75" s="850">
        <f>'d3'!K85</f>
        <v>0</v>
      </c>
    </row>
    <row r="76" spans="1:10" ht="409.6" thickTop="1" thickBot="1" x14ac:dyDescent="0.25">
      <c r="A76" s="200" t="s">
        <v>237</v>
      </c>
      <c r="B76" s="200" t="s">
        <v>238</v>
      </c>
      <c r="C76" s="200" t="s">
        <v>239</v>
      </c>
      <c r="D76" s="200" t="s">
        <v>240</v>
      </c>
      <c r="E76" s="471" t="s">
        <v>1048</v>
      </c>
      <c r="F76" s="389" t="s">
        <v>1049</v>
      </c>
      <c r="G76" s="852"/>
      <c r="H76" s="852"/>
      <c r="I76" s="852"/>
      <c r="J76" s="852"/>
    </row>
    <row r="77" spans="1:10" ht="138.75" thickTop="1" thickBot="1" x14ac:dyDescent="0.25">
      <c r="A77" s="200" t="s">
        <v>241</v>
      </c>
      <c r="B77" s="200" t="s">
        <v>242</v>
      </c>
      <c r="C77" s="200" t="s">
        <v>243</v>
      </c>
      <c r="D77" s="200" t="s">
        <v>373</v>
      </c>
      <c r="E77" s="209" t="s">
        <v>469</v>
      </c>
      <c r="F77" s="209" t="s">
        <v>440</v>
      </c>
      <c r="G77" s="850">
        <f t="shared" si="10"/>
        <v>10996090</v>
      </c>
      <c r="H77" s="850">
        <f>'d3'!E86</f>
        <v>10996090</v>
      </c>
      <c r="I77" s="850">
        <f>'d3'!J86</f>
        <v>0</v>
      </c>
      <c r="J77" s="850">
        <f>'d3'!K86</f>
        <v>0</v>
      </c>
    </row>
    <row r="78" spans="1:10" ht="409.6" thickTop="1" thickBot="1" x14ac:dyDescent="0.25">
      <c r="A78" s="200" t="s">
        <v>241</v>
      </c>
      <c r="B78" s="200" t="s">
        <v>242</v>
      </c>
      <c r="C78" s="200" t="s">
        <v>243</v>
      </c>
      <c r="D78" s="200" t="s">
        <v>373</v>
      </c>
      <c r="E78" s="471" t="s">
        <v>1048</v>
      </c>
      <c r="F78" s="389" t="s">
        <v>1049</v>
      </c>
      <c r="G78" s="852"/>
      <c r="H78" s="852"/>
      <c r="I78" s="852"/>
      <c r="J78" s="852"/>
    </row>
    <row r="79" spans="1:10" ht="172.5" customHeight="1" thickTop="1" thickBot="1" x14ac:dyDescent="0.25">
      <c r="A79" s="200" t="s">
        <v>244</v>
      </c>
      <c r="B79" s="200" t="s">
        <v>245</v>
      </c>
      <c r="C79" s="200" t="s">
        <v>246</v>
      </c>
      <c r="D79" s="200" t="s">
        <v>247</v>
      </c>
      <c r="E79" s="209" t="s">
        <v>469</v>
      </c>
      <c r="F79" s="209" t="s">
        <v>440</v>
      </c>
      <c r="G79" s="850">
        <f t="shared" si="10"/>
        <v>5594335</v>
      </c>
      <c r="H79" s="850">
        <f>'d3'!E87-H81</f>
        <v>5594335</v>
      </c>
      <c r="I79" s="850">
        <f>'d3'!J87-I81</f>
        <v>0</v>
      </c>
      <c r="J79" s="850">
        <f>'d3'!K87-J81</f>
        <v>0</v>
      </c>
    </row>
    <row r="80" spans="1:10" ht="409.6" thickTop="1" thickBot="1" x14ac:dyDescent="0.25">
      <c r="A80" s="200" t="s">
        <v>244</v>
      </c>
      <c r="B80" s="200" t="s">
        <v>245</v>
      </c>
      <c r="C80" s="200" t="s">
        <v>246</v>
      </c>
      <c r="D80" s="200" t="s">
        <v>247</v>
      </c>
      <c r="E80" s="471" t="s">
        <v>1048</v>
      </c>
      <c r="F80" s="389" t="s">
        <v>1049</v>
      </c>
      <c r="G80" s="852"/>
      <c r="H80" s="852"/>
      <c r="I80" s="852"/>
      <c r="J80" s="852"/>
    </row>
    <row r="81" spans="1:10" ht="184.5" thickTop="1" thickBot="1" x14ac:dyDescent="0.25">
      <c r="A81" s="200" t="s">
        <v>244</v>
      </c>
      <c r="B81" s="200" t="s">
        <v>245</v>
      </c>
      <c r="C81" s="200" t="s">
        <v>246</v>
      </c>
      <c r="D81" s="200" t="s">
        <v>247</v>
      </c>
      <c r="E81" s="255" t="s">
        <v>1044</v>
      </c>
      <c r="F81" s="388" t="s">
        <v>1045</v>
      </c>
      <c r="G81" s="209">
        <f t="shared" si="10"/>
        <v>1287600</v>
      </c>
      <c r="H81" s="209">
        <v>1287600</v>
      </c>
      <c r="I81" s="209"/>
      <c r="J81" s="209"/>
    </row>
    <row r="82" spans="1:10" ht="184.5" thickTop="1" thickBot="1" x14ac:dyDescent="0.25">
      <c r="A82" s="200" t="s">
        <v>248</v>
      </c>
      <c r="B82" s="200" t="s">
        <v>249</v>
      </c>
      <c r="C82" s="200" t="s">
        <v>374</v>
      </c>
      <c r="D82" s="200" t="s">
        <v>250</v>
      </c>
      <c r="E82" s="209" t="s">
        <v>469</v>
      </c>
      <c r="F82" s="209" t="s">
        <v>440</v>
      </c>
      <c r="G82" s="850">
        <f t="shared" si="10"/>
        <v>10747515</v>
      </c>
      <c r="H82" s="850">
        <f>'d3'!E89</f>
        <v>10747515</v>
      </c>
      <c r="I82" s="850">
        <f>'d3'!J89</f>
        <v>0</v>
      </c>
      <c r="J82" s="850">
        <f>'d3'!K89</f>
        <v>0</v>
      </c>
    </row>
    <row r="83" spans="1:10" ht="409.6" thickTop="1" thickBot="1" x14ac:dyDescent="0.25">
      <c r="A83" s="200" t="s">
        <v>248</v>
      </c>
      <c r="B83" s="200" t="s">
        <v>249</v>
      </c>
      <c r="C83" s="200" t="s">
        <v>374</v>
      </c>
      <c r="D83" s="200" t="s">
        <v>250</v>
      </c>
      <c r="E83" s="471" t="s">
        <v>1048</v>
      </c>
      <c r="F83" s="389" t="s">
        <v>1049</v>
      </c>
      <c r="G83" s="852"/>
      <c r="H83" s="852"/>
      <c r="I83" s="852"/>
      <c r="J83" s="852"/>
    </row>
    <row r="84" spans="1:10" ht="138.75" hidden="1" thickTop="1" thickBot="1" x14ac:dyDescent="0.25">
      <c r="A84" s="200" t="s">
        <v>521</v>
      </c>
      <c r="B84" s="200" t="s">
        <v>522</v>
      </c>
      <c r="C84" s="200" t="s">
        <v>251</v>
      </c>
      <c r="D84" s="200" t="s">
        <v>523</v>
      </c>
      <c r="E84" s="209" t="s">
        <v>469</v>
      </c>
      <c r="F84" s="209" t="s">
        <v>440</v>
      </c>
      <c r="G84" s="850">
        <f t="shared" si="10"/>
        <v>14254000</v>
      </c>
      <c r="H84" s="850">
        <f>'d3'!E91</f>
        <v>14254000</v>
      </c>
      <c r="I84" s="850">
        <f>'d3'!J91</f>
        <v>0</v>
      </c>
      <c r="J84" s="850">
        <f>'d3'!K91</f>
        <v>0</v>
      </c>
    </row>
    <row r="85" spans="1:10" ht="409.6" thickTop="1" thickBot="1" x14ac:dyDescent="0.25">
      <c r="A85" s="200" t="s">
        <v>521</v>
      </c>
      <c r="B85" s="200" t="s">
        <v>522</v>
      </c>
      <c r="C85" s="200" t="s">
        <v>251</v>
      </c>
      <c r="D85" s="200" t="s">
        <v>523</v>
      </c>
      <c r="E85" s="471" t="s">
        <v>1048</v>
      </c>
      <c r="F85" s="389" t="s">
        <v>1049</v>
      </c>
      <c r="G85" s="852"/>
      <c r="H85" s="852"/>
      <c r="I85" s="852"/>
      <c r="J85" s="852"/>
    </row>
    <row r="86" spans="1:10" s="37" customFormat="1" ht="160.5" customHeight="1" thickTop="1" thickBot="1" x14ac:dyDescent="0.25">
      <c r="A86" s="303" t="s">
        <v>348</v>
      </c>
      <c r="B86" s="303" t="s">
        <v>350</v>
      </c>
      <c r="C86" s="303" t="s">
        <v>251</v>
      </c>
      <c r="D86" s="259" t="s">
        <v>346</v>
      </c>
      <c r="E86" s="302" t="s">
        <v>469</v>
      </c>
      <c r="F86" s="302" t="s">
        <v>440</v>
      </c>
      <c r="G86" s="850">
        <f t="shared" si="10"/>
        <v>3251425</v>
      </c>
      <c r="H86" s="850">
        <f>'d3'!E93</f>
        <v>3229425</v>
      </c>
      <c r="I86" s="850">
        <f>'d3'!J93</f>
        <v>22000</v>
      </c>
      <c r="J86" s="850">
        <f>'d3'!K93</f>
        <v>0</v>
      </c>
    </row>
    <row r="87" spans="1:10" s="37" customFormat="1" ht="409.6" thickTop="1" thickBot="1" x14ac:dyDescent="0.25">
      <c r="A87" s="303" t="s">
        <v>348</v>
      </c>
      <c r="B87" s="303" t="s">
        <v>350</v>
      </c>
      <c r="C87" s="303" t="s">
        <v>251</v>
      </c>
      <c r="D87" s="259" t="s">
        <v>346</v>
      </c>
      <c r="E87" s="471" t="s">
        <v>1048</v>
      </c>
      <c r="F87" s="389" t="s">
        <v>1049</v>
      </c>
      <c r="G87" s="852"/>
      <c r="H87" s="852"/>
      <c r="I87" s="852"/>
      <c r="J87" s="852"/>
    </row>
    <row r="88" spans="1:10" s="37" customFormat="1" ht="166.7" customHeight="1" thickTop="1" thickBot="1" x14ac:dyDescent="0.25">
      <c r="A88" s="303" t="s">
        <v>349</v>
      </c>
      <c r="B88" s="303" t="s">
        <v>351</v>
      </c>
      <c r="C88" s="303" t="s">
        <v>251</v>
      </c>
      <c r="D88" s="259" t="s">
        <v>347</v>
      </c>
      <c r="E88" s="302" t="s">
        <v>469</v>
      </c>
      <c r="F88" s="302" t="s">
        <v>440</v>
      </c>
      <c r="G88" s="850">
        <f>H88+I88</f>
        <v>3416000</v>
      </c>
      <c r="H88" s="850">
        <f>'d3'!E94</f>
        <v>3416000</v>
      </c>
      <c r="I88" s="850">
        <f>'d3'!J94</f>
        <v>0</v>
      </c>
      <c r="J88" s="850">
        <f>'d3'!K94</f>
        <v>0</v>
      </c>
    </row>
    <row r="89" spans="1:10" s="37" customFormat="1" ht="409.5" customHeight="1" thickTop="1" thickBot="1" x14ac:dyDescent="0.25">
      <c r="A89" s="303" t="s">
        <v>349</v>
      </c>
      <c r="B89" s="303" t="s">
        <v>351</v>
      </c>
      <c r="C89" s="303" t="s">
        <v>251</v>
      </c>
      <c r="D89" s="259" t="s">
        <v>347</v>
      </c>
      <c r="E89" s="471" t="s">
        <v>1048</v>
      </c>
      <c r="F89" s="389" t="s">
        <v>1049</v>
      </c>
      <c r="G89" s="852"/>
      <c r="H89" s="852"/>
      <c r="I89" s="852"/>
      <c r="J89" s="852"/>
    </row>
    <row r="90" spans="1:10" s="37" customFormat="1" ht="138.75" thickTop="1" thickBot="1" x14ac:dyDescent="0.25">
      <c r="A90" s="303" t="s">
        <v>468</v>
      </c>
      <c r="B90" s="303" t="s">
        <v>218</v>
      </c>
      <c r="C90" s="303" t="s">
        <v>187</v>
      </c>
      <c r="D90" s="303" t="s">
        <v>36</v>
      </c>
      <c r="E90" s="302" t="s">
        <v>469</v>
      </c>
      <c r="F90" s="302" t="s">
        <v>440</v>
      </c>
      <c r="G90" s="850">
        <f>H90+I90</f>
        <v>21255854</v>
      </c>
      <c r="H90" s="850">
        <v>0</v>
      </c>
      <c r="I90" s="850">
        <f>'d3'!J97-I92</f>
        <v>21255854</v>
      </c>
      <c r="J90" s="850">
        <f>'d3'!K97-J92</f>
        <v>21255854</v>
      </c>
    </row>
    <row r="91" spans="1:10" s="37" customFormat="1" ht="409.5" customHeight="1" thickTop="1" thickBot="1" x14ac:dyDescent="0.25">
      <c r="A91" s="303" t="s">
        <v>468</v>
      </c>
      <c r="B91" s="303" t="s">
        <v>218</v>
      </c>
      <c r="C91" s="303" t="s">
        <v>187</v>
      </c>
      <c r="D91" s="303" t="s">
        <v>36</v>
      </c>
      <c r="E91" s="471" t="s">
        <v>1048</v>
      </c>
      <c r="F91" s="389" t="s">
        <v>1049</v>
      </c>
      <c r="G91" s="852"/>
      <c r="H91" s="852"/>
      <c r="I91" s="852"/>
      <c r="J91" s="852"/>
    </row>
    <row r="92" spans="1:10" s="37" customFormat="1" ht="230.25" thickTop="1" thickBot="1" x14ac:dyDescent="0.25">
      <c r="A92" s="303" t="s">
        <v>468</v>
      </c>
      <c r="B92" s="303" t="s">
        <v>218</v>
      </c>
      <c r="C92" s="303" t="s">
        <v>187</v>
      </c>
      <c r="D92" s="303" t="s">
        <v>36</v>
      </c>
      <c r="E92" s="150" t="s">
        <v>487</v>
      </c>
      <c r="F92" s="201" t="s">
        <v>488</v>
      </c>
      <c r="G92" s="302">
        <f>H92+I92</f>
        <v>372664</v>
      </c>
      <c r="H92" s="302">
        <v>0</v>
      </c>
      <c r="I92" s="302">
        <f>(136258+107000+129406)</f>
        <v>372664</v>
      </c>
      <c r="J92" s="302">
        <f>(136258+107000+129406)</f>
        <v>372664</v>
      </c>
    </row>
    <row r="93" spans="1:10" s="37" customFormat="1" ht="138.75" hidden="1" thickTop="1" thickBot="1" x14ac:dyDescent="0.25">
      <c r="A93" s="165" t="s">
        <v>558</v>
      </c>
      <c r="B93" s="165" t="s">
        <v>391</v>
      </c>
      <c r="C93" s="165" t="s">
        <v>45</v>
      </c>
      <c r="D93" s="165" t="s">
        <v>392</v>
      </c>
      <c r="E93" s="146" t="s">
        <v>469</v>
      </c>
      <c r="F93" s="146" t="s">
        <v>440</v>
      </c>
      <c r="G93" s="146">
        <f>H93+I93</f>
        <v>0</v>
      </c>
      <c r="H93" s="146">
        <f>'d3'!F98</f>
        <v>0</v>
      </c>
      <c r="I93" s="146">
        <f>'d3'!J98</f>
        <v>0</v>
      </c>
      <c r="J93" s="146">
        <f>'d3'!K98</f>
        <v>0</v>
      </c>
    </row>
    <row r="94" spans="1:10" ht="241.5" customHeight="1" thickTop="1" thickBot="1" x14ac:dyDescent="0.25">
      <c r="A94" s="691" t="s">
        <v>173</v>
      </c>
      <c r="B94" s="691"/>
      <c r="C94" s="691"/>
      <c r="D94" s="692" t="s">
        <v>39</v>
      </c>
      <c r="E94" s="693"/>
      <c r="F94" s="694"/>
      <c r="G94" s="694">
        <f>G95</f>
        <v>164089289</v>
      </c>
      <c r="H94" s="694">
        <f t="shared" ref="H94:J94" si="11">H95</f>
        <v>155421294</v>
      </c>
      <c r="I94" s="693">
        <f t="shared" si="11"/>
        <v>8667995</v>
      </c>
      <c r="J94" s="693">
        <f t="shared" si="11"/>
        <v>8050995</v>
      </c>
    </row>
    <row r="95" spans="1:10" ht="226.5" thickTop="1" thickBot="1" x14ac:dyDescent="0.25">
      <c r="A95" s="695" t="s">
        <v>174</v>
      </c>
      <c r="B95" s="695"/>
      <c r="C95" s="695"/>
      <c r="D95" s="696" t="s">
        <v>40</v>
      </c>
      <c r="E95" s="697"/>
      <c r="F95" s="697"/>
      <c r="G95" s="697">
        <f>SUM(G96:G125)</f>
        <v>164089289</v>
      </c>
      <c r="H95" s="697">
        <f>SUM(H96:H125)</f>
        <v>155421294</v>
      </c>
      <c r="I95" s="697">
        <f>SUM(I96:I125)</f>
        <v>8667995</v>
      </c>
      <c r="J95" s="697">
        <f>SUM(J96:J125)</f>
        <v>8050995</v>
      </c>
    </row>
    <row r="96" spans="1:10" ht="230.25" thickTop="1" thickBot="1" x14ac:dyDescent="0.25">
      <c r="A96" s="200" t="s">
        <v>445</v>
      </c>
      <c r="B96" s="200" t="s">
        <v>257</v>
      </c>
      <c r="C96" s="200" t="s">
        <v>255</v>
      </c>
      <c r="D96" s="200" t="s">
        <v>256</v>
      </c>
      <c r="E96" s="222" t="s">
        <v>1028</v>
      </c>
      <c r="F96" s="385" t="s">
        <v>1029</v>
      </c>
      <c r="G96" s="209">
        <f t="shared" ref="G96:G123" si="12">H96+I96</f>
        <v>270000</v>
      </c>
      <c r="H96" s="209">
        <v>0</v>
      </c>
      <c r="I96" s="209">
        <v>270000</v>
      </c>
      <c r="J96" s="209">
        <v>270000</v>
      </c>
    </row>
    <row r="97" spans="1:10" s="485" customFormat="1" ht="230.25" thickTop="1" thickBot="1" x14ac:dyDescent="0.25">
      <c r="A97" s="487" t="s">
        <v>445</v>
      </c>
      <c r="B97" s="487" t="s">
        <v>257</v>
      </c>
      <c r="C97" s="487" t="s">
        <v>255</v>
      </c>
      <c r="D97" s="487" t="s">
        <v>256</v>
      </c>
      <c r="E97" s="150" t="s">
        <v>704</v>
      </c>
      <c r="F97" s="486" t="s">
        <v>437</v>
      </c>
      <c r="G97" s="486">
        <f t="shared" si="12"/>
        <v>250000</v>
      </c>
      <c r="H97" s="486">
        <v>0</v>
      </c>
      <c r="I97" s="486">
        <v>250000</v>
      </c>
      <c r="J97" s="486">
        <v>250000</v>
      </c>
    </row>
    <row r="98" spans="1:10" s="239" customFormat="1" ht="409.6" thickTop="1" thickBot="1" x14ac:dyDescent="0.25">
      <c r="A98" s="245" t="s">
        <v>787</v>
      </c>
      <c r="B98" s="245" t="s">
        <v>390</v>
      </c>
      <c r="C98" s="245" t="s">
        <v>779</v>
      </c>
      <c r="D98" s="245" t="s">
        <v>780</v>
      </c>
      <c r="E98" s="222" t="s">
        <v>1063</v>
      </c>
      <c r="F98" s="405" t="s">
        <v>1064</v>
      </c>
      <c r="G98" s="209">
        <f t="shared" si="12"/>
        <v>10000</v>
      </c>
      <c r="H98" s="209">
        <f>'d3'!E103</f>
        <v>10000</v>
      </c>
      <c r="I98" s="473">
        <f>'d3'!J103</f>
        <v>0</v>
      </c>
      <c r="J98" s="473">
        <f>'d3'!K103</f>
        <v>0</v>
      </c>
    </row>
    <row r="99" spans="1:10" s="472" customFormat="1" ht="138.75" thickTop="1" thickBot="1" x14ac:dyDescent="0.25">
      <c r="A99" s="478" t="s">
        <v>1139</v>
      </c>
      <c r="B99" s="478" t="s">
        <v>45</v>
      </c>
      <c r="C99" s="478" t="s">
        <v>44</v>
      </c>
      <c r="D99" s="478" t="s">
        <v>269</v>
      </c>
      <c r="E99" s="392" t="s">
        <v>1246</v>
      </c>
      <c r="F99" s="534" t="s">
        <v>1238</v>
      </c>
      <c r="G99" s="473">
        <f t="shared" si="12"/>
        <v>30000</v>
      </c>
      <c r="H99" s="473">
        <f>'d3'!E104</f>
        <v>30000</v>
      </c>
      <c r="I99" s="473">
        <f>'d3'!J104</f>
        <v>0</v>
      </c>
      <c r="J99" s="473">
        <f>'d3'!K104</f>
        <v>0</v>
      </c>
    </row>
    <row r="100" spans="1:10" s="37" customFormat="1" ht="230.25" thickTop="1" thickBot="1" x14ac:dyDescent="0.25">
      <c r="A100" s="200" t="s">
        <v>290</v>
      </c>
      <c r="B100" s="200" t="s">
        <v>291</v>
      </c>
      <c r="C100" s="200" t="s">
        <v>226</v>
      </c>
      <c r="D100" s="201" t="s">
        <v>292</v>
      </c>
      <c r="E100" s="150" t="s">
        <v>704</v>
      </c>
      <c r="F100" s="209" t="s">
        <v>437</v>
      </c>
      <c r="G100" s="209">
        <f t="shared" si="12"/>
        <v>469000</v>
      </c>
      <c r="H100" s="209">
        <f>'d3'!E107</f>
        <v>270000</v>
      </c>
      <c r="I100" s="209">
        <f>'d3'!J107</f>
        <v>199000</v>
      </c>
      <c r="J100" s="209">
        <f>'d3'!K107</f>
        <v>199000</v>
      </c>
    </row>
    <row r="101" spans="1:10" s="37" customFormat="1" ht="230.25" thickTop="1" thickBot="1" x14ac:dyDescent="0.25">
      <c r="A101" s="200" t="s">
        <v>293</v>
      </c>
      <c r="B101" s="200" t="s">
        <v>294</v>
      </c>
      <c r="C101" s="200" t="s">
        <v>227</v>
      </c>
      <c r="D101" s="200" t="s">
        <v>6</v>
      </c>
      <c r="E101" s="150" t="s">
        <v>704</v>
      </c>
      <c r="F101" s="209" t="s">
        <v>437</v>
      </c>
      <c r="G101" s="209">
        <f t="shared" si="12"/>
        <v>1350000</v>
      </c>
      <c r="H101" s="209">
        <f>'d3'!E108</f>
        <v>1350000</v>
      </c>
      <c r="I101" s="209">
        <f>'d3'!J108</f>
        <v>0</v>
      </c>
      <c r="J101" s="209">
        <f>'d3'!K108</f>
        <v>0</v>
      </c>
    </row>
    <row r="102" spans="1:10" s="37" customFormat="1" ht="230.25" thickTop="1" thickBot="1" x14ac:dyDescent="0.25">
      <c r="A102" s="200" t="s">
        <v>296</v>
      </c>
      <c r="B102" s="200" t="s">
        <v>297</v>
      </c>
      <c r="C102" s="200" t="s">
        <v>227</v>
      </c>
      <c r="D102" s="200" t="s">
        <v>7</v>
      </c>
      <c r="E102" s="150" t="s">
        <v>704</v>
      </c>
      <c r="F102" s="209" t="s">
        <v>437</v>
      </c>
      <c r="G102" s="209">
        <f t="shared" si="12"/>
        <v>14700000</v>
      </c>
      <c r="H102" s="209">
        <f>'d3'!E109</f>
        <v>14700000</v>
      </c>
      <c r="I102" s="209">
        <f>'d3'!J109</f>
        <v>0</v>
      </c>
      <c r="J102" s="209">
        <f>'d3'!K109</f>
        <v>0</v>
      </c>
    </row>
    <row r="103" spans="1:10" s="37" customFormat="1" ht="230.25" thickTop="1" thickBot="1" x14ac:dyDescent="0.25">
      <c r="A103" s="200" t="s">
        <v>298</v>
      </c>
      <c r="B103" s="200" t="s">
        <v>295</v>
      </c>
      <c r="C103" s="200" t="s">
        <v>227</v>
      </c>
      <c r="D103" s="200" t="s">
        <v>8</v>
      </c>
      <c r="E103" s="150" t="s">
        <v>704</v>
      </c>
      <c r="F103" s="209" t="s">
        <v>437</v>
      </c>
      <c r="G103" s="209">
        <f t="shared" si="12"/>
        <v>500000</v>
      </c>
      <c r="H103" s="209">
        <f>'d3'!E110</f>
        <v>500000</v>
      </c>
      <c r="I103" s="209">
        <f>'d3'!J110</f>
        <v>0</v>
      </c>
      <c r="J103" s="209">
        <f>'d3'!K110</f>
        <v>0</v>
      </c>
    </row>
    <row r="104" spans="1:10" s="37" customFormat="1" ht="230.25" thickTop="1" thickBot="1" x14ac:dyDescent="0.25">
      <c r="A104" s="200" t="s">
        <v>299</v>
      </c>
      <c r="B104" s="200" t="s">
        <v>300</v>
      </c>
      <c r="C104" s="200" t="s">
        <v>227</v>
      </c>
      <c r="D104" s="200" t="s">
        <v>9</v>
      </c>
      <c r="E104" s="150" t="s">
        <v>704</v>
      </c>
      <c r="F104" s="209" t="s">
        <v>437</v>
      </c>
      <c r="G104" s="209">
        <f t="shared" si="12"/>
        <v>57804700</v>
      </c>
      <c r="H104" s="209">
        <f>'d3'!E111</f>
        <v>57804700</v>
      </c>
      <c r="I104" s="209">
        <f>'d3'!J111</f>
        <v>0</v>
      </c>
      <c r="J104" s="209">
        <f>'d3'!K111</f>
        <v>0</v>
      </c>
    </row>
    <row r="105" spans="1:10" s="37" customFormat="1" ht="230.25" thickTop="1" thickBot="1" x14ac:dyDescent="0.25">
      <c r="A105" s="407" t="s">
        <v>524</v>
      </c>
      <c r="B105" s="407" t="s">
        <v>525</v>
      </c>
      <c r="C105" s="407" t="s">
        <v>227</v>
      </c>
      <c r="D105" s="407" t="s">
        <v>526</v>
      </c>
      <c r="E105" s="150" t="s">
        <v>704</v>
      </c>
      <c r="F105" s="405" t="s">
        <v>437</v>
      </c>
      <c r="G105" s="405">
        <f t="shared" si="12"/>
        <v>206796</v>
      </c>
      <c r="H105" s="405">
        <f>'d3'!E112</f>
        <v>206796</v>
      </c>
      <c r="I105" s="405">
        <f>'d3'!J112</f>
        <v>0</v>
      </c>
      <c r="J105" s="405">
        <f>'d3'!K112</f>
        <v>0</v>
      </c>
    </row>
    <row r="106" spans="1:10" s="37" customFormat="1" ht="230.25" thickTop="1" thickBot="1" x14ac:dyDescent="0.25">
      <c r="A106" s="474" t="s">
        <v>1140</v>
      </c>
      <c r="B106" s="474" t="s">
        <v>1141</v>
      </c>
      <c r="C106" s="474" t="s">
        <v>227</v>
      </c>
      <c r="D106" s="474" t="s">
        <v>1142</v>
      </c>
      <c r="E106" s="150" t="s">
        <v>704</v>
      </c>
      <c r="F106" s="473" t="s">
        <v>437</v>
      </c>
      <c r="G106" s="473">
        <f t="shared" ref="G106" si="13">H106+I106</f>
        <v>180000</v>
      </c>
      <c r="H106" s="473">
        <f>'d3'!E113</f>
        <v>180000</v>
      </c>
      <c r="I106" s="473">
        <f>'d3'!J113</f>
        <v>0</v>
      </c>
      <c r="J106" s="473">
        <f>'d3'!K113</f>
        <v>0</v>
      </c>
    </row>
    <row r="107" spans="1:10" s="37" customFormat="1" ht="230.25" thickTop="1" thickBot="1" x14ac:dyDescent="0.25">
      <c r="A107" s="407" t="s">
        <v>527</v>
      </c>
      <c r="B107" s="407" t="s">
        <v>528</v>
      </c>
      <c r="C107" s="407" t="s">
        <v>226</v>
      </c>
      <c r="D107" s="407" t="s">
        <v>529</v>
      </c>
      <c r="E107" s="150" t="s">
        <v>704</v>
      </c>
      <c r="F107" s="405" t="s">
        <v>437</v>
      </c>
      <c r="G107" s="405">
        <f t="shared" si="12"/>
        <v>353047</v>
      </c>
      <c r="H107" s="405">
        <f>'d3'!E114</f>
        <v>353047</v>
      </c>
      <c r="I107" s="405">
        <f>'d3'!J114</f>
        <v>0</v>
      </c>
      <c r="J107" s="405">
        <f>'d3'!K114</f>
        <v>0</v>
      </c>
    </row>
    <row r="108" spans="1:10" ht="276" thickTop="1" thickBot="1" x14ac:dyDescent="0.25">
      <c r="A108" s="303" t="s">
        <v>288</v>
      </c>
      <c r="B108" s="303" t="s">
        <v>286</v>
      </c>
      <c r="C108" s="303" t="s">
        <v>221</v>
      </c>
      <c r="D108" s="303" t="s">
        <v>17</v>
      </c>
      <c r="E108" s="150" t="s">
        <v>704</v>
      </c>
      <c r="F108" s="302" t="s">
        <v>437</v>
      </c>
      <c r="G108" s="302">
        <f t="shared" si="12"/>
        <v>28747120</v>
      </c>
      <c r="H108" s="302">
        <f>'d3'!E116</f>
        <v>28469120</v>
      </c>
      <c r="I108" s="302">
        <f>'d3'!J116</f>
        <v>278000</v>
      </c>
      <c r="J108" s="302">
        <f>'d3'!K116</f>
        <v>128000</v>
      </c>
    </row>
    <row r="109" spans="1:10" ht="230.25" thickTop="1" thickBot="1" x14ac:dyDescent="0.25">
      <c r="A109" s="303" t="s">
        <v>289</v>
      </c>
      <c r="B109" s="303" t="s">
        <v>287</v>
      </c>
      <c r="C109" s="303" t="s">
        <v>220</v>
      </c>
      <c r="D109" s="303" t="s">
        <v>493</v>
      </c>
      <c r="E109" s="150" t="s">
        <v>704</v>
      </c>
      <c r="F109" s="302" t="s">
        <v>437</v>
      </c>
      <c r="G109" s="302">
        <f t="shared" si="12"/>
        <v>7604605</v>
      </c>
      <c r="H109" s="302">
        <f>'d3'!E117</f>
        <v>7561165</v>
      </c>
      <c r="I109" s="305">
        <f>'d3'!J117</f>
        <v>43440</v>
      </c>
      <c r="J109" s="305">
        <f>'d3'!K117</f>
        <v>43440</v>
      </c>
    </row>
    <row r="110" spans="1:10" s="675" customFormat="1" ht="276" thickTop="1" thickBot="1" x14ac:dyDescent="0.25">
      <c r="A110" s="685" t="s">
        <v>1362</v>
      </c>
      <c r="B110" s="685" t="s">
        <v>1363</v>
      </c>
      <c r="C110" s="685" t="s">
        <v>206</v>
      </c>
      <c r="D110" s="685" t="s">
        <v>1364</v>
      </c>
      <c r="E110" s="150" t="s">
        <v>704</v>
      </c>
      <c r="F110" s="682" t="s">
        <v>437</v>
      </c>
      <c r="G110" s="682">
        <f t="shared" si="12"/>
        <v>2571595</v>
      </c>
      <c r="H110" s="682">
        <f>'d3'!E119</f>
        <v>267380</v>
      </c>
      <c r="I110" s="682">
        <f>'d3'!J119</f>
        <v>2304215</v>
      </c>
      <c r="J110" s="682">
        <f>'d3'!K119</f>
        <v>2304215</v>
      </c>
    </row>
    <row r="111" spans="1:10" ht="409.6" thickTop="1" thickBot="1" x14ac:dyDescent="0.25">
      <c r="A111" s="303" t="s">
        <v>284</v>
      </c>
      <c r="B111" s="303" t="s">
        <v>285</v>
      </c>
      <c r="C111" s="303" t="s">
        <v>220</v>
      </c>
      <c r="D111" s="303" t="s">
        <v>491</v>
      </c>
      <c r="E111" s="150" t="s">
        <v>704</v>
      </c>
      <c r="F111" s="302" t="s">
        <v>437</v>
      </c>
      <c r="G111" s="302">
        <f t="shared" si="12"/>
        <v>2246695</v>
      </c>
      <c r="H111" s="302">
        <f>'d3'!E120</f>
        <v>2246695</v>
      </c>
      <c r="I111" s="302">
        <f>'d3'!J120</f>
        <v>0</v>
      </c>
      <c r="J111" s="302">
        <f>'d3'!K120</f>
        <v>0</v>
      </c>
    </row>
    <row r="112" spans="1:10" ht="276" thickTop="1" thickBot="1" x14ac:dyDescent="0.25">
      <c r="A112" s="303" t="s">
        <v>530</v>
      </c>
      <c r="B112" s="303" t="s">
        <v>531</v>
      </c>
      <c r="C112" s="303" t="s">
        <v>220</v>
      </c>
      <c r="D112" s="303" t="s">
        <v>532</v>
      </c>
      <c r="E112" s="150" t="s">
        <v>704</v>
      </c>
      <c r="F112" s="405" t="s">
        <v>437</v>
      </c>
      <c r="G112" s="302">
        <f t="shared" si="12"/>
        <v>147491</v>
      </c>
      <c r="H112" s="302">
        <f>'d3'!E122</f>
        <v>147491</v>
      </c>
      <c r="I112" s="302">
        <f>'d3'!J122</f>
        <v>0</v>
      </c>
      <c r="J112" s="405">
        <f>'d3'!K122</f>
        <v>0</v>
      </c>
    </row>
    <row r="113" spans="1:10" ht="367.5" thickTop="1" thickBot="1" x14ac:dyDescent="0.25">
      <c r="A113" s="303" t="s">
        <v>376</v>
      </c>
      <c r="B113" s="303" t="s">
        <v>375</v>
      </c>
      <c r="C113" s="303" t="s">
        <v>52</v>
      </c>
      <c r="D113" s="303" t="s">
        <v>492</v>
      </c>
      <c r="E113" s="150" t="s">
        <v>704</v>
      </c>
      <c r="F113" s="302" t="s">
        <v>437</v>
      </c>
      <c r="G113" s="302">
        <f t="shared" si="12"/>
        <v>1046775</v>
      </c>
      <c r="H113" s="302">
        <f>'d3'!E123-H114</f>
        <v>1046775</v>
      </c>
      <c r="I113" s="302">
        <f>'d3'!J123-I114</f>
        <v>0</v>
      </c>
      <c r="J113" s="302">
        <f>'d3'!K123-J114</f>
        <v>0</v>
      </c>
    </row>
    <row r="114" spans="1:10" ht="367.5" thickTop="1" thickBot="1" x14ac:dyDescent="0.25">
      <c r="A114" s="303" t="s">
        <v>376</v>
      </c>
      <c r="B114" s="303" t="s">
        <v>375</v>
      </c>
      <c r="C114" s="303" t="s">
        <v>52</v>
      </c>
      <c r="D114" s="303" t="s">
        <v>492</v>
      </c>
      <c r="E114" s="255" t="s">
        <v>1044</v>
      </c>
      <c r="F114" s="388" t="s">
        <v>1045</v>
      </c>
      <c r="G114" s="302">
        <f t="shared" si="12"/>
        <v>1578650</v>
      </c>
      <c r="H114" s="302">
        <f>(1284230+294420)</f>
        <v>1578650</v>
      </c>
      <c r="I114" s="302">
        <v>0</v>
      </c>
      <c r="J114" s="302">
        <v>0</v>
      </c>
    </row>
    <row r="115" spans="1:10" ht="230.25" thickTop="1" thickBot="1" x14ac:dyDescent="0.25">
      <c r="A115" s="303" t="s">
        <v>352</v>
      </c>
      <c r="B115" s="303" t="s">
        <v>353</v>
      </c>
      <c r="C115" s="303" t="s">
        <v>226</v>
      </c>
      <c r="D115" s="303" t="s">
        <v>794</v>
      </c>
      <c r="E115" s="150" t="s">
        <v>704</v>
      </c>
      <c r="F115" s="302" t="s">
        <v>437</v>
      </c>
      <c r="G115" s="302">
        <f t="shared" si="12"/>
        <v>500000</v>
      </c>
      <c r="H115" s="302">
        <f>'d3'!E125</f>
        <v>500000</v>
      </c>
      <c r="I115" s="302">
        <f>'d3'!J125</f>
        <v>0</v>
      </c>
      <c r="J115" s="302">
        <f>'d3'!K125</f>
        <v>0</v>
      </c>
    </row>
    <row r="116" spans="1:10" ht="184.5" thickTop="1" thickBot="1" x14ac:dyDescent="0.25">
      <c r="A116" s="303" t="s">
        <v>458</v>
      </c>
      <c r="B116" s="303" t="s">
        <v>400</v>
      </c>
      <c r="C116" s="303" t="s">
        <v>401</v>
      </c>
      <c r="D116" s="303" t="s">
        <v>399</v>
      </c>
      <c r="E116" s="255" t="s">
        <v>1239</v>
      </c>
      <c r="F116" s="534" t="s">
        <v>1240</v>
      </c>
      <c r="G116" s="302">
        <f t="shared" si="12"/>
        <v>100040</v>
      </c>
      <c r="H116" s="302">
        <f>'d3'!E127</f>
        <v>100040</v>
      </c>
      <c r="I116" s="302">
        <f>'d3'!J127</f>
        <v>0</v>
      </c>
      <c r="J116" s="302">
        <f>'d3'!K127</f>
        <v>0</v>
      </c>
    </row>
    <row r="117" spans="1:10" ht="230.25" thickTop="1" thickBot="1" x14ac:dyDescent="0.25">
      <c r="A117" s="303" t="s">
        <v>354</v>
      </c>
      <c r="B117" s="303" t="s">
        <v>356</v>
      </c>
      <c r="C117" s="303" t="s">
        <v>212</v>
      </c>
      <c r="D117" s="259" t="s">
        <v>358</v>
      </c>
      <c r="E117" s="150" t="s">
        <v>704</v>
      </c>
      <c r="F117" s="302" t="s">
        <v>437</v>
      </c>
      <c r="G117" s="302">
        <f t="shared" si="12"/>
        <v>8035669</v>
      </c>
      <c r="H117" s="234">
        <f>'d3'!E129-H118</f>
        <v>7792669</v>
      </c>
      <c r="I117" s="302">
        <f>'d3'!J129-I118</f>
        <v>243000</v>
      </c>
      <c r="J117" s="302">
        <f>'d3'!K129-J118</f>
        <v>98000</v>
      </c>
    </row>
    <row r="118" spans="1:10" ht="230.25" thickTop="1" thickBot="1" x14ac:dyDescent="0.25">
      <c r="A118" s="303" t="s">
        <v>354</v>
      </c>
      <c r="B118" s="303" t="s">
        <v>356</v>
      </c>
      <c r="C118" s="303" t="s">
        <v>212</v>
      </c>
      <c r="D118" s="259" t="s">
        <v>358</v>
      </c>
      <c r="E118" s="150" t="s">
        <v>487</v>
      </c>
      <c r="F118" s="201" t="s">
        <v>488</v>
      </c>
      <c r="G118" s="302">
        <f>H118+I118</f>
        <v>463983</v>
      </c>
      <c r="H118" s="234">
        <f>(34018+31058+10567)</f>
        <v>75643</v>
      </c>
      <c r="I118" s="302">
        <f>(136399+40788+138259+72894)</f>
        <v>388340</v>
      </c>
      <c r="J118" s="302">
        <f>(136399+40788+138259+72894)</f>
        <v>388340</v>
      </c>
    </row>
    <row r="119" spans="1:10" ht="230.25" thickTop="1" thickBot="1" x14ac:dyDescent="0.25">
      <c r="A119" s="303" t="s">
        <v>355</v>
      </c>
      <c r="B119" s="303" t="s">
        <v>357</v>
      </c>
      <c r="C119" s="303" t="s">
        <v>212</v>
      </c>
      <c r="D119" s="259" t="s">
        <v>359</v>
      </c>
      <c r="E119" s="150" t="s">
        <v>704</v>
      </c>
      <c r="F119" s="302" t="s">
        <v>437</v>
      </c>
      <c r="G119" s="302">
        <f t="shared" si="12"/>
        <v>25744633</v>
      </c>
      <c r="H119" s="302">
        <f>'d3'!E130-H120-H121</f>
        <v>25594633</v>
      </c>
      <c r="I119" s="302">
        <f>'d3'!J130-I120-I121</f>
        <v>150000</v>
      </c>
      <c r="J119" s="302">
        <f>'d3'!K130-J120-J121</f>
        <v>150000</v>
      </c>
    </row>
    <row r="120" spans="1:10" ht="138.75" thickTop="1" thickBot="1" x14ac:dyDescent="0.25">
      <c r="A120" s="303" t="s">
        <v>355</v>
      </c>
      <c r="B120" s="303" t="s">
        <v>357</v>
      </c>
      <c r="C120" s="303" t="s">
        <v>212</v>
      </c>
      <c r="D120" s="259" t="s">
        <v>359</v>
      </c>
      <c r="E120" s="302" t="s">
        <v>1042</v>
      </c>
      <c r="F120" s="302" t="s">
        <v>1043</v>
      </c>
      <c r="G120" s="302">
        <f t="shared" si="12"/>
        <v>700000</v>
      </c>
      <c r="H120" s="302">
        <f>200000+500000</f>
        <v>700000</v>
      </c>
      <c r="I120" s="302">
        <v>0</v>
      </c>
      <c r="J120" s="302">
        <v>0</v>
      </c>
    </row>
    <row r="121" spans="1:10" ht="184.5" thickTop="1" thickBot="1" x14ac:dyDescent="0.25">
      <c r="A121" s="303" t="s">
        <v>355</v>
      </c>
      <c r="B121" s="303" t="s">
        <v>357</v>
      </c>
      <c r="C121" s="303" t="s">
        <v>212</v>
      </c>
      <c r="D121" s="259" t="s">
        <v>359</v>
      </c>
      <c r="E121" s="255" t="s">
        <v>1044</v>
      </c>
      <c r="F121" s="388" t="s">
        <v>1045</v>
      </c>
      <c r="G121" s="302">
        <f t="shared" si="12"/>
        <v>3936490</v>
      </c>
      <c r="H121" s="302">
        <f>3000000+476490+400000+60000</f>
        <v>3936490</v>
      </c>
      <c r="I121" s="302">
        <v>0</v>
      </c>
      <c r="J121" s="302">
        <v>0</v>
      </c>
    </row>
    <row r="122" spans="1:10" ht="184.5" thickTop="1" thickBot="1" x14ac:dyDescent="0.25">
      <c r="A122" s="303" t="s">
        <v>395</v>
      </c>
      <c r="B122" s="303" t="s">
        <v>393</v>
      </c>
      <c r="C122" s="303" t="s">
        <v>367</v>
      </c>
      <c r="D122" s="259" t="s">
        <v>394</v>
      </c>
      <c r="E122" s="255" t="s">
        <v>1044</v>
      </c>
      <c r="F122" s="388" t="s">
        <v>1045</v>
      </c>
      <c r="G122" s="302">
        <f t="shared" si="12"/>
        <v>4000000</v>
      </c>
      <c r="H122" s="302">
        <f>'d3'!E133</f>
        <v>0</v>
      </c>
      <c r="I122" s="302">
        <f>'d3'!J133</f>
        <v>4000000</v>
      </c>
      <c r="J122" s="302">
        <f>'d3'!K133</f>
        <v>4000000</v>
      </c>
    </row>
    <row r="123" spans="1:10" s="485" customFormat="1" ht="230.25" thickTop="1" thickBot="1" x14ac:dyDescent="0.25">
      <c r="A123" s="491" t="s">
        <v>1146</v>
      </c>
      <c r="B123" s="491" t="s">
        <v>1147</v>
      </c>
      <c r="C123" s="491" t="s">
        <v>326</v>
      </c>
      <c r="D123" s="491" t="s">
        <v>1148</v>
      </c>
      <c r="E123" s="150" t="s">
        <v>704</v>
      </c>
      <c r="F123" s="486" t="s">
        <v>437</v>
      </c>
      <c r="G123" s="486">
        <f t="shared" si="12"/>
        <v>220000</v>
      </c>
      <c r="H123" s="496">
        <f>'d3'!E137</f>
        <v>0</v>
      </c>
      <c r="I123" s="496">
        <f>'d3'!J137</f>
        <v>220000</v>
      </c>
      <c r="J123" s="496">
        <f>'d3'!K137</f>
        <v>220000</v>
      </c>
    </row>
    <row r="124" spans="1:10" ht="409.6" thickTop="1" thickBot="1" x14ac:dyDescent="0.7">
      <c r="A124" s="783" t="s">
        <v>453</v>
      </c>
      <c r="B124" s="783" t="s">
        <v>365</v>
      </c>
      <c r="C124" s="783" t="s">
        <v>187</v>
      </c>
      <c r="D124" s="246" t="s">
        <v>475</v>
      </c>
      <c r="E124" s="783" t="s">
        <v>1034</v>
      </c>
      <c r="F124" s="783" t="s">
        <v>1035</v>
      </c>
      <c r="G124" s="850">
        <f>H124+I124</f>
        <v>322000</v>
      </c>
      <c r="H124" s="850">
        <f>'d3'!E140</f>
        <v>0</v>
      </c>
      <c r="I124" s="850">
        <f>'d3'!J140</f>
        <v>322000</v>
      </c>
      <c r="J124" s="850">
        <f>'d3'!K140</f>
        <v>0</v>
      </c>
    </row>
    <row r="125" spans="1:10" ht="184.5" thickTop="1" thickBot="1" x14ac:dyDescent="0.25">
      <c r="A125" s="785"/>
      <c r="B125" s="785"/>
      <c r="C125" s="785"/>
      <c r="D125" s="250" t="s">
        <v>476</v>
      </c>
      <c r="E125" s="785"/>
      <c r="F125" s="785"/>
      <c r="G125" s="852"/>
      <c r="H125" s="852"/>
      <c r="I125" s="853"/>
      <c r="J125" s="853"/>
    </row>
    <row r="126" spans="1:10" ht="181.5" thickTop="1" thickBot="1" x14ac:dyDescent="0.25">
      <c r="A126" s="691">
        <v>1000000</v>
      </c>
      <c r="B126" s="691"/>
      <c r="C126" s="691"/>
      <c r="D126" s="692" t="s">
        <v>24</v>
      </c>
      <c r="E126" s="693"/>
      <c r="F126" s="694"/>
      <c r="G126" s="694">
        <f>G127</f>
        <v>143151053</v>
      </c>
      <c r="H126" s="694">
        <f t="shared" ref="H126:J126" si="14">H127</f>
        <v>125674028</v>
      </c>
      <c r="I126" s="693">
        <f t="shared" si="14"/>
        <v>17477025</v>
      </c>
      <c r="J126" s="693">
        <f t="shared" si="14"/>
        <v>7646625</v>
      </c>
    </row>
    <row r="127" spans="1:10" ht="181.5" thickTop="1" thickBot="1" x14ac:dyDescent="0.25">
      <c r="A127" s="695">
        <v>1010000</v>
      </c>
      <c r="B127" s="695"/>
      <c r="C127" s="695"/>
      <c r="D127" s="696" t="s">
        <v>41</v>
      </c>
      <c r="E127" s="697"/>
      <c r="F127" s="697"/>
      <c r="G127" s="697">
        <f>SUM(G128:G142)</f>
        <v>143151053</v>
      </c>
      <c r="H127" s="697">
        <f>SUM(H128:H142)</f>
        <v>125674028</v>
      </c>
      <c r="I127" s="697">
        <f>SUM(I128:I142)</f>
        <v>17477025</v>
      </c>
      <c r="J127" s="697">
        <f>SUM(J128:J142)</f>
        <v>7646625</v>
      </c>
    </row>
    <row r="128" spans="1:10" ht="184.5" thickTop="1" thickBot="1" x14ac:dyDescent="0.25">
      <c r="A128" s="303" t="s">
        <v>795</v>
      </c>
      <c r="B128" s="303" t="s">
        <v>796</v>
      </c>
      <c r="C128" s="303" t="s">
        <v>202</v>
      </c>
      <c r="D128" s="303" t="s">
        <v>548</v>
      </c>
      <c r="E128" s="302" t="s">
        <v>1040</v>
      </c>
      <c r="F128" s="388" t="s">
        <v>1041</v>
      </c>
      <c r="G128" s="302">
        <f>H128+I128</f>
        <v>79479456</v>
      </c>
      <c r="H128" s="302">
        <f>'d3'!E145</f>
        <v>69368356</v>
      </c>
      <c r="I128" s="302">
        <f>'d3'!J145</f>
        <v>10111100</v>
      </c>
      <c r="J128" s="302">
        <f>'d3'!K145</f>
        <v>1049000</v>
      </c>
    </row>
    <row r="129" spans="1:10" ht="243" customHeight="1" thickTop="1" thickBot="1" x14ac:dyDescent="0.25">
      <c r="A129" s="303" t="s">
        <v>188</v>
      </c>
      <c r="B129" s="303" t="s">
        <v>189</v>
      </c>
      <c r="C129" s="303" t="s">
        <v>191</v>
      </c>
      <c r="D129" s="303" t="s">
        <v>192</v>
      </c>
      <c r="E129" s="388" t="s">
        <v>1040</v>
      </c>
      <c r="F129" s="388" t="s">
        <v>1041</v>
      </c>
      <c r="G129" s="302">
        <f t="shared" ref="G129:G142" si="15">H129+I129</f>
        <v>1030790</v>
      </c>
      <c r="H129" s="302">
        <f>'d3'!E147</f>
        <v>1030790</v>
      </c>
      <c r="I129" s="302">
        <f>'d3'!J147</f>
        <v>0</v>
      </c>
      <c r="J129" s="302">
        <f>'d3'!K147</f>
        <v>0</v>
      </c>
    </row>
    <row r="130" spans="1:10" ht="184.5" thickTop="1" thickBot="1" x14ac:dyDescent="0.25">
      <c r="A130" s="303" t="s">
        <v>193</v>
      </c>
      <c r="B130" s="303" t="s">
        <v>194</v>
      </c>
      <c r="C130" s="303" t="s">
        <v>195</v>
      </c>
      <c r="D130" s="303" t="s">
        <v>196</v>
      </c>
      <c r="E130" s="388" t="s">
        <v>1040</v>
      </c>
      <c r="F130" s="388" t="s">
        <v>1041</v>
      </c>
      <c r="G130" s="302">
        <f t="shared" si="15"/>
        <v>13789895</v>
      </c>
      <c r="H130" s="302">
        <f>'d3'!E148-H131-H132</f>
        <v>13694895</v>
      </c>
      <c r="I130" s="302">
        <f>'d3'!J148-I131-I132</f>
        <v>95000</v>
      </c>
      <c r="J130" s="302">
        <f>'d3'!K148-J131-J132</f>
        <v>0</v>
      </c>
    </row>
    <row r="131" spans="1:10" ht="230.25" thickTop="1" thickBot="1" x14ac:dyDescent="0.25">
      <c r="A131" s="303" t="s">
        <v>193</v>
      </c>
      <c r="B131" s="303" t="s">
        <v>194</v>
      </c>
      <c r="C131" s="303" t="s">
        <v>195</v>
      </c>
      <c r="D131" s="303" t="s">
        <v>196</v>
      </c>
      <c r="E131" s="150" t="s">
        <v>487</v>
      </c>
      <c r="F131" s="201" t="s">
        <v>488</v>
      </c>
      <c r="G131" s="302">
        <f>H131+I131</f>
        <v>300000</v>
      </c>
      <c r="H131" s="234">
        <f>(56000+55000)</f>
        <v>111000</v>
      </c>
      <c r="I131" s="302">
        <f>(10000+84000+28000+67000)</f>
        <v>189000</v>
      </c>
      <c r="J131" s="302">
        <f>(10000+84000+28000+67000)</f>
        <v>189000</v>
      </c>
    </row>
    <row r="132" spans="1:10" s="449" customFormat="1" ht="276" thickTop="1" thickBot="1" x14ac:dyDescent="0.25">
      <c r="A132" s="455" t="s">
        <v>193</v>
      </c>
      <c r="B132" s="455" t="s">
        <v>194</v>
      </c>
      <c r="C132" s="455" t="s">
        <v>195</v>
      </c>
      <c r="D132" s="455" t="s">
        <v>196</v>
      </c>
      <c r="E132" s="451" t="s">
        <v>1038</v>
      </c>
      <c r="F132" s="454" t="s">
        <v>1039</v>
      </c>
      <c r="G132" s="454">
        <f>H132+I132</f>
        <v>766000</v>
      </c>
      <c r="H132" s="456">
        <v>0</v>
      </c>
      <c r="I132" s="454">
        <v>766000</v>
      </c>
      <c r="J132" s="454">
        <v>766000</v>
      </c>
    </row>
    <row r="133" spans="1:10" ht="184.5" thickTop="1" thickBot="1" x14ac:dyDescent="0.25">
      <c r="A133" s="303" t="s">
        <v>197</v>
      </c>
      <c r="B133" s="303" t="s">
        <v>198</v>
      </c>
      <c r="C133" s="303" t="s">
        <v>195</v>
      </c>
      <c r="D133" s="303" t="s">
        <v>502</v>
      </c>
      <c r="E133" s="388" t="s">
        <v>1040</v>
      </c>
      <c r="F133" s="388" t="s">
        <v>1041</v>
      </c>
      <c r="G133" s="302">
        <f t="shared" si="15"/>
        <v>7102055</v>
      </c>
      <c r="H133" s="302">
        <f>'d3'!E149</f>
        <v>1856955</v>
      </c>
      <c r="I133" s="302">
        <f>'d3'!J149</f>
        <v>5245100</v>
      </c>
      <c r="J133" s="302">
        <f>'d3'!K149</f>
        <v>5164900</v>
      </c>
    </row>
    <row r="134" spans="1:10" ht="184.5" thickTop="1" thickBot="1" x14ac:dyDescent="0.25">
      <c r="A134" s="303" t="s">
        <v>199</v>
      </c>
      <c r="B134" s="303" t="s">
        <v>190</v>
      </c>
      <c r="C134" s="303" t="s">
        <v>200</v>
      </c>
      <c r="D134" s="303" t="s">
        <v>201</v>
      </c>
      <c r="E134" s="388" t="s">
        <v>1040</v>
      </c>
      <c r="F134" s="388" t="s">
        <v>1041</v>
      </c>
      <c r="G134" s="302">
        <f t="shared" si="15"/>
        <v>14008365</v>
      </c>
      <c r="H134" s="302">
        <f>'d3'!E150-H135</f>
        <v>13530665</v>
      </c>
      <c r="I134" s="302">
        <f>'d3'!J150-I135</f>
        <v>477700</v>
      </c>
      <c r="J134" s="302">
        <f>'d3'!K150-J135</f>
        <v>21600</v>
      </c>
    </row>
    <row r="135" spans="1:10" ht="230.25" thickTop="1" thickBot="1" x14ac:dyDescent="0.25">
      <c r="A135" s="303" t="s">
        <v>199</v>
      </c>
      <c r="B135" s="303" t="s">
        <v>190</v>
      </c>
      <c r="C135" s="303" t="s">
        <v>200</v>
      </c>
      <c r="D135" s="303" t="s">
        <v>201</v>
      </c>
      <c r="E135" s="150" t="s">
        <v>487</v>
      </c>
      <c r="F135" s="201" t="s">
        <v>488</v>
      </c>
      <c r="G135" s="302">
        <f>H135+I135</f>
        <v>149300</v>
      </c>
      <c r="H135" s="234">
        <v>24800</v>
      </c>
      <c r="I135" s="302">
        <v>124500</v>
      </c>
      <c r="J135" s="302">
        <v>124500</v>
      </c>
    </row>
    <row r="136" spans="1:10" ht="184.5" thickTop="1" thickBot="1" x14ac:dyDescent="0.25">
      <c r="A136" s="303" t="s">
        <v>360</v>
      </c>
      <c r="B136" s="303" t="s">
        <v>361</v>
      </c>
      <c r="C136" s="303" t="s">
        <v>203</v>
      </c>
      <c r="D136" s="303" t="s">
        <v>503</v>
      </c>
      <c r="E136" s="388" t="s">
        <v>1040</v>
      </c>
      <c r="F136" s="388" t="s">
        <v>1041</v>
      </c>
      <c r="G136" s="302">
        <f t="shared" si="15"/>
        <v>18546895</v>
      </c>
      <c r="H136" s="302">
        <f>'d3'!E152-H137</f>
        <v>18378270</v>
      </c>
      <c r="I136" s="302">
        <f>'d3'!J152-I137</f>
        <v>168625</v>
      </c>
      <c r="J136" s="302">
        <f>'d3'!K152-J137</f>
        <v>31625</v>
      </c>
    </row>
    <row r="137" spans="1:10" ht="199.5" customHeight="1" thickTop="1" thickBot="1" x14ac:dyDescent="0.25">
      <c r="A137" s="303" t="s">
        <v>360</v>
      </c>
      <c r="B137" s="303" t="s">
        <v>361</v>
      </c>
      <c r="C137" s="303" t="s">
        <v>203</v>
      </c>
      <c r="D137" s="303" t="s">
        <v>503</v>
      </c>
      <c r="E137" s="302" t="s">
        <v>715</v>
      </c>
      <c r="F137" s="302" t="s">
        <v>436</v>
      </c>
      <c r="G137" s="302">
        <f t="shared" si="15"/>
        <v>804000</v>
      </c>
      <c r="H137" s="302">
        <v>804000</v>
      </c>
      <c r="I137" s="302">
        <v>0</v>
      </c>
      <c r="J137" s="302">
        <v>0</v>
      </c>
    </row>
    <row r="138" spans="1:10" ht="246" customHeight="1" thickTop="1" thickBot="1" x14ac:dyDescent="0.25">
      <c r="A138" s="303" t="s">
        <v>362</v>
      </c>
      <c r="B138" s="303" t="s">
        <v>363</v>
      </c>
      <c r="C138" s="303" t="s">
        <v>203</v>
      </c>
      <c r="D138" s="303" t="s">
        <v>504</v>
      </c>
      <c r="E138" s="388" t="s">
        <v>1040</v>
      </c>
      <c r="F138" s="388" t="s">
        <v>1041</v>
      </c>
      <c r="G138" s="302">
        <f t="shared" si="15"/>
        <v>5837160</v>
      </c>
      <c r="H138" s="302">
        <f>'d3'!E153-H139-H140</f>
        <v>5837160</v>
      </c>
      <c r="I138" s="302">
        <f>'d3'!J153-I139-I140</f>
        <v>0</v>
      </c>
      <c r="J138" s="302">
        <f>'d3'!K153-J139-J140</f>
        <v>0</v>
      </c>
    </row>
    <row r="139" spans="1:10" ht="178.5" customHeight="1" thickTop="1" thickBot="1" x14ac:dyDescent="0.25">
      <c r="A139" s="303" t="s">
        <v>362</v>
      </c>
      <c r="B139" s="303" t="s">
        <v>363</v>
      </c>
      <c r="C139" s="303" t="s">
        <v>203</v>
      </c>
      <c r="D139" s="303" t="s">
        <v>504</v>
      </c>
      <c r="E139" s="302" t="s">
        <v>715</v>
      </c>
      <c r="F139" s="302" t="s">
        <v>436</v>
      </c>
      <c r="G139" s="302">
        <f t="shared" si="15"/>
        <v>315000</v>
      </c>
      <c r="H139" s="302">
        <v>315000</v>
      </c>
      <c r="I139" s="302">
        <v>0</v>
      </c>
      <c r="J139" s="302">
        <v>0</v>
      </c>
    </row>
    <row r="140" spans="1:10" ht="310.7" customHeight="1" thickTop="1" thickBot="1" x14ac:dyDescent="0.25">
      <c r="A140" s="303" t="s">
        <v>362</v>
      </c>
      <c r="B140" s="303" t="s">
        <v>363</v>
      </c>
      <c r="C140" s="303" t="s">
        <v>203</v>
      </c>
      <c r="D140" s="303" t="s">
        <v>504</v>
      </c>
      <c r="E140" s="389" t="s">
        <v>1038</v>
      </c>
      <c r="F140" s="388" t="s">
        <v>1039</v>
      </c>
      <c r="G140" s="302">
        <f t="shared" si="15"/>
        <v>164000</v>
      </c>
      <c r="H140" s="302">
        <v>164000</v>
      </c>
      <c r="I140" s="302">
        <v>0</v>
      </c>
      <c r="J140" s="302">
        <v>0</v>
      </c>
    </row>
    <row r="141" spans="1:10" s="449" customFormat="1" ht="310.7" customHeight="1" thickTop="1" thickBot="1" x14ac:dyDescent="0.25">
      <c r="A141" s="453" t="s">
        <v>1129</v>
      </c>
      <c r="B141" s="453" t="s">
        <v>218</v>
      </c>
      <c r="C141" s="453" t="s">
        <v>187</v>
      </c>
      <c r="D141" s="453" t="s">
        <v>36</v>
      </c>
      <c r="E141" s="222" t="s">
        <v>1034</v>
      </c>
      <c r="F141" s="454" t="s">
        <v>1035</v>
      </c>
      <c r="G141" s="454">
        <f t="shared" si="15"/>
        <v>300000</v>
      </c>
      <c r="H141" s="454">
        <f>'d3'!E156</f>
        <v>0</v>
      </c>
      <c r="I141" s="454">
        <f>'d3'!J156</f>
        <v>300000</v>
      </c>
      <c r="J141" s="458">
        <f>'d3'!K156</f>
        <v>300000</v>
      </c>
    </row>
    <row r="142" spans="1:10" s="172" customFormat="1" ht="230.25" thickTop="1" thickBot="1" x14ac:dyDescent="0.25">
      <c r="A142" s="304" t="s">
        <v>714</v>
      </c>
      <c r="B142" s="304" t="s">
        <v>391</v>
      </c>
      <c r="C142" s="304" t="s">
        <v>45</v>
      </c>
      <c r="D142" s="304" t="s">
        <v>392</v>
      </c>
      <c r="E142" s="222" t="s">
        <v>1034</v>
      </c>
      <c r="F142" s="385" t="s">
        <v>1035</v>
      </c>
      <c r="G142" s="302">
        <f t="shared" si="15"/>
        <v>558137</v>
      </c>
      <c r="H142" s="302">
        <f>'d3'!E159</f>
        <v>558137</v>
      </c>
      <c r="I142" s="302">
        <f>'d3'!J159</f>
        <v>0</v>
      </c>
      <c r="J142" s="302">
        <f>'d3'!K159</f>
        <v>0</v>
      </c>
    </row>
    <row r="143" spans="1:10" ht="163.5" customHeight="1" thickTop="1" thickBot="1" x14ac:dyDescent="0.25">
      <c r="A143" s="691" t="s">
        <v>22</v>
      </c>
      <c r="B143" s="691"/>
      <c r="C143" s="691"/>
      <c r="D143" s="692" t="s">
        <v>23</v>
      </c>
      <c r="E143" s="693"/>
      <c r="F143" s="694"/>
      <c r="G143" s="694">
        <f>G144</f>
        <v>102289221.73</v>
      </c>
      <c r="H143" s="694">
        <f t="shared" ref="H143:J143" si="16">H144</f>
        <v>94691048.530000001</v>
      </c>
      <c r="I143" s="693">
        <f t="shared" si="16"/>
        <v>7598173.2000000002</v>
      </c>
      <c r="J143" s="693">
        <f t="shared" si="16"/>
        <v>5470186</v>
      </c>
    </row>
    <row r="144" spans="1:10" ht="175.7" customHeight="1" thickTop="1" thickBot="1" x14ac:dyDescent="0.25">
      <c r="A144" s="695" t="s">
        <v>21</v>
      </c>
      <c r="B144" s="695"/>
      <c r="C144" s="695"/>
      <c r="D144" s="696" t="s">
        <v>37</v>
      </c>
      <c r="E144" s="697"/>
      <c r="F144" s="697"/>
      <c r="G144" s="697">
        <f>SUM(G145:G159)</f>
        <v>102289221.73</v>
      </c>
      <c r="H144" s="697">
        <f>SUM(H145:H159)</f>
        <v>94691048.530000001</v>
      </c>
      <c r="I144" s="697">
        <f>SUM(I145:I159)</f>
        <v>7598173.2000000002</v>
      </c>
      <c r="J144" s="697">
        <f>SUM(J145:J159)</f>
        <v>5470186</v>
      </c>
    </row>
    <row r="145" spans="1:10" ht="321.75" thickTop="1" thickBot="1" x14ac:dyDescent="0.25">
      <c r="A145" s="303" t="s">
        <v>204</v>
      </c>
      <c r="B145" s="303" t="s">
        <v>205</v>
      </c>
      <c r="C145" s="303" t="s">
        <v>206</v>
      </c>
      <c r="D145" s="304" t="s">
        <v>797</v>
      </c>
      <c r="E145" s="150" t="s">
        <v>717</v>
      </c>
      <c r="F145" s="302" t="s">
        <v>438</v>
      </c>
      <c r="G145" s="302">
        <f t="shared" ref="G145:G146" si="17">H145+I145</f>
        <v>5308676</v>
      </c>
      <c r="H145" s="234">
        <f>'d3'!E164</f>
        <v>5308676</v>
      </c>
      <c r="I145" s="251">
        <f>'d3'!J164</f>
        <v>0</v>
      </c>
      <c r="J145" s="302">
        <f>'d3'!K164</f>
        <v>0</v>
      </c>
    </row>
    <row r="146" spans="1:10" ht="321.75" thickTop="1" thickBot="1" x14ac:dyDescent="0.25">
      <c r="A146" s="303" t="s">
        <v>210</v>
      </c>
      <c r="B146" s="303" t="s">
        <v>211</v>
      </c>
      <c r="C146" s="303" t="s">
        <v>206</v>
      </c>
      <c r="D146" s="303" t="s">
        <v>10</v>
      </c>
      <c r="E146" s="150" t="s">
        <v>717</v>
      </c>
      <c r="F146" s="302" t="s">
        <v>438</v>
      </c>
      <c r="G146" s="302">
        <f t="shared" si="17"/>
        <v>5494267</v>
      </c>
      <c r="H146" s="234">
        <f>'d3'!E166</f>
        <v>4435310</v>
      </c>
      <c r="I146" s="251">
        <f>'d3'!J166</f>
        <v>1058957</v>
      </c>
      <c r="J146" s="302">
        <f>'d3'!K166</f>
        <v>733957</v>
      </c>
    </row>
    <row r="147" spans="1:10" ht="321.75" thickTop="1" thickBot="1" x14ac:dyDescent="0.25">
      <c r="A147" s="303" t="s">
        <v>379</v>
      </c>
      <c r="B147" s="303" t="s">
        <v>380</v>
      </c>
      <c r="C147" s="303" t="s">
        <v>206</v>
      </c>
      <c r="D147" s="303" t="s">
        <v>381</v>
      </c>
      <c r="E147" s="150" t="s">
        <v>717</v>
      </c>
      <c r="F147" s="302" t="s">
        <v>438</v>
      </c>
      <c r="G147" s="302">
        <f t="shared" ref="G147:G151" si="18">H147+I147</f>
        <v>7042786</v>
      </c>
      <c r="H147" s="234">
        <f>'d3'!E167</f>
        <v>7039786</v>
      </c>
      <c r="I147" s="251">
        <f>'d3'!J167</f>
        <v>3000</v>
      </c>
      <c r="J147" s="302">
        <f>'d3'!K167</f>
        <v>0</v>
      </c>
    </row>
    <row r="148" spans="1:10" ht="321.75" thickTop="1" thickBot="1" x14ac:dyDescent="0.25">
      <c r="A148" s="303" t="s">
        <v>46</v>
      </c>
      <c r="B148" s="303" t="s">
        <v>207</v>
      </c>
      <c r="C148" s="303" t="s">
        <v>216</v>
      </c>
      <c r="D148" s="303" t="s">
        <v>47</v>
      </c>
      <c r="E148" s="150" t="s">
        <v>717</v>
      </c>
      <c r="F148" s="302" t="s">
        <v>438</v>
      </c>
      <c r="G148" s="302">
        <f t="shared" si="18"/>
        <v>15164902</v>
      </c>
      <c r="H148" s="302">
        <f>'d3'!E170</f>
        <v>15164902</v>
      </c>
      <c r="I148" s="251">
        <f>'d3'!J170</f>
        <v>0</v>
      </c>
      <c r="J148" s="302">
        <f>'d3'!K170</f>
        <v>0</v>
      </c>
    </row>
    <row r="149" spans="1:10" ht="321.75" thickTop="1" thickBot="1" x14ac:dyDescent="0.25">
      <c r="A149" s="303" t="s">
        <v>48</v>
      </c>
      <c r="B149" s="303" t="s">
        <v>208</v>
      </c>
      <c r="C149" s="303" t="s">
        <v>216</v>
      </c>
      <c r="D149" s="303" t="s">
        <v>4</v>
      </c>
      <c r="E149" s="150" t="s">
        <v>717</v>
      </c>
      <c r="F149" s="302" t="s">
        <v>438</v>
      </c>
      <c r="G149" s="302">
        <f t="shared" si="18"/>
        <v>1909585</v>
      </c>
      <c r="H149" s="302">
        <f>'d3'!E171</f>
        <v>1909585</v>
      </c>
      <c r="I149" s="251">
        <f>'d3'!J171</f>
        <v>0</v>
      </c>
      <c r="J149" s="302">
        <f>'d3'!K171</f>
        <v>0</v>
      </c>
    </row>
    <row r="150" spans="1:10" ht="321.75" thickTop="1" thickBot="1" x14ac:dyDescent="0.25">
      <c r="A150" s="303" t="s">
        <v>49</v>
      </c>
      <c r="B150" s="303" t="s">
        <v>209</v>
      </c>
      <c r="C150" s="303" t="s">
        <v>216</v>
      </c>
      <c r="D150" s="303" t="s">
        <v>377</v>
      </c>
      <c r="E150" s="150" t="s">
        <v>717</v>
      </c>
      <c r="F150" s="302" t="s">
        <v>438</v>
      </c>
      <c r="G150" s="302">
        <f t="shared" si="18"/>
        <v>60300</v>
      </c>
      <c r="H150" s="302">
        <f>'d3'!E173</f>
        <v>60300</v>
      </c>
      <c r="I150" s="251">
        <f>'d3'!J173</f>
        <v>0</v>
      </c>
      <c r="J150" s="302">
        <f>'d3'!K173</f>
        <v>0</v>
      </c>
    </row>
    <row r="151" spans="1:10" ht="321.75" thickTop="1" thickBot="1" x14ac:dyDescent="0.25">
      <c r="A151" s="303" t="s">
        <v>28</v>
      </c>
      <c r="B151" s="303" t="s">
        <v>213</v>
      </c>
      <c r="C151" s="303" t="s">
        <v>216</v>
      </c>
      <c r="D151" s="303" t="s">
        <v>50</v>
      </c>
      <c r="E151" s="150" t="s">
        <v>717</v>
      </c>
      <c r="F151" s="302" t="s">
        <v>438</v>
      </c>
      <c r="G151" s="302">
        <f t="shared" si="18"/>
        <v>51786479</v>
      </c>
      <c r="H151" s="302">
        <f>'d3'!E175-H152</f>
        <v>46742659</v>
      </c>
      <c r="I151" s="251">
        <f>'d3'!J175-I152</f>
        <v>5043820</v>
      </c>
      <c r="J151" s="302">
        <f>'d3'!K175-J152</f>
        <v>3467575</v>
      </c>
    </row>
    <row r="152" spans="1:10" ht="230.25" thickTop="1" thickBot="1" x14ac:dyDescent="0.25">
      <c r="A152" s="303" t="s">
        <v>28</v>
      </c>
      <c r="B152" s="303" t="s">
        <v>213</v>
      </c>
      <c r="C152" s="303" t="s">
        <v>216</v>
      </c>
      <c r="D152" s="303" t="s">
        <v>50</v>
      </c>
      <c r="E152" s="150" t="s">
        <v>487</v>
      </c>
      <c r="F152" s="201" t="s">
        <v>488</v>
      </c>
      <c r="G152" s="302">
        <f>H152+I152</f>
        <v>414145</v>
      </c>
      <c r="H152" s="234">
        <f>(27100+117565+67500)</f>
        <v>212165</v>
      </c>
      <c r="I152" s="302">
        <f>(91670+32400+77910)</f>
        <v>201980</v>
      </c>
      <c r="J152" s="302">
        <f>(91670+32400+77910)</f>
        <v>201980</v>
      </c>
    </row>
    <row r="153" spans="1:10" ht="321.75" thickTop="1" thickBot="1" x14ac:dyDescent="0.25">
      <c r="A153" s="303" t="s">
        <v>29</v>
      </c>
      <c r="B153" s="303" t="s">
        <v>214</v>
      </c>
      <c r="C153" s="303" t="s">
        <v>216</v>
      </c>
      <c r="D153" s="303" t="s">
        <v>51</v>
      </c>
      <c r="E153" s="150" t="s">
        <v>717</v>
      </c>
      <c r="F153" s="302" t="s">
        <v>438</v>
      </c>
      <c r="G153" s="302">
        <f t="shared" ref="G153:G159" si="19">H153+I153</f>
        <v>9092770</v>
      </c>
      <c r="H153" s="302">
        <f>'d3'!E176</f>
        <v>9077570</v>
      </c>
      <c r="I153" s="251">
        <f>'d3'!J176</f>
        <v>15200</v>
      </c>
      <c r="J153" s="302">
        <f>'d3'!K176</f>
        <v>15200</v>
      </c>
    </row>
    <row r="154" spans="1:10" ht="321.75" thickTop="1" thickBot="1" x14ac:dyDescent="0.25">
      <c r="A154" s="311" t="s">
        <v>30</v>
      </c>
      <c r="B154" s="311" t="s">
        <v>215</v>
      </c>
      <c r="C154" s="311" t="s">
        <v>216</v>
      </c>
      <c r="D154" s="303" t="s">
        <v>31</v>
      </c>
      <c r="E154" s="150" t="s">
        <v>717</v>
      </c>
      <c r="F154" s="302" t="s">
        <v>438</v>
      </c>
      <c r="G154" s="302">
        <f t="shared" si="19"/>
        <v>768820</v>
      </c>
      <c r="H154" s="302">
        <f>'d3'!E178</f>
        <v>768820</v>
      </c>
      <c r="I154" s="251">
        <f>'d3'!J178</f>
        <v>0</v>
      </c>
      <c r="J154" s="302">
        <f>'d3'!K178</f>
        <v>0</v>
      </c>
    </row>
    <row r="155" spans="1:10" ht="321.75" thickTop="1" thickBot="1" x14ac:dyDescent="0.25">
      <c r="A155" s="311" t="s">
        <v>561</v>
      </c>
      <c r="B155" s="311" t="s">
        <v>559</v>
      </c>
      <c r="C155" s="311" t="s">
        <v>216</v>
      </c>
      <c r="D155" s="303" t="s">
        <v>560</v>
      </c>
      <c r="E155" s="150" t="s">
        <v>717</v>
      </c>
      <c r="F155" s="302" t="s">
        <v>438</v>
      </c>
      <c r="G155" s="302">
        <f t="shared" si="19"/>
        <v>1969086</v>
      </c>
      <c r="H155" s="302">
        <f>'d3'!E179</f>
        <v>1969086</v>
      </c>
      <c r="I155" s="251">
        <f>'d3'!J179</f>
        <v>0</v>
      </c>
      <c r="J155" s="251">
        <f>'d3'!K179</f>
        <v>0</v>
      </c>
    </row>
    <row r="156" spans="1:10" ht="321.75" thickTop="1" thickBot="1" x14ac:dyDescent="0.25">
      <c r="A156" s="311" t="s">
        <v>32</v>
      </c>
      <c r="B156" s="311" t="s">
        <v>217</v>
      </c>
      <c r="C156" s="311" t="s">
        <v>216</v>
      </c>
      <c r="D156" s="303" t="s">
        <v>33</v>
      </c>
      <c r="E156" s="150" t="s">
        <v>717</v>
      </c>
      <c r="F156" s="302" t="s">
        <v>438</v>
      </c>
      <c r="G156" s="302">
        <f t="shared" si="19"/>
        <v>1806765</v>
      </c>
      <c r="H156" s="302">
        <f>'d3'!E180</f>
        <v>1776765</v>
      </c>
      <c r="I156" s="251">
        <f>'d3'!J180</f>
        <v>30000</v>
      </c>
      <c r="J156" s="302">
        <f>'d3'!K180</f>
        <v>30000</v>
      </c>
    </row>
    <row r="157" spans="1:10" ht="321.75" thickTop="1" thickBot="1" x14ac:dyDescent="0.25">
      <c r="A157" s="311" t="s">
        <v>369</v>
      </c>
      <c r="B157" s="311" t="s">
        <v>368</v>
      </c>
      <c r="C157" s="311" t="s">
        <v>367</v>
      </c>
      <c r="D157" s="303" t="s">
        <v>798</v>
      </c>
      <c r="E157" s="150" t="s">
        <v>717</v>
      </c>
      <c r="F157" s="302" t="s">
        <v>438</v>
      </c>
      <c r="G157" s="302">
        <f t="shared" si="19"/>
        <v>25424.53</v>
      </c>
      <c r="H157" s="302">
        <f>'d3'!E183</f>
        <v>25424.53</v>
      </c>
      <c r="I157" s="251">
        <f>'d3'!J183</f>
        <v>0</v>
      </c>
      <c r="J157" s="251">
        <f>'d3'!K183</f>
        <v>0</v>
      </c>
    </row>
    <row r="158" spans="1:10" s="210" customFormat="1" ht="321.75" thickTop="1" thickBot="1" x14ac:dyDescent="0.25">
      <c r="A158" s="304" t="s">
        <v>743</v>
      </c>
      <c r="B158" s="304" t="s">
        <v>218</v>
      </c>
      <c r="C158" s="304" t="s">
        <v>187</v>
      </c>
      <c r="D158" s="304" t="s">
        <v>36</v>
      </c>
      <c r="E158" s="150" t="s">
        <v>717</v>
      </c>
      <c r="F158" s="302" t="s">
        <v>438</v>
      </c>
      <c r="G158" s="302">
        <f t="shared" ref="G158" si="20">H158+I158</f>
        <v>1021474</v>
      </c>
      <c r="H158" s="302">
        <f>'d3'!E186</f>
        <v>0</v>
      </c>
      <c r="I158" s="251">
        <f>'d3'!J186</f>
        <v>1021474</v>
      </c>
      <c r="J158" s="251">
        <f>'d3'!K186</f>
        <v>1021474</v>
      </c>
    </row>
    <row r="159" spans="1:10" ht="321.75" thickTop="1" thickBot="1" x14ac:dyDescent="0.25">
      <c r="A159" s="311" t="s">
        <v>495</v>
      </c>
      <c r="B159" s="311" t="s">
        <v>497</v>
      </c>
      <c r="C159" s="311" t="s">
        <v>52</v>
      </c>
      <c r="D159" s="303" t="s">
        <v>494</v>
      </c>
      <c r="E159" s="150" t="s">
        <v>717</v>
      </c>
      <c r="F159" s="302" t="s">
        <v>438</v>
      </c>
      <c r="G159" s="302">
        <f t="shared" si="19"/>
        <v>423742.2</v>
      </c>
      <c r="H159" s="302">
        <f>'d4'!F17</f>
        <v>200000</v>
      </c>
      <c r="I159" s="251">
        <f>'d4'!G17</f>
        <v>223742.2</v>
      </c>
      <c r="J159" s="251">
        <f>'d4'!H17</f>
        <v>0</v>
      </c>
    </row>
    <row r="160" spans="1:10" s="138" customFormat="1" ht="181.5" thickTop="1" thickBot="1" x14ac:dyDescent="0.25">
      <c r="A160" s="691" t="s">
        <v>175</v>
      </c>
      <c r="B160" s="691"/>
      <c r="C160" s="691"/>
      <c r="D160" s="692" t="s">
        <v>675</v>
      </c>
      <c r="E160" s="693"/>
      <c r="F160" s="694"/>
      <c r="G160" s="694">
        <f>G161</f>
        <v>49082449</v>
      </c>
      <c r="H160" s="694">
        <f t="shared" ref="H160:J160" si="21">H161</f>
        <v>17517300</v>
      </c>
      <c r="I160" s="693">
        <f t="shared" si="21"/>
        <v>31565149</v>
      </c>
      <c r="J160" s="693">
        <f t="shared" si="21"/>
        <v>30575149</v>
      </c>
    </row>
    <row r="161" spans="1:10" s="138" customFormat="1" ht="181.5" thickTop="1" thickBot="1" x14ac:dyDescent="0.25">
      <c r="A161" s="695" t="s">
        <v>176</v>
      </c>
      <c r="B161" s="695"/>
      <c r="C161" s="695"/>
      <c r="D161" s="696" t="s">
        <v>676</v>
      </c>
      <c r="E161" s="697"/>
      <c r="F161" s="697"/>
      <c r="G161" s="697">
        <f>SUM(G162:G175)</f>
        <v>49082449</v>
      </c>
      <c r="H161" s="697">
        <f>SUM(H162:H175)</f>
        <v>17517300</v>
      </c>
      <c r="I161" s="697">
        <f>SUM(I162:I175)</f>
        <v>31565149</v>
      </c>
      <c r="J161" s="697">
        <f>SUM(J162:J175)</f>
        <v>30575149</v>
      </c>
    </row>
    <row r="162" spans="1:10" s="138" customFormat="1" ht="230.25" thickTop="1" thickBot="1" x14ac:dyDescent="0.25">
      <c r="A162" s="200" t="s">
        <v>451</v>
      </c>
      <c r="B162" s="200" t="s">
        <v>257</v>
      </c>
      <c r="C162" s="200" t="s">
        <v>255</v>
      </c>
      <c r="D162" s="200" t="s">
        <v>256</v>
      </c>
      <c r="E162" s="222" t="s">
        <v>1028</v>
      </c>
      <c r="F162" s="385" t="s">
        <v>1029</v>
      </c>
      <c r="G162" s="209">
        <f t="shared" ref="G162:G199" si="22">H162+I162</f>
        <v>163248</v>
      </c>
      <c r="H162" s="234"/>
      <c r="I162" s="251">
        <f>(36000)+31812+95436</f>
        <v>163248</v>
      </c>
      <c r="J162" s="457">
        <f>(36000)+31812+95436</f>
        <v>163248</v>
      </c>
    </row>
    <row r="163" spans="1:10" s="235" customFormat="1" ht="409.6" thickTop="1" thickBot="1" x14ac:dyDescent="0.25">
      <c r="A163" s="237" t="s">
        <v>786</v>
      </c>
      <c r="B163" s="237" t="s">
        <v>390</v>
      </c>
      <c r="C163" s="237" t="s">
        <v>779</v>
      </c>
      <c r="D163" s="237" t="s">
        <v>780</v>
      </c>
      <c r="E163" s="222" t="s">
        <v>1063</v>
      </c>
      <c r="F163" s="405" t="s">
        <v>1064</v>
      </c>
      <c r="G163" s="209">
        <f t="shared" si="22"/>
        <v>12000</v>
      </c>
      <c r="H163" s="234">
        <f>'d3'!E191</f>
        <v>12000</v>
      </c>
      <c r="I163" s="251"/>
      <c r="J163" s="251"/>
    </row>
    <row r="164" spans="1:10" s="138" customFormat="1" ht="276" thickTop="1" thickBot="1" x14ac:dyDescent="0.25">
      <c r="A164" s="854" t="s">
        <v>301</v>
      </c>
      <c r="B164" s="854" t="s">
        <v>302</v>
      </c>
      <c r="C164" s="854" t="s">
        <v>367</v>
      </c>
      <c r="D164" s="854" t="s">
        <v>303</v>
      </c>
      <c r="E164" s="234" t="s">
        <v>708</v>
      </c>
      <c r="F164" s="234" t="s">
        <v>709</v>
      </c>
      <c r="G164" s="302">
        <f t="shared" si="22"/>
        <v>7328440</v>
      </c>
      <c r="H164" s="234">
        <v>350000</v>
      </c>
      <c r="I164" s="251">
        <v>6978440</v>
      </c>
      <c r="J164" s="251">
        <v>6978440</v>
      </c>
    </row>
    <row r="165" spans="1:10" s="138" customFormat="1" ht="230.25" thickTop="1" thickBot="1" x14ac:dyDescent="0.25">
      <c r="A165" s="856"/>
      <c r="B165" s="856"/>
      <c r="C165" s="856"/>
      <c r="D165" s="856"/>
      <c r="E165" s="201" t="s">
        <v>1252</v>
      </c>
      <c r="F165" s="201" t="s">
        <v>710</v>
      </c>
      <c r="G165" s="302">
        <f t="shared" si="22"/>
        <v>3140300</v>
      </c>
      <c r="H165" s="234">
        <f>'d3'!E194-'d7'!H164</f>
        <v>1125300</v>
      </c>
      <c r="I165" s="251">
        <f>'d3'!J194-'d7'!I164</f>
        <v>2015000</v>
      </c>
      <c r="J165" s="251">
        <f>'d3'!K194-'d7'!J164</f>
        <v>2015000</v>
      </c>
    </row>
    <row r="166" spans="1:10" s="138" customFormat="1" ht="276" thickTop="1" thickBot="1" x14ac:dyDescent="0.25">
      <c r="A166" s="303" t="s">
        <v>323</v>
      </c>
      <c r="B166" s="303" t="s">
        <v>324</v>
      </c>
      <c r="C166" s="303" t="s">
        <v>304</v>
      </c>
      <c r="D166" s="303" t="s">
        <v>325</v>
      </c>
      <c r="E166" s="234" t="s">
        <v>708</v>
      </c>
      <c r="F166" s="234" t="s">
        <v>709</v>
      </c>
      <c r="G166" s="302">
        <f t="shared" si="22"/>
        <v>8000000</v>
      </c>
      <c r="H166" s="234">
        <f>'d3'!E195</f>
        <v>0</v>
      </c>
      <c r="I166" s="251">
        <f>'d3'!J195</f>
        <v>8000000</v>
      </c>
      <c r="J166" s="251">
        <f>'d3'!K195</f>
        <v>8000000</v>
      </c>
    </row>
    <row r="167" spans="1:10" s="138" customFormat="1" ht="276" thickTop="1" thickBot="1" x14ac:dyDescent="0.25">
      <c r="A167" s="854" t="s">
        <v>305</v>
      </c>
      <c r="B167" s="854" t="s">
        <v>306</v>
      </c>
      <c r="C167" s="854" t="s">
        <v>304</v>
      </c>
      <c r="D167" s="854" t="s">
        <v>505</v>
      </c>
      <c r="E167" s="234" t="s">
        <v>708</v>
      </c>
      <c r="F167" s="312" t="s">
        <v>709</v>
      </c>
      <c r="G167" s="302">
        <f t="shared" si="22"/>
        <v>13156900</v>
      </c>
      <c r="H167" s="313">
        <f>'d3'!E196-H168</f>
        <v>550000</v>
      </c>
      <c r="I167" s="251">
        <f>'d3'!J196-'d7'!I168</f>
        <v>12606900</v>
      </c>
      <c r="J167" s="251">
        <f>'d3'!K196-'d7'!J168</f>
        <v>12606900</v>
      </c>
    </row>
    <row r="168" spans="1:10" s="138" customFormat="1" ht="230.25" thickTop="1" thickBot="1" x14ac:dyDescent="0.25">
      <c r="A168" s="855"/>
      <c r="B168" s="855"/>
      <c r="C168" s="855"/>
      <c r="D168" s="855"/>
      <c r="E168" s="255" t="s">
        <v>487</v>
      </c>
      <c r="F168" s="314" t="s">
        <v>488</v>
      </c>
      <c r="G168" s="302">
        <f t="shared" si="22"/>
        <v>461561</v>
      </c>
      <c r="H168" s="313">
        <v>0</v>
      </c>
      <c r="I168" s="251">
        <v>461561</v>
      </c>
      <c r="J168" s="251">
        <v>461561</v>
      </c>
    </row>
    <row r="169" spans="1:10" s="485" customFormat="1" ht="267" thickTop="1" thickBot="1" x14ac:dyDescent="0.25">
      <c r="A169" s="487" t="s">
        <v>1160</v>
      </c>
      <c r="B169" s="487" t="s">
        <v>319</v>
      </c>
      <c r="C169" s="487" t="s">
        <v>304</v>
      </c>
      <c r="D169" s="487" t="s">
        <v>320</v>
      </c>
      <c r="E169" s="459" t="s">
        <v>708</v>
      </c>
      <c r="F169" s="494" t="s">
        <v>709</v>
      </c>
      <c r="G169" s="486">
        <f t="shared" ref="G169" si="23">H169+I169</f>
        <v>230000</v>
      </c>
      <c r="H169" s="494">
        <f>'d3'!E197</f>
        <v>230000</v>
      </c>
      <c r="I169" s="495">
        <f>'d3'!J197</f>
        <v>0</v>
      </c>
      <c r="J169" s="495">
        <f>'d3'!K197</f>
        <v>0</v>
      </c>
    </row>
    <row r="170" spans="1:10" s="138" customFormat="1" ht="267" thickTop="1" thickBot="1" x14ac:dyDescent="0.25">
      <c r="A170" s="303" t="s">
        <v>309</v>
      </c>
      <c r="B170" s="303" t="s">
        <v>310</v>
      </c>
      <c r="C170" s="303" t="s">
        <v>304</v>
      </c>
      <c r="D170" s="303" t="s">
        <v>311</v>
      </c>
      <c r="E170" s="459" t="s">
        <v>708</v>
      </c>
      <c r="F170" s="234" t="s">
        <v>709</v>
      </c>
      <c r="G170" s="302">
        <f t="shared" si="22"/>
        <v>14100000</v>
      </c>
      <c r="H170" s="234">
        <f>'d3'!E198</f>
        <v>14100000</v>
      </c>
      <c r="I170" s="251">
        <f>'d3'!J198</f>
        <v>0</v>
      </c>
      <c r="J170" s="251">
        <f>'d3'!K198</f>
        <v>0</v>
      </c>
    </row>
    <row r="171" spans="1:10" s="138" customFormat="1" ht="409.6" customHeight="1" thickTop="1" thickBot="1" x14ac:dyDescent="0.25">
      <c r="A171" s="854" t="s">
        <v>318</v>
      </c>
      <c r="B171" s="854" t="s">
        <v>233</v>
      </c>
      <c r="C171" s="854" t="s">
        <v>234</v>
      </c>
      <c r="D171" s="854" t="s">
        <v>43</v>
      </c>
      <c r="E171" s="727" t="s">
        <v>1372</v>
      </c>
      <c r="F171" s="302" t="s">
        <v>718</v>
      </c>
      <c r="G171" s="850">
        <f>H171+I171</f>
        <v>1200000</v>
      </c>
      <c r="H171" s="850">
        <f>'d3'!E201</f>
        <v>1150000</v>
      </c>
      <c r="I171" s="850">
        <f>'d3'!J201</f>
        <v>50000</v>
      </c>
      <c r="J171" s="850">
        <f>'d3'!K201</f>
        <v>50000</v>
      </c>
    </row>
    <row r="172" spans="1:10" s="138" customFormat="1" ht="184.5" thickTop="1" thickBot="1" x14ac:dyDescent="0.25">
      <c r="A172" s="855"/>
      <c r="B172" s="855"/>
      <c r="C172" s="855"/>
      <c r="D172" s="855"/>
      <c r="E172" s="150" t="s">
        <v>1371</v>
      </c>
      <c r="F172" s="302" t="s">
        <v>719</v>
      </c>
      <c r="G172" s="851"/>
      <c r="H172" s="851"/>
      <c r="I172" s="851"/>
      <c r="J172" s="851"/>
    </row>
    <row r="173" spans="1:10" s="461" customFormat="1" ht="267" thickTop="1" thickBot="1" x14ac:dyDescent="0.25">
      <c r="A173" s="468" t="s">
        <v>1132</v>
      </c>
      <c r="B173" s="468" t="s">
        <v>218</v>
      </c>
      <c r="C173" s="468" t="s">
        <v>187</v>
      </c>
      <c r="D173" s="468" t="s">
        <v>36</v>
      </c>
      <c r="E173" s="459" t="s">
        <v>708</v>
      </c>
      <c r="F173" s="469" t="s">
        <v>709</v>
      </c>
      <c r="G173" s="466">
        <f t="shared" si="22"/>
        <v>300000</v>
      </c>
      <c r="H173" s="469">
        <f>'d3'!E202</f>
        <v>0</v>
      </c>
      <c r="I173" s="470">
        <f>'d3'!J202</f>
        <v>300000</v>
      </c>
      <c r="J173" s="470">
        <f>'d3'!K202</f>
        <v>300000</v>
      </c>
    </row>
    <row r="174" spans="1:10" s="173" customFormat="1" ht="409.6" customHeight="1" thickTop="1" thickBot="1" x14ac:dyDescent="0.7">
      <c r="A174" s="783" t="s">
        <v>454</v>
      </c>
      <c r="B174" s="783" t="s">
        <v>365</v>
      </c>
      <c r="C174" s="783" t="s">
        <v>187</v>
      </c>
      <c r="D174" s="315" t="s">
        <v>475</v>
      </c>
      <c r="E174" s="783" t="s">
        <v>1034</v>
      </c>
      <c r="F174" s="783" t="s">
        <v>1035</v>
      </c>
      <c r="G174" s="850">
        <f t="shared" si="22"/>
        <v>990000</v>
      </c>
      <c r="H174" s="850">
        <f>'d3'!E204</f>
        <v>0</v>
      </c>
      <c r="I174" s="850">
        <f>'d3'!J204</f>
        <v>990000</v>
      </c>
      <c r="J174" s="850">
        <f>'d3'!K204</f>
        <v>0</v>
      </c>
    </row>
    <row r="175" spans="1:10" s="173" customFormat="1" ht="184.5" thickTop="1" thickBot="1" x14ac:dyDescent="0.25">
      <c r="A175" s="785"/>
      <c r="B175" s="785"/>
      <c r="C175" s="785"/>
      <c r="D175" s="316" t="s">
        <v>476</v>
      </c>
      <c r="E175" s="785"/>
      <c r="F175" s="785"/>
      <c r="G175" s="852"/>
      <c r="H175" s="852"/>
      <c r="I175" s="852"/>
      <c r="J175" s="852"/>
    </row>
    <row r="176" spans="1:10" s="138" customFormat="1" ht="181.5" thickTop="1" thickBot="1" x14ac:dyDescent="0.25">
      <c r="A176" s="691" t="s">
        <v>643</v>
      </c>
      <c r="B176" s="691"/>
      <c r="C176" s="691"/>
      <c r="D176" s="692" t="s">
        <v>673</v>
      </c>
      <c r="E176" s="693"/>
      <c r="F176" s="694"/>
      <c r="G176" s="694">
        <f>H176+I176</f>
        <v>410083442.61000001</v>
      </c>
      <c r="H176" s="694">
        <f>H177</f>
        <v>258163892</v>
      </c>
      <c r="I176" s="693">
        <f>I177</f>
        <v>151919550.61000001</v>
      </c>
      <c r="J176" s="693">
        <f>J177</f>
        <v>150622013.57999998</v>
      </c>
    </row>
    <row r="177" spans="1:10" s="138" customFormat="1" ht="207.75" customHeight="1" thickTop="1" thickBot="1" x14ac:dyDescent="0.25">
      <c r="A177" s="695" t="s">
        <v>644</v>
      </c>
      <c r="B177" s="695"/>
      <c r="C177" s="695"/>
      <c r="D177" s="696" t="s">
        <v>674</v>
      </c>
      <c r="E177" s="697"/>
      <c r="F177" s="697"/>
      <c r="G177" s="697">
        <f>SUM(G178:G199)</f>
        <v>410083442.60999995</v>
      </c>
      <c r="H177" s="697">
        <f>SUM(H178:H199)</f>
        <v>258163892</v>
      </c>
      <c r="I177" s="697">
        <f>SUM(I178:I199)</f>
        <v>151919550.61000001</v>
      </c>
      <c r="J177" s="697">
        <f>SUM(J178:J199)</f>
        <v>150622013.57999998</v>
      </c>
    </row>
    <row r="178" spans="1:10" s="138" customFormat="1" ht="340.5" customHeight="1" thickTop="1" thickBot="1" x14ac:dyDescent="0.25">
      <c r="A178" s="245" t="s">
        <v>645</v>
      </c>
      <c r="B178" s="245" t="s">
        <v>257</v>
      </c>
      <c r="C178" s="245" t="s">
        <v>255</v>
      </c>
      <c r="D178" s="245" t="s">
        <v>252</v>
      </c>
      <c r="E178" s="222" t="s">
        <v>1028</v>
      </c>
      <c r="F178" s="385" t="s">
        <v>1029</v>
      </c>
      <c r="G178" s="248">
        <f t="shared" si="22"/>
        <v>144000</v>
      </c>
      <c r="H178" s="248">
        <v>0</v>
      </c>
      <c r="I178" s="248">
        <v>144000</v>
      </c>
      <c r="J178" s="248">
        <v>144000</v>
      </c>
    </row>
    <row r="179" spans="1:10" s="239" customFormat="1" ht="409.5" customHeight="1" thickTop="1" thickBot="1" x14ac:dyDescent="0.25">
      <c r="A179" s="240" t="s">
        <v>788</v>
      </c>
      <c r="B179" s="240" t="s">
        <v>390</v>
      </c>
      <c r="C179" s="240" t="s">
        <v>779</v>
      </c>
      <c r="D179" s="240" t="s">
        <v>780</v>
      </c>
      <c r="E179" s="222" t="s">
        <v>1063</v>
      </c>
      <c r="F179" s="405" t="s">
        <v>1064</v>
      </c>
      <c r="G179" s="209">
        <f t="shared" ref="G179" si="24">H179+I179</f>
        <v>8000</v>
      </c>
      <c r="H179" s="234">
        <f>'d3'!E210</f>
        <v>8000</v>
      </c>
      <c r="I179" s="251"/>
      <c r="J179" s="251"/>
    </row>
    <row r="180" spans="1:10" s="138" customFormat="1" ht="276" thickTop="1" thickBot="1" x14ac:dyDescent="0.25">
      <c r="A180" s="303" t="s">
        <v>646</v>
      </c>
      <c r="B180" s="303" t="s">
        <v>45</v>
      </c>
      <c r="C180" s="303" t="s">
        <v>44</v>
      </c>
      <c r="D180" s="303" t="s">
        <v>269</v>
      </c>
      <c r="E180" s="234" t="s">
        <v>708</v>
      </c>
      <c r="F180" s="234" t="s">
        <v>709</v>
      </c>
      <c r="G180" s="302">
        <f t="shared" si="22"/>
        <v>100000</v>
      </c>
      <c r="H180" s="302">
        <f>'d3'!E211</f>
        <v>100000</v>
      </c>
      <c r="I180" s="302">
        <f>'d3'!J211</f>
        <v>0</v>
      </c>
      <c r="J180" s="302">
        <f>'d3'!K211</f>
        <v>0</v>
      </c>
    </row>
    <row r="181" spans="1:10" s="138" customFormat="1" ht="276" thickTop="1" thickBot="1" x14ac:dyDescent="0.25">
      <c r="A181" s="303" t="s">
        <v>647</v>
      </c>
      <c r="B181" s="303" t="s">
        <v>405</v>
      </c>
      <c r="C181" s="303" t="s">
        <v>304</v>
      </c>
      <c r="D181" s="303" t="s">
        <v>406</v>
      </c>
      <c r="E181" s="234" t="s">
        <v>708</v>
      </c>
      <c r="F181" s="234" t="s">
        <v>709</v>
      </c>
      <c r="G181" s="302">
        <f t="shared" si="22"/>
        <v>31000000</v>
      </c>
      <c r="H181" s="234">
        <f>'d3'!E214</f>
        <v>31000000</v>
      </c>
      <c r="I181" s="251">
        <f>'d3'!J214</f>
        <v>0</v>
      </c>
      <c r="J181" s="251">
        <f>'d3'!K214</f>
        <v>0</v>
      </c>
    </row>
    <row r="182" spans="1:10" s="138" customFormat="1" ht="276" thickTop="1" thickBot="1" x14ac:dyDescent="0.25">
      <c r="A182" s="303" t="s">
        <v>648</v>
      </c>
      <c r="B182" s="303" t="s">
        <v>307</v>
      </c>
      <c r="C182" s="303" t="s">
        <v>304</v>
      </c>
      <c r="D182" s="303" t="s">
        <v>308</v>
      </c>
      <c r="E182" s="234" t="s">
        <v>708</v>
      </c>
      <c r="F182" s="234" t="s">
        <v>709</v>
      </c>
      <c r="G182" s="302">
        <f t="shared" si="22"/>
        <v>3561000</v>
      </c>
      <c r="H182" s="234">
        <f>'d3'!E215</f>
        <v>3561000</v>
      </c>
      <c r="I182" s="251">
        <f>'d3'!J215</f>
        <v>0</v>
      </c>
      <c r="J182" s="251">
        <f>'d3'!K215</f>
        <v>0</v>
      </c>
    </row>
    <row r="183" spans="1:10" s="138" customFormat="1" ht="276" customHeight="1" thickTop="1" thickBot="1" x14ac:dyDescent="0.25">
      <c r="A183" s="783" t="s">
        <v>649</v>
      </c>
      <c r="B183" s="783" t="s">
        <v>319</v>
      </c>
      <c r="C183" s="783" t="s">
        <v>304</v>
      </c>
      <c r="D183" s="783" t="s">
        <v>320</v>
      </c>
      <c r="E183" s="234" t="s">
        <v>708</v>
      </c>
      <c r="F183" s="234" t="s">
        <v>709</v>
      </c>
      <c r="G183" s="781">
        <f t="shared" si="22"/>
        <v>3930000</v>
      </c>
      <c r="H183" s="781">
        <f>'d3'!E216</f>
        <v>3930000</v>
      </c>
      <c r="I183" s="781">
        <f>'d3'!J216</f>
        <v>0</v>
      </c>
      <c r="J183" s="781">
        <f>'d3'!K216</f>
        <v>0</v>
      </c>
    </row>
    <row r="184" spans="1:10" s="138" customFormat="1" ht="184.5" hidden="1" thickTop="1" thickBot="1" x14ac:dyDescent="0.25">
      <c r="A184" s="783"/>
      <c r="B184" s="783"/>
      <c r="C184" s="783"/>
      <c r="D184" s="783"/>
      <c r="E184" s="390" t="s">
        <v>1055</v>
      </c>
      <c r="F184" s="388" t="s">
        <v>1053</v>
      </c>
      <c r="G184" s="861"/>
      <c r="H184" s="861"/>
      <c r="I184" s="861"/>
      <c r="J184" s="861"/>
    </row>
    <row r="185" spans="1:10" s="138" customFormat="1" ht="230.25" thickTop="1" thickBot="1" x14ac:dyDescent="0.25">
      <c r="A185" s="854" t="s">
        <v>650</v>
      </c>
      <c r="B185" s="854">
        <v>6030</v>
      </c>
      <c r="C185" s="854" t="s">
        <v>304</v>
      </c>
      <c r="D185" s="854" t="s">
        <v>311</v>
      </c>
      <c r="E185" s="234" t="s">
        <v>711</v>
      </c>
      <c r="F185" s="201" t="s">
        <v>1052</v>
      </c>
      <c r="G185" s="781">
        <f t="shared" si="22"/>
        <v>177442132</v>
      </c>
      <c r="H185" s="781">
        <f>'d3'!E217-H187</f>
        <v>160951693</v>
      </c>
      <c r="I185" s="781">
        <f>'d3'!J217-I187</f>
        <v>16490439</v>
      </c>
      <c r="J185" s="781">
        <f>'d3'!K217-J187</f>
        <v>16490439</v>
      </c>
    </row>
    <row r="186" spans="1:10" s="138" customFormat="1" ht="276" thickTop="1" thickBot="1" x14ac:dyDescent="0.25">
      <c r="A186" s="856"/>
      <c r="B186" s="856"/>
      <c r="C186" s="856"/>
      <c r="D186" s="856"/>
      <c r="E186" s="234" t="s">
        <v>708</v>
      </c>
      <c r="F186" s="201" t="s">
        <v>709</v>
      </c>
      <c r="G186" s="861">
        <f t="shared" si="22"/>
        <v>0</v>
      </c>
      <c r="H186" s="861"/>
      <c r="I186" s="861"/>
      <c r="J186" s="861"/>
    </row>
    <row r="187" spans="1:10" s="387" customFormat="1" ht="230.25" thickTop="1" thickBot="1" x14ac:dyDescent="0.25">
      <c r="A187" s="788"/>
      <c r="B187" s="788"/>
      <c r="C187" s="788"/>
      <c r="D187" s="788"/>
      <c r="E187" s="390" t="s">
        <v>1047</v>
      </c>
      <c r="F187" s="388" t="s">
        <v>1046</v>
      </c>
      <c r="G187" s="388">
        <f>H187+I187</f>
        <v>5973255</v>
      </c>
      <c r="H187" s="391">
        <v>5973255</v>
      </c>
      <c r="I187" s="391"/>
      <c r="J187" s="391"/>
    </row>
    <row r="188" spans="1:10" s="138" customFormat="1" ht="276" thickTop="1" thickBot="1" x14ac:dyDescent="0.25">
      <c r="A188" s="303" t="s">
        <v>651</v>
      </c>
      <c r="B188" s="303" t="s">
        <v>327</v>
      </c>
      <c r="C188" s="303" t="s">
        <v>326</v>
      </c>
      <c r="D188" s="303" t="s">
        <v>508</v>
      </c>
      <c r="E188" s="234" t="s">
        <v>708</v>
      </c>
      <c r="F188" s="234" t="s">
        <v>709</v>
      </c>
      <c r="G188" s="302">
        <f t="shared" si="22"/>
        <v>5300000</v>
      </c>
      <c r="H188" s="234">
        <f>'d3'!E220</f>
        <v>0</v>
      </c>
      <c r="I188" s="251">
        <f>'d3'!J220</f>
        <v>5300000</v>
      </c>
      <c r="J188" s="251">
        <f>'d3'!K220</f>
        <v>5300000</v>
      </c>
    </row>
    <row r="189" spans="1:10" s="138" customFormat="1" ht="184.5" thickTop="1" thickBot="1" x14ac:dyDescent="0.25">
      <c r="A189" s="783" t="s">
        <v>652</v>
      </c>
      <c r="B189" s="783" t="s">
        <v>315</v>
      </c>
      <c r="C189" s="783" t="s">
        <v>317</v>
      </c>
      <c r="D189" s="783" t="s">
        <v>316</v>
      </c>
      <c r="E189" s="234" t="s">
        <v>1054</v>
      </c>
      <c r="F189" s="234" t="s">
        <v>1071</v>
      </c>
      <c r="G189" s="862">
        <f>H189+I189</f>
        <v>114743594.03</v>
      </c>
      <c r="H189" s="862">
        <f>'d3'!E223</f>
        <v>50079366</v>
      </c>
      <c r="I189" s="863">
        <f>'d3'!J223</f>
        <v>64664228.030000001</v>
      </c>
      <c r="J189" s="863">
        <f>'d3'!K223</f>
        <v>64537213</v>
      </c>
    </row>
    <row r="190" spans="1:10" s="138" customFormat="1" ht="276" thickTop="1" thickBot="1" x14ac:dyDescent="0.25">
      <c r="A190" s="783"/>
      <c r="B190" s="783"/>
      <c r="C190" s="783"/>
      <c r="D190" s="783"/>
      <c r="E190" s="234" t="s">
        <v>708</v>
      </c>
      <c r="F190" s="234" t="s">
        <v>709</v>
      </c>
      <c r="G190" s="862">
        <f t="shared" si="22"/>
        <v>0</v>
      </c>
      <c r="H190" s="862"/>
      <c r="I190" s="863"/>
      <c r="J190" s="863"/>
    </row>
    <row r="191" spans="1:10" s="138" customFormat="1" ht="230.25" thickTop="1" thickBot="1" x14ac:dyDescent="0.25">
      <c r="A191" s="783" t="s">
        <v>653</v>
      </c>
      <c r="B191" s="783" t="s">
        <v>233</v>
      </c>
      <c r="C191" s="783" t="s">
        <v>234</v>
      </c>
      <c r="D191" s="783" t="s">
        <v>43</v>
      </c>
      <c r="E191" s="222" t="s">
        <v>1034</v>
      </c>
      <c r="F191" s="385" t="s">
        <v>1035</v>
      </c>
      <c r="G191" s="862">
        <f t="shared" si="22"/>
        <v>20549522.579999998</v>
      </c>
      <c r="H191" s="862">
        <f>'d3'!E225</f>
        <v>0</v>
      </c>
      <c r="I191" s="862">
        <f>'d3'!J225</f>
        <v>20549522.579999998</v>
      </c>
      <c r="J191" s="862">
        <f>'d3'!K225</f>
        <v>20549522.579999998</v>
      </c>
    </row>
    <row r="192" spans="1:10" s="138" customFormat="1" ht="276" thickTop="1" thickBot="1" x14ac:dyDescent="0.25">
      <c r="A192" s="783"/>
      <c r="B192" s="783"/>
      <c r="C192" s="783"/>
      <c r="D192" s="783"/>
      <c r="E192" s="234" t="s">
        <v>708</v>
      </c>
      <c r="F192" s="234" t="s">
        <v>709</v>
      </c>
      <c r="G192" s="862">
        <f t="shared" si="22"/>
        <v>0</v>
      </c>
      <c r="H192" s="862"/>
      <c r="I192" s="862"/>
      <c r="J192" s="862"/>
    </row>
    <row r="193" spans="1:10" s="138" customFormat="1" ht="276" customHeight="1" thickTop="1" thickBot="1" x14ac:dyDescent="0.25">
      <c r="A193" s="783" t="s">
        <v>654</v>
      </c>
      <c r="B193" s="783" t="s">
        <v>218</v>
      </c>
      <c r="C193" s="783" t="s">
        <v>187</v>
      </c>
      <c r="D193" s="783" t="s">
        <v>36</v>
      </c>
      <c r="E193" s="234" t="s">
        <v>708</v>
      </c>
      <c r="F193" s="234" t="s">
        <v>709</v>
      </c>
      <c r="G193" s="863">
        <f t="shared" si="22"/>
        <v>43568839</v>
      </c>
      <c r="H193" s="862">
        <f>'d3'!E226</f>
        <v>0</v>
      </c>
      <c r="I193" s="863">
        <f>'d3'!J226</f>
        <v>43568839</v>
      </c>
      <c r="J193" s="863">
        <f>'d3'!K226</f>
        <v>43568839</v>
      </c>
    </row>
    <row r="194" spans="1:10" s="138" customFormat="1" ht="184.5" thickTop="1" thickBot="1" x14ac:dyDescent="0.25">
      <c r="A194" s="783"/>
      <c r="B194" s="783"/>
      <c r="C194" s="783"/>
      <c r="D194" s="783"/>
      <c r="E194" s="394" t="s">
        <v>1055</v>
      </c>
      <c r="F194" s="393" t="s">
        <v>1053</v>
      </c>
      <c r="G194" s="863">
        <f t="shared" si="22"/>
        <v>0</v>
      </c>
      <c r="H194" s="862"/>
      <c r="I194" s="863"/>
      <c r="J194" s="863"/>
    </row>
    <row r="195" spans="1:10" s="138" customFormat="1" ht="409.6" customHeight="1" thickTop="1" thickBot="1" x14ac:dyDescent="0.7">
      <c r="A195" s="783" t="s">
        <v>655</v>
      </c>
      <c r="B195" s="783" t="s">
        <v>365</v>
      </c>
      <c r="C195" s="783" t="s">
        <v>187</v>
      </c>
      <c r="D195" s="315" t="s">
        <v>475</v>
      </c>
      <c r="E195" s="783" t="s">
        <v>1034</v>
      </c>
      <c r="F195" s="783" t="s">
        <v>1035</v>
      </c>
      <c r="G195" s="781">
        <f t="shared" si="22"/>
        <v>1170522</v>
      </c>
      <c r="H195" s="781">
        <f>'d3'!E228</f>
        <v>0</v>
      </c>
      <c r="I195" s="781">
        <f>'d3'!J228</f>
        <v>1170522</v>
      </c>
      <c r="J195" s="781">
        <f>'d3'!K228</f>
        <v>0</v>
      </c>
    </row>
    <row r="196" spans="1:10" s="138" customFormat="1" ht="184.5" thickTop="1" thickBot="1" x14ac:dyDescent="0.25">
      <c r="A196" s="785"/>
      <c r="B196" s="785"/>
      <c r="C196" s="785"/>
      <c r="D196" s="316" t="s">
        <v>476</v>
      </c>
      <c r="E196" s="785"/>
      <c r="F196" s="785"/>
      <c r="G196" s="785">
        <f t="shared" si="22"/>
        <v>0</v>
      </c>
      <c r="H196" s="785"/>
      <c r="I196" s="785"/>
      <c r="J196" s="785"/>
    </row>
    <row r="197" spans="1:10" s="138" customFormat="1" ht="409.6" thickTop="1" thickBot="1" x14ac:dyDescent="0.25">
      <c r="A197" s="303" t="s">
        <v>656</v>
      </c>
      <c r="B197" s="303" t="s">
        <v>567</v>
      </c>
      <c r="C197" s="303" t="s">
        <v>272</v>
      </c>
      <c r="D197" s="259" t="s">
        <v>568</v>
      </c>
      <c r="E197" s="386" t="s">
        <v>1032</v>
      </c>
      <c r="F197" s="385" t="s">
        <v>1033</v>
      </c>
      <c r="G197" s="302">
        <f t="shared" si="22"/>
        <v>108400</v>
      </c>
      <c r="H197" s="234">
        <f>'d3'!E232</f>
        <v>108400</v>
      </c>
      <c r="I197" s="251">
        <f>'d3'!J232</f>
        <v>0</v>
      </c>
      <c r="J197" s="251">
        <f>'d3'!K232</f>
        <v>0</v>
      </c>
    </row>
    <row r="198" spans="1:10" s="138" customFormat="1" ht="409.6" thickTop="1" thickBot="1" x14ac:dyDescent="0.25">
      <c r="A198" s="303" t="s">
        <v>657</v>
      </c>
      <c r="B198" s="303" t="s">
        <v>271</v>
      </c>
      <c r="C198" s="303" t="s">
        <v>272</v>
      </c>
      <c r="D198" s="303" t="s">
        <v>270</v>
      </c>
      <c r="E198" s="390" t="s">
        <v>1032</v>
      </c>
      <c r="F198" s="388" t="s">
        <v>1033</v>
      </c>
      <c r="G198" s="302">
        <f t="shared" si="22"/>
        <v>2484178</v>
      </c>
      <c r="H198" s="234">
        <f>'d3'!E233</f>
        <v>2452178</v>
      </c>
      <c r="I198" s="251">
        <f>'d3'!J233</f>
        <v>32000</v>
      </c>
      <c r="J198" s="251">
        <f>'d3'!K233</f>
        <v>32000</v>
      </c>
    </row>
    <row r="199" spans="1:10" s="138" customFormat="1" ht="409.6" hidden="1" thickTop="1" thickBot="1" x14ac:dyDescent="0.25">
      <c r="A199" s="303" t="s">
        <v>658</v>
      </c>
      <c r="B199" s="303" t="s">
        <v>659</v>
      </c>
      <c r="C199" s="303" t="s">
        <v>272</v>
      </c>
      <c r="D199" s="303" t="s">
        <v>660</v>
      </c>
      <c r="E199" s="390" t="s">
        <v>1032</v>
      </c>
      <c r="F199" s="388" t="s">
        <v>1033</v>
      </c>
      <c r="G199" s="302">
        <f t="shared" si="22"/>
        <v>0</v>
      </c>
      <c r="H199" s="234">
        <f>'d3'!E234</f>
        <v>0</v>
      </c>
      <c r="I199" s="251">
        <f>'d3'!J234</f>
        <v>0</v>
      </c>
      <c r="J199" s="251">
        <f>'d3'!K234</f>
        <v>0</v>
      </c>
    </row>
    <row r="200" spans="1:10" ht="181.5" thickTop="1" thickBot="1" x14ac:dyDescent="0.25">
      <c r="A200" s="691" t="s">
        <v>25</v>
      </c>
      <c r="B200" s="691"/>
      <c r="C200" s="691"/>
      <c r="D200" s="692" t="s">
        <v>1072</v>
      </c>
      <c r="E200" s="693"/>
      <c r="F200" s="694"/>
      <c r="G200" s="694">
        <f>G201</f>
        <v>263305566.50999999</v>
      </c>
      <c r="H200" s="694">
        <f>H201</f>
        <v>155000</v>
      </c>
      <c r="I200" s="693">
        <f>I201</f>
        <v>263150566.50999999</v>
      </c>
      <c r="J200" s="693">
        <f>J201</f>
        <v>261650566.50999999</v>
      </c>
    </row>
    <row r="201" spans="1:10" ht="316.5" customHeight="1" thickTop="1" thickBot="1" x14ac:dyDescent="0.25">
      <c r="A201" s="695" t="s">
        <v>26</v>
      </c>
      <c r="B201" s="695"/>
      <c r="C201" s="695"/>
      <c r="D201" s="696" t="s">
        <v>1073</v>
      </c>
      <c r="E201" s="697"/>
      <c r="F201" s="697"/>
      <c r="G201" s="697">
        <f>SUM(G202:G213)</f>
        <v>263305566.50999999</v>
      </c>
      <c r="H201" s="697">
        <f>SUM(H202:H213)</f>
        <v>155000</v>
      </c>
      <c r="I201" s="697">
        <f>SUM(I202:I213)</f>
        <v>263150566.50999999</v>
      </c>
      <c r="J201" s="697">
        <f>SUM(J202:J213)</f>
        <v>261650566.50999999</v>
      </c>
    </row>
    <row r="202" spans="1:10" s="239" customFormat="1" ht="409.5" customHeight="1" thickTop="1" thickBot="1" x14ac:dyDescent="0.25">
      <c r="A202" s="240" t="s">
        <v>789</v>
      </c>
      <c r="B202" s="240" t="s">
        <v>390</v>
      </c>
      <c r="C202" s="240" t="s">
        <v>779</v>
      </c>
      <c r="D202" s="240" t="s">
        <v>780</v>
      </c>
      <c r="E202" s="222" t="s">
        <v>1063</v>
      </c>
      <c r="F202" s="405" t="s">
        <v>1064</v>
      </c>
      <c r="G202" s="209">
        <f t="shared" ref="G202:G203" si="25">H202+I202</f>
        <v>5000</v>
      </c>
      <c r="H202" s="234">
        <f>'d3'!E239</f>
        <v>5000</v>
      </c>
      <c r="I202" s="251"/>
      <c r="J202" s="251"/>
    </row>
    <row r="203" spans="1:10" s="485" customFormat="1" ht="230.25" thickTop="1" thickBot="1" x14ac:dyDescent="0.25">
      <c r="A203" s="493" t="s">
        <v>1157</v>
      </c>
      <c r="B203" s="493" t="s">
        <v>45</v>
      </c>
      <c r="C203" s="493" t="s">
        <v>44</v>
      </c>
      <c r="D203" s="493" t="s">
        <v>269</v>
      </c>
      <c r="E203" s="222" t="s">
        <v>1034</v>
      </c>
      <c r="F203" s="486" t="s">
        <v>1035</v>
      </c>
      <c r="G203" s="486">
        <f t="shared" si="25"/>
        <v>150000</v>
      </c>
      <c r="H203" s="494">
        <f>'d3'!E240</f>
        <v>150000</v>
      </c>
      <c r="I203" s="495">
        <f>'d3'!J240</f>
        <v>0</v>
      </c>
      <c r="J203" s="495">
        <f>'d3'!K240</f>
        <v>0</v>
      </c>
    </row>
    <row r="204" spans="1:10" s="72" customFormat="1" ht="321.75" thickTop="1" thickBot="1" x14ac:dyDescent="0.25">
      <c r="A204" s="303" t="s">
        <v>465</v>
      </c>
      <c r="B204" s="303" t="s">
        <v>467</v>
      </c>
      <c r="C204" s="303" t="s">
        <v>216</v>
      </c>
      <c r="D204" s="303" t="s">
        <v>466</v>
      </c>
      <c r="E204" s="222" t="s">
        <v>1034</v>
      </c>
      <c r="F204" s="385" t="s">
        <v>1035</v>
      </c>
      <c r="G204" s="302">
        <f>H204+I204</f>
        <v>112000000</v>
      </c>
      <c r="H204" s="302">
        <f>'d3'!E243</f>
        <v>0</v>
      </c>
      <c r="I204" s="302">
        <f>'d3'!J243</f>
        <v>112000000</v>
      </c>
      <c r="J204" s="302">
        <f>'d3'!K243</f>
        <v>112000000</v>
      </c>
    </row>
    <row r="205" spans="1:10" s="72" customFormat="1" ht="230.25" thickTop="1" thickBot="1" x14ac:dyDescent="0.25">
      <c r="A205" s="491" t="s">
        <v>1156</v>
      </c>
      <c r="B205" s="491" t="s">
        <v>327</v>
      </c>
      <c r="C205" s="491" t="s">
        <v>326</v>
      </c>
      <c r="D205" s="491" t="s">
        <v>781</v>
      </c>
      <c r="E205" s="392" t="s">
        <v>1034</v>
      </c>
      <c r="F205" s="504" t="s">
        <v>1035</v>
      </c>
      <c r="G205" s="486">
        <f>H205+I205</f>
        <v>36872.51</v>
      </c>
      <c r="H205" s="486">
        <f>'d3'!E246</f>
        <v>0</v>
      </c>
      <c r="I205" s="486">
        <f>'d3'!J246</f>
        <v>36872.51</v>
      </c>
      <c r="J205" s="486">
        <f>'d3'!K246</f>
        <v>36872.51</v>
      </c>
    </row>
    <row r="206" spans="1:10" s="72" customFormat="1" ht="230.25" thickTop="1" thickBot="1" x14ac:dyDescent="0.25">
      <c r="A206" s="303" t="s">
        <v>336</v>
      </c>
      <c r="B206" s="303" t="s">
        <v>337</v>
      </c>
      <c r="C206" s="303" t="s">
        <v>326</v>
      </c>
      <c r="D206" s="303" t="s">
        <v>782</v>
      </c>
      <c r="E206" s="222" t="s">
        <v>1034</v>
      </c>
      <c r="F206" s="385" t="s">
        <v>1035</v>
      </c>
      <c r="G206" s="302">
        <f>I206</f>
        <v>23370957</v>
      </c>
      <c r="H206" s="302">
        <f>'d3'!E248</f>
        <v>0</v>
      </c>
      <c r="I206" s="302">
        <f>'d3'!J248</f>
        <v>23370957</v>
      </c>
      <c r="J206" s="302">
        <f>I206</f>
        <v>23370957</v>
      </c>
    </row>
    <row r="207" spans="1:10" s="72" customFormat="1" ht="230.25" thickTop="1" thickBot="1" x14ac:dyDescent="0.25">
      <c r="A207" s="303" t="s">
        <v>565</v>
      </c>
      <c r="B207" s="303" t="s">
        <v>566</v>
      </c>
      <c r="C207" s="303" t="s">
        <v>326</v>
      </c>
      <c r="D207" s="303" t="s">
        <v>783</v>
      </c>
      <c r="E207" s="222" t="s">
        <v>1034</v>
      </c>
      <c r="F207" s="385" t="s">
        <v>1035</v>
      </c>
      <c r="G207" s="302">
        <f>I207</f>
        <v>200000</v>
      </c>
      <c r="H207" s="302">
        <f>'d3'!E249</f>
        <v>0</v>
      </c>
      <c r="I207" s="302">
        <f>'d3'!J249</f>
        <v>200000</v>
      </c>
      <c r="J207" s="302">
        <f>I207</f>
        <v>200000</v>
      </c>
    </row>
    <row r="208" spans="1:10" s="72" customFormat="1" ht="230.25" thickTop="1" thickBot="1" x14ac:dyDescent="0.25">
      <c r="A208" s="303" t="s">
        <v>338</v>
      </c>
      <c r="B208" s="303" t="s">
        <v>339</v>
      </c>
      <c r="C208" s="303" t="s">
        <v>326</v>
      </c>
      <c r="D208" s="303" t="s">
        <v>784</v>
      </c>
      <c r="E208" s="222" t="s">
        <v>1034</v>
      </c>
      <c r="F208" s="385" t="s">
        <v>1035</v>
      </c>
      <c r="G208" s="302">
        <f t="shared" ref="G208:G210" si="26">I208</f>
        <v>0</v>
      </c>
      <c r="H208" s="302">
        <f>'d3'!E250</f>
        <v>0</v>
      </c>
      <c r="I208" s="302">
        <f>'d3'!J250</f>
        <v>0</v>
      </c>
      <c r="J208" s="302">
        <f>I208</f>
        <v>0</v>
      </c>
    </row>
    <row r="209" spans="1:10" s="72" customFormat="1" ht="230.25" thickTop="1" thickBot="1" x14ac:dyDescent="0.25">
      <c r="A209" s="303" t="s">
        <v>340</v>
      </c>
      <c r="B209" s="303" t="s">
        <v>341</v>
      </c>
      <c r="C209" s="303" t="s">
        <v>326</v>
      </c>
      <c r="D209" s="303" t="s">
        <v>785</v>
      </c>
      <c r="E209" s="222" t="s">
        <v>1034</v>
      </c>
      <c r="F209" s="385" t="s">
        <v>1035</v>
      </c>
      <c r="G209" s="302">
        <f t="shared" si="26"/>
        <v>14765465</v>
      </c>
      <c r="H209" s="302">
        <f>'d3'!E251-H210</f>
        <v>0</v>
      </c>
      <c r="I209" s="302">
        <f>'d3'!J251-I210</f>
        <v>14765465</v>
      </c>
      <c r="J209" s="525">
        <f>'d3'!K251-J210</f>
        <v>14765465</v>
      </c>
    </row>
    <row r="210" spans="1:10" s="72" customFormat="1" ht="184.5" thickTop="1" thickBot="1" x14ac:dyDescent="0.25">
      <c r="A210" s="526" t="s">
        <v>340</v>
      </c>
      <c r="B210" s="526" t="s">
        <v>341</v>
      </c>
      <c r="C210" s="526" t="s">
        <v>326</v>
      </c>
      <c r="D210" s="526" t="s">
        <v>785</v>
      </c>
      <c r="E210" s="150" t="s">
        <v>486</v>
      </c>
      <c r="F210" s="201" t="s">
        <v>455</v>
      </c>
      <c r="G210" s="525">
        <f t="shared" si="26"/>
        <v>1195970</v>
      </c>
      <c r="H210" s="525">
        <v>0</v>
      </c>
      <c r="I210" s="525">
        <v>1195970</v>
      </c>
      <c r="J210" s="525">
        <v>1195970</v>
      </c>
    </row>
    <row r="211" spans="1:10" s="72" customFormat="1" ht="230.25" thickTop="1" thickBot="1" x14ac:dyDescent="0.25">
      <c r="A211" s="303" t="s">
        <v>471</v>
      </c>
      <c r="B211" s="303" t="s">
        <v>378</v>
      </c>
      <c r="C211" s="303" t="s">
        <v>187</v>
      </c>
      <c r="D211" s="303" t="s">
        <v>283</v>
      </c>
      <c r="E211" s="222" t="s">
        <v>1034</v>
      </c>
      <c r="F211" s="385" t="s">
        <v>1035</v>
      </c>
      <c r="G211" s="302">
        <f>H211+I211</f>
        <v>110081302</v>
      </c>
      <c r="H211" s="302">
        <f>'d3'!E252</f>
        <v>0</v>
      </c>
      <c r="I211" s="302">
        <f>'d3'!J252</f>
        <v>110081302</v>
      </c>
      <c r="J211" s="302">
        <f>'d3'!K252</f>
        <v>110081302</v>
      </c>
    </row>
    <row r="212" spans="1:10" s="72" customFormat="1" ht="409.6" customHeight="1" thickTop="1" thickBot="1" x14ac:dyDescent="0.7">
      <c r="A212" s="765" t="s">
        <v>1307</v>
      </c>
      <c r="B212" s="765" t="s">
        <v>365</v>
      </c>
      <c r="C212" s="765" t="s">
        <v>187</v>
      </c>
      <c r="D212" s="246" t="s">
        <v>475</v>
      </c>
      <c r="E212" s="783" t="s">
        <v>1034</v>
      </c>
      <c r="F212" s="783" t="s">
        <v>1035</v>
      </c>
      <c r="G212" s="781">
        <f t="shared" ref="G212:G213" si="27">H212+I212</f>
        <v>1500000</v>
      </c>
      <c r="H212" s="781">
        <f>'d3'!E255</f>
        <v>0</v>
      </c>
      <c r="I212" s="781">
        <f>'d3'!J255</f>
        <v>1500000</v>
      </c>
      <c r="J212" s="781">
        <f>'d3'!K255</f>
        <v>0</v>
      </c>
    </row>
    <row r="213" spans="1:10" s="72" customFormat="1" ht="184.5" thickTop="1" thickBot="1" x14ac:dyDescent="0.25">
      <c r="A213" s="765"/>
      <c r="B213" s="765"/>
      <c r="C213" s="765"/>
      <c r="D213" s="250" t="s">
        <v>476</v>
      </c>
      <c r="E213" s="785"/>
      <c r="F213" s="785"/>
      <c r="G213" s="785">
        <f t="shared" si="27"/>
        <v>0</v>
      </c>
      <c r="H213" s="785"/>
      <c r="I213" s="785"/>
      <c r="J213" s="785"/>
    </row>
    <row r="214" spans="1:10" ht="292.7" customHeight="1" thickTop="1" thickBot="1" x14ac:dyDescent="0.25">
      <c r="A214" s="691" t="s">
        <v>177</v>
      </c>
      <c r="B214" s="691"/>
      <c r="C214" s="691"/>
      <c r="D214" s="692" t="s">
        <v>1074</v>
      </c>
      <c r="E214" s="693"/>
      <c r="F214" s="694"/>
      <c r="G214" s="694">
        <f>G215</f>
        <v>780000</v>
      </c>
      <c r="H214" s="694">
        <f t="shared" ref="H214:J214" si="28">H215</f>
        <v>7000</v>
      </c>
      <c r="I214" s="693">
        <f t="shared" si="28"/>
        <v>773000</v>
      </c>
      <c r="J214" s="693">
        <f t="shared" si="28"/>
        <v>773000</v>
      </c>
    </row>
    <row r="215" spans="1:10" ht="181.5" thickTop="1" thickBot="1" x14ac:dyDescent="0.25">
      <c r="A215" s="695" t="s">
        <v>178</v>
      </c>
      <c r="B215" s="695"/>
      <c r="C215" s="695"/>
      <c r="D215" s="696" t="s">
        <v>1094</v>
      </c>
      <c r="E215" s="697"/>
      <c r="F215" s="697"/>
      <c r="G215" s="697">
        <f>SUM(G216:G218)</f>
        <v>780000</v>
      </c>
      <c r="H215" s="697">
        <f>SUM(H216:H218)</f>
        <v>7000</v>
      </c>
      <c r="I215" s="697">
        <f>SUM(I216:I218)</f>
        <v>773000</v>
      </c>
      <c r="J215" s="697">
        <f>SUM(J216:J218)</f>
        <v>773000</v>
      </c>
    </row>
    <row r="216" spans="1:10" ht="230.25" thickTop="1" thickBot="1" x14ac:dyDescent="0.25">
      <c r="A216" s="200" t="s">
        <v>449</v>
      </c>
      <c r="B216" s="200" t="s">
        <v>257</v>
      </c>
      <c r="C216" s="200" t="s">
        <v>255</v>
      </c>
      <c r="D216" s="200" t="s">
        <v>256</v>
      </c>
      <c r="E216" s="222" t="s">
        <v>1028</v>
      </c>
      <c r="F216" s="385" t="s">
        <v>1029</v>
      </c>
      <c r="G216" s="209">
        <f>H216+I216</f>
        <v>162000</v>
      </c>
      <c r="H216" s="209">
        <v>0</v>
      </c>
      <c r="I216" s="209">
        <f>(100000+26000)+36000</f>
        <v>162000</v>
      </c>
      <c r="J216" s="209">
        <f>(100000+26000)+36000</f>
        <v>162000</v>
      </c>
    </row>
    <row r="217" spans="1:10" s="239" customFormat="1" ht="409.6" thickTop="1" thickBot="1" x14ac:dyDescent="0.25">
      <c r="A217" s="245" t="s">
        <v>790</v>
      </c>
      <c r="B217" s="245" t="s">
        <v>390</v>
      </c>
      <c r="C217" s="245" t="s">
        <v>779</v>
      </c>
      <c r="D217" s="245" t="s">
        <v>780</v>
      </c>
      <c r="E217" s="222" t="s">
        <v>1063</v>
      </c>
      <c r="F217" s="405" t="s">
        <v>1064</v>
      </c>
      <c r="G217" s="209">
        <f t="shared" ref="G217:G218" si="29">H217+I217</f>
        <v>7000</v>
      </c>
      <c r="H217" s="234">
        <f>'d3'!E261</f>
        <v>7000</v>
      </c>
      <c r="I217" s="251"/>
      <c r="J217" s="251"/>
    </row>
    <row r="218" spans="1:10" s="435" customFormat="1" ht="230.25" thickTop="1" thickBot="1" x14ac:dyDescent="0.25">
      <c r="A218" s="438" t="s">
        <v>1121</v>
      </c>
      <c r="B218" s="438" t="s">
        <v>1122</v>
      </c>
      <c r="C218" s="438" t="s">
        <v>326</v>
      </c>
      <c r="D218" s="438" t="s">
        <v>1123</v>
      </c>
      <c r="E218" s="222" t="s">
        <v>1034</v>
      </c>
      <c r="F218" s="436" t="s">
        <v>1035</v>
      </c>
      <c r="G218" s="436">
        <f t="shared" si="29"/>
        <v>611000</v>
      </c>
      <c r="H218" s="440">
        <f>'d3'!E264</f>
        <v>0</v>
      </c>
      <c r="I218" s="441">
        <f>'d3'!J264</f>
        <v>611000</v>
      </c>
      <c r="J218" s="442">
        <f>'d3'!K264</f>
        <v>611000</v>
      </c>
    </row>
    <row r="219" spans="1:10" ht="201.75" customHeight="1" thickTop="1" thickBot="1" x14ac:dyDescent="0.25">
      <c r="A219" s="691" t="s">
        <v>479</v>
      </c>
      <c r="B219" s="691"/>
      <c r="C219" s="691"/>
      <c r="D219" s="692" t="s">
        <v>481</v>
      </c>
      <c r="E219" s="693"/>
      <c r="F219" s="694"/>
      <c r="G219" s="694">
        <f>G220</f>
        <v>90776701</v>
      </c>
      <c r="H219" s="694">
        <f t="shared" ref="H219:J219" si="30">H220</f>
        <v>90740701</v>
      </c>
      <c r="I219" s="693">
        <f t="shared" si="30"/>
        <v>36000</v>
      </c>
      <c r="J219" s="693">
        <f t="shared" si="30"/>
        <v>36000</v>
      </c>
    </row>
    <row r="220" spans="1:10" ht="181.5" thickTop="1" thickBot="1" x14ac:dyDescent="0.25">
      <c r="A220" s="695" t="s">
        <v>480</v>
      </c>
      <c r="B220" s="695"/>
      <c r="C220" s="695"/>
      <c r="D220" s="696" t="s">
        <v>482</v>
      </c>
      <c r="E220" s="697"/>
      <c r="F220" s="697"/>
      <c r="G220" s="697">
        <f>SUM(G221:G224)</f>
        <v>90776701</v>
      </c>
      <c r="H220" s="697">
        <f>SUM(H221:H224)</f>
        <v>90740701</v>
      </c>
      <c r="I220" s="697">
        <f>SUM(I221:I224)</f>
        <v>36000</v>
      </c>
      <c r="J220" s="697">
        <f>SUM(J221:J224)</f>
        <v>36000</v>
      </c>
    </row>
    <row r="221" spans="1:10" ht="230.25" thickTop="1" thickBot="1" x14ac:dyDescent="0.25">
      <c r="A221" s="200" t="s">
        <v>483</v>
      </c>
      <c r="B221" s="200" t="s">
        <v>257</v>
      </c>
      <c r="C221" s="200" t="s">
        <v>255</v>
      </c>
      <c r="D221" s="200" t="s">
        <v>256</v>
      </c>
      <c r="E221" s="222" t="s">
        <v>1028</v>
      </c>
      <c r="F221" s="385" t="s">
        <v>1029</v>
      </c>
      <c r="G221" s="209">
        <f>H221+I221</f>
        <v>36000</v>
      </c>
      <c r="H221" s="234"/>
      <c r="I221" s="209">
        <f>(18000)+18000</f>
        <v>36000</v>
      </c>
      <c r="J221" s="454">
        <f>(18000)+18000</f>
        <v>36000</v>
      </c>
    </row>
    <row r="222" spans="1:10" s="239" customFormat="1" ht="409.6" thickTop="1" thickBot="1" x14ac:dyDescent="0.25">
      <c r="A222" s="245" t="s">
        <v>791</v>
      </c>
      <c r="B222" s="245" t="s">
        <v>390</v>
      </c>
      <c r="C222" s="245" t="s">
        <v>779</v>
      </c>
      <c r="D222" s="245" t="s">
        <v>780</v>
      </c>
      <c r="E222" s="222" t="s">
        <v>1063</v>
      </c>
      <c r="F222" s="405" t="s">
        <v>1064</v>
      </c>
      <c r="G222" s="209">
        <f t="shared" ref="G222:G224" si="31">H222+I222</f>
        <v>5080</v>
      </c>
      <c r="H222" s="234">
        <f>'d3'!E269</f>
        <v>5080</v>
      </c>
      <c r="I222" s="251"/>
      <c r="J222" s="251"/>
    </row>
    <row r="223" spans="1:10" s="675" customFormat="1" ht="230.25" thickTop="1" thickBot="1" x14ac:dyDescent="0.25">
      <c r="A223" s="685" t="s">
        <v>506</v>
      </c>
      <c r="B223" s="685" t="s">
        <v>442</v>
      </c>
      <c r="C223" s="685" t="s">
        <v>443</v>
      </c>
      <c r="D223" s="685" t="s">
        <v>444</v>
      </c>
      <c r="E223" s="255" t="s">
        <v>1356</v>
      </c>
      <c r="F223" s="679" t="s">
        <v>536</v>
      </c>
      <c r="G223" s="682">
        <f t="shared" si="31"/>
        <v>2093008</v>
      </c>
      <c r="H223" s="686">
        <f>'d3'!E274</f>
        <v>2093008</v>
      </c>
      <c r="I223" s="687">
        <f>'d3'!J274</f>
        <v>0</v>
      </c>
      <c r="J223" s="687">
        <f>'d3'!K274</f>
        <v>0</v>
      </c>
    </row>
    <row r="224" spans="1:10" ht="184.5" thickTop="1" thickBot="1" x14ac:dyDescent="0.25">
      <c r="A224" s="303" t="s">
        <v>507</v>
      </c>
      <c r="B224" s="303" t="s">
        <v>312</v>
      </c>
      <c r="C224" s="303" t="s">
        <v>314</v>
      </c>
      <c r="D224" s="303" t="s">
        <v>313</v>
      </c>
      <c r="E224" s="255" t="s">
        <v>1196</v>
      </c>
      <c r="F224" s="500" t="s">
        <v>1197</v>
      </c>
      <c r="G224" s="682">
        <f t="shared" si="31"/>
        <v>88642613</v>
      </c>
      <c r="H224" s="686">
        <f>'d3'!E276</f>
        <v>88642613</v>
      </c>
      <c r="I224" s="687">
        <f>'d3'!J276</f>
        <v>0</v>
      </c>
      <c r="J224" s="687">
        <f>'d3'!K276</f>
        <v>0</v>
      </c>
    </row>
    <row r="225" spans="1:10" ht="160.5" customHeight="1" thickTop="1" thickBot="1" x14ac:dyDescent="0.25">
      <c r="A225" s="691" t="s">
        <v>183</v>
      </c>
      <c r="B225" s="691"/>
      <c r="C225" s="691"/>
      <c r="D225" s="692" t="s">
        <v>382</v>
      </c>
      <c r="E225" s="693"/>
      <c r="F225" s="694"/>
      <c r="G225" s="694">
        <f>G226</f>
        <v>12702386.41</v>
      </c>
      <c r="H225" s="694">
        <f t="shared" ref="H225:J225" si="32">H226</f>
        <v>11492501.41</v>
      </c>
      <c r="I225" s="693">
        <f t="shared" si="32"/>
        <v>1209885</v>
      </c>
      <c r="J225" s="693">
        <f t="shared" si="32"/>
        <v>1209885</v>
      </c>
    </row>
    <row r="226" spans="1:10" ht="136.5" thickTop="1" thickBot="1" x14ac:dyDescent="0.25">
      <c r="A226" s="695" t="s">
        <v>184</v>
      </c>
      <c r="B226" s="695"/>
      <c r="C226" s="695"/>
      <c r="D226" s="696" t="s">
        <v>383</v>
      </c>
      <c r="E226" s="697"/>
      <c r="F226" s="697"/>
      <c r="G226" s="697">
        <f>SUM(G227:G235)</f>
        <v>12702386.41</v>
      </c>
      <c r="H226" s="697">
        <f>SUM(H227:H235)</f>
        <v>11492501.41</v>
      </c>
      <c r="I226" s="697">
        <f>SUM(I227:I235)</f>
        <v>1209885</v>
      </c>
      <c r="J226" s="697">
        <f>SUM(J227:J235)</f>
        <v>1209885</v>
      </c>
    </row>
    <row r="227" spans="1:10" s="675" customFormat="1" ht="230.25" thickTop="1" thickBot="1" x14ac:dyDescent="0.25">
      <c r="A227" s="680" t="s">
        <v>1352</v>
      </c>
      <c r="B227" s="680" t="s">
        <v>378</v>
      </c>
      <c r="C227" s="680" t="s">
        <v>187</v>
      </c>
      <c r="D227" s="680" t="s">
        <v>283</v>
      </c>
      <c r="E227" s="222" t="s">
        <v>1034</v>
      </c>
      <c r="F227" s="682" t="s">
        <v>1035</v>
      </c>
      <c r="G227" s="686">
        <f>H227+I227</f>
        <v>70000</v>
      </c>
      <c r="H227" s="682">
        <v>70000</v>
      </c>
      <c r="I227" s="682"/>
      <c r="J227" s="682"/>
    </row>
    <row r="228" spans="1:10" ht="184.5" thickTop="1" thickBot="1" x14ac:dyDescent="0.25">
      <c r="A228" s="303" t="s">
        <v>281</v>
      </c>
      <c r="B228" s="303" t="s">
        <v>282</v>
      </c>
      <c r="C228" s="303" t="s">
        <v>280</v>
      </c>
      <c r="D228" s="303" t="s">
        <v>279</v>
      </c>
      <c r="E228" s="150" t="s">
        <v>485</v>
      </c>
      <c r="F228" s="201" t="s">
        <v>459</v>
      </c>
      <c r="G228" s="234">
        <f>H228+I228</f>
        <v>4482230</v>
      </c>
      <c r="H228" s="302">
        <f>-490000+300000+((5468200)-795970)</f>
        <v>4482230</v>
      </c>
      <c r="I228" s="302"/>
      <c r="J228" s="302"/>
    </row>
    <row r="229" spans="1:10" ht="184.5" thickTop="1" thickBot="1" x14ac:dyDescent="0.25">
      <c r="A229" s="303" t="s">
        <v>281</v>
      </c>
      <c r="B229" s="303" t="s">
        <v>282</v>
      </c>
      <c r="C229" s="303" t="s">
        <v>280</v>
      </c>
      <c r="D229" s="303" t="s">
        <v>279</v>
      </c>
      <c r="E229" s="150" t="s">
        <v>486</v>
      </c>
      <c r="F229" s="201" t="s">
        <v>455</v>
      </c>
      <c r="G229" s="234">
        <f t="shared" ref="G229:G235" si="33">H229+I229</f>
        <v>120000</v>
      </c>
      <c r="H229" s="302">
        <v>120000</v>
      </c>
      <c r="I229" s="302"/>
      <c r="J229" s="302"/>
    </row>
    <row r="230" spans="1:10" ht="230.25" thickTop="1" thickBot="1" x14ac:dyDescent="0.25">
      <c r="A230" s="303" t="s">
        <v>273</v>
      </c>
      <c r="B230" s="303" t="s">
        <v>275</v>
      </c>
      <c r="C230" s="303" t="s">
        <v>234</v>
      </c>
      <c r="D230" s="303" t="s">
        <v>274</v>
      </c>
      <c r="E230" s="384" t="s">
        <v>1036</v>
      </c>
      <c r="F230" s="385" t="s">
        <v>1037</v>
      </c>
      <c r="G230" s="234">
        <f t="shared" si="33"/>
        <v>1235000</v>
      </c>
      <c r="H230" s="302">
        <f>(745000)+490000</f>
        <v>1235000</v>
      </c>
      <c r="I230" s="302">
        <v>0</v>
      </c>
      <c r="J230" s="302">
        <v>0</v>
      </c>
    </row>
    <row r="231" spans="1:10" ht="276" thickTop="1" thickBot="1" x14ac:dyDescent="0.25">
      <c r="A231" s="303" t="s">
        <v>277</v>
      </c>
      <c r="B231" s="303" t="s">
        <v>278</v>
      </c>
      <c r="C231" s="303" t="s">
        <v>187</v>
      </c>
      <c r="D231" s="303" t="s">
        <v>276</v>
      </c>
      <c r="E231" s="302" t="s">
        <v>484</v>
      </c>
      <c r="F231" s="201" t="s">
        <v>460</v>
      </c>
      <c r="G231" s="234">
        <f t="shared" si="33"/>
        <v>449037.40999999992</v>
      </c>
      <c r="H231" s="302">
        <f>2049580-1600542.59</f>
        <v>449037.40999999992</v>
      </c>
      <c r="I231" s="302">
        <v>0</v>
      </c>
      <c r="J231" s="302">
        <v>0</v>
      </c>
    </row>
    <row r="232" spans="1:10" ht="184.5" thickTop="1" thickBot="1" x14ac:dyDescent="0.25">
      <c r="A232" s="303" t="s">
        <v>277</v>
      </c>
      <c r="B232" s="303" t="s">
        <v>278</v>
      </c>
      <c r="C232" s="303" t="s">
        <v>187</v>
      </c>
      <c r="D232" s="303" t="s">
        <v>276</v>
      </c>
      <c r="E232" s="302" t="s">
        <v>720</v>
      </c>
      <c r="F232" s="302" t="s">
        <v>721</v>
      </c>
      <c r="G232" s="234">
        <f t="shared" si="33"/>
        <v>1146119</v>
      </c>
      <c r="H232" s="302">
        <f>(800000)+30296+105938</f>
        <v>936234</v>
      </c>
      <c r="I232" s="302">
        <f>(400000)-190115</f>
        <v>209885</v>
      </c>
      <c r="J232" s="302">
        <f>(400000)-190115</f>
        <v>209885</v>
      </c>
    </row>
    <row r="233" spans="1:10" s="499" customFormat="1" ht="230.25" thickTop="1" thickBot="1" x14ac:dyDescent="0.25">
      <c r="A233" s="501" t="s">
        <v>277</v>
      </c>
      <c r="B233" s="501" t="s">
        <v>278</v>
      </c>
      <c r="C233" s="501" t="s">
        <v>187</v>
      </c>
      <c r="D233" s="501" t="s">
        <v>276</v>
      </c>
      <c r="E233" s="392" t="s">
        <v>1243</v>
      </c>
      <c r="F233" s="534" t="s">
        <v>1244</v>
      </c>
      <c r="G233" s="505">
        <f t="shared" si="33"/>
        <v>300000</v>
      </c>
      <c r="H233" s="500">
        <v>300000</v>
      </c>
      <c r="I233" s="500">
        <v>0</v>
      </c>
      <c r="J233" s="500">
        <v>0</v>
      </c>
    </row>
    <row r="234" spans="1:10" s="511" customFormat="1" ht="230.25" thickTop="1" thickBot="1" x14ac:dyDescent="0.25">
      <c r="A234" s="513" t="s">
        <v>277</v>
      </c>
      <c r="B234" s="513" t="s">
        <v>278</v>
      </c>
      <c r="C234" s="513" t="s">
        <v>187</v>
      </c>
      <c r="D234" s="513" t="s">
        <v>276</v>
      </c>
      <c r="E234" s="222" t="s">
        <v>1034</v>
      </c>
      <c r="F234" s="512" t="s">
        <v>1035</v>
      </c>
      <c r="G234" s="514">
        <f t="shared" si="33"/>
        <v>2200000</v>
      </c>
      <c r="H234" s="512">
        <f>(700000)+1500000</f>
        <v>2200000</v>
      </c>
      <c r="I234" s="512">
        <v>0</v>
      </c>
      <c r="J234" s="512">
        <v>0</v>
      </c>
    </row>
    <row r="235" spans="1:10" s="420" customFormat="1" ht="230.25" thickTop="1" thickBot="1" x14ac:dyDescent="0.25">
      <c r="A235" s="423" t="s">
        <v>1108</v>
      </c>
      <c r="B235" s="423" t="s">
        <v>391</v>
      </c>
      <c r="C235" s="423" t="s">
        <v>45</v>
      </c>
      <c r="D235" s="423" t="s">
        <v>392</v>
      </c>
      <c r="E235" s="222" t="s">
        <v>1034</v>
      </c>
      <c r="F235" s="424" t="s">
        <v>1035</v>
      </c>
      <c r="G235" s="425">
        <f t="shared" si="33"/>
        <v>2700000</v>
      </c>
      <c r="H235" s="424">
        <f>'d3'!E289</f>
        <v>1700000</v>
      </c>
      <c r="I235" s="424">
        <f>'d3'!J289</f>
        <v>1000000</v>
      </c>
      <c r="J235" s="427">
        <f>'d3'!K289</f>
        <v>1000000</v>
      </c>
    </row>
    <row r="236" spans="1:10" ht="226.5" thickTop="1" thickBot="1" x14ac:dyDescent="0.25">
      <c r="A236" s="691" t="s">
        <v>181</v>
      </c>
      <c r="B236" s="691"/>
      <c r="C236" s="691"/>
      <c r="D236" s="692" t="s">
        <v>1067</v>
      </c>
      <c r="E236" s="693"/>
      <c r="F236" s="694"/>
      <c r="G236" s="694">
        <f>G237</f>
        <v>3254138.96</v>
      </c>
      <c r="H236" s="694">
        <f t="shared" ref="H236:J236" si="34">H237</f>
        <v>5000</v>
      </c>
      <c r="I236" s="693">
        <f t="shared" si="34"/>
        <v>3249138.96</v>
      </c>
      <c r="J236" s="693">
        <f t="shared" si="34"/>
        <v>64000</v>
      </c>
    </row>
    <row r="237" spans="1:10" ht="181.5" thickTop="1" thickBot="1" x14ac:dyDescent="0.25">
      <c r="A237" s="695" t="s">
        <v>182</v>
      </c>
      <c r="B237" s="695"/>
      <c r="C237" s="695"/>
      <c r="D237" s="696" t="s">
        <v>1068</v>
      </c>
      <c r="E237" s="697"/>
      <c r="F237" s="697"/>
      <c r="G237" s="697">
        <f>SUM(G238:G243)</f>
        <v>3254138.96</v>
      </c>
      <c r="H237" s="697">
        <f>SUM(H238:H243)</f>
        <v>5000</v>
      </c>
      <c r="I237" s="697">
        <f>SUM(I238:I243)</f>
        <v>3249138.96</v>
      </c>
      <c r="J237" s="697">
        <f>SUM(J238:J243)</f>
        <v>64000</v>
      </c>
    </row>
    <row r="238" spans="1:10" s="185" customFormat="1" ht="230.25" thickTop="1" thickBot="1" x14ac:dyDescent="0.25">
      <c r="A238" s="200" t="s">
        <v>452</v>
      </c>
      <c r="B238" s="200" t="s">
        <v>257</v>
      </c>
      <c r="C238" s="200" t="s">
        <v>255</v>
      </c>
      <c r="D238" s="200" t="s">
        <v>256</v>
      </c>
      <c r="E238" s="222" t="s">
        <v>1028</v>
      </c>
      <c r="F238" s="385" t="s">
        <v>1029</v>
      </c>
      <c r="G238" s="209">
        <f>H238+I238</f>
        <v>64000</v>
      </c>
      <c r="H238" s="234"/>
      <c r="I238" s="209">
        <f>(18000)+46000</f>
        <v>64000</v>
      </c>
      <c r="J238" s="454">
        <f>(18000)+46000</f>
        <v>64000</v>
      </c>
    </row>
    <row r="239" spans="1:10" s="239" customFormat="1" ht="409.6" thickTop="1" thickBot="1" x14ac:dyDescent="0.25">
      <c r="A239" s="245" t="s">
        <v>792</v>
      </c>
      <c r="B239" s="245" t="s">
        <v>390</v>
      </c>
      <c r="C239" s="245" t="s">
        <v>779</v>
      </c>
      <c r="D239" s="245" t="s">
        <v>780</v>
      </c>
      <c r="E239" s="222" t="s">
        <v>1063</v>
      </c>
      <c r="F239" s="405" t="s">
        <v>1064</v>
      </c>
      <c r="G239" s="209">
        <f t="shared" ref="G239" si="35">H239+I239</f>
        <v>5000</v>
      </c>
      <c r="H239" s="234">
        <f>'d3'!E294</f>
        <v>5000</v>
      </c>
      <c r="I239" s="251"/>
      <c r="J239" s="251"/>
    </row>
    <row r="240" spans="1:10" ht="184.5" thickTop="1" thickBot="1" x14ac:dyDescent="0.25">
      <c r="A240" s="303" t="s">
        <v>331</v>
      </c>
      <c r="B240" s="303" t="s">
        <v>332</v>
      </c>
      <c r="C240" s="303" t="s">
        <v>54</v>
      </c>
      <c r="D240" s="303" t="s">
        <v>55</v>
      </c>
      <c r="E240" s="255" t="s">
        <v>1241</v>
      </c>
      <c r="F240" s="534" t="s">
        <v>1242</v>
      </c>
      <c r="G240" s="234">
        <f t="shared" ref="G240:G243" si="36">H240+I240</f>
        <v>403900</v>
      </c>
      <c r="H240" s="302">
        <f>'d3'!E298</f>
        <v>0</v>
      </c>
      <c r="I240" s="302">
        <f>'d3'!J298</f>
        <v>403900</v>
      </c>
      <c r="J240" s="302">
        <f>'d3'!K298</f>
        <v>0</v>
      </c>
    </row>
    <row r="241" spans="1:10" ht="184.5" thickTop="1" thickBot="1" x14ac:dyDescent="0.25">
      <c r="A241" s="303" t="s">
        <v>510</v>
      </c>
      <c r="B241" s="303" t="s">
        <v>511</v>
      </c>
      <c r="C241" s="303" t="s">
        <v>509</v>
      </c>
      <c r="D241" s="303" t="s">
        <v>512</v>
      </c>
      <c r="E241" s="255" t="s">
        <v>1241</v>
      </c>
      <c r="F241" s="534" t="s">
        <v>1242</v>
      </c>
      <c r="G241" s="234">
        <f t="shared" si="36"/>
        <v>361238.96</v>
      </c>
      <c r="H241" s="302">
        <f>'d3'!E299</f>
        <v>0</v>
      </c>
      <c r="I241" s="302">
        <f>'d3'!J299</f>
        <v>361238.96</v>
      </c>
      <c r="J241" s="302">
        <f>'d3'!K299</f>
        <v>0</v>
      </c>
    </row>
    <row r="242" spans="1:10" ht="184.5" thickTop="1" thickBot="1" x14ac:dyDescent="0.25">
      <c r="A242" s="303" t="s">
        <v>571</v>
      </c>
      <c r="B242" s="303" t="s">
        <v>569</v>
      </c>
      <c r="C242" s="303" t="s">
        <v>572</v>
      </c>
      <c r="D242" s="303" t="s">
        <v>570</v>
      </c>
      <c r="E242" s="255" t="s">
        <v>1241</v>
      </c>
      <c r="F242" s="534" t="s">
        <v>1242</v>
      </c>
      <c r="G242" s="234">
        <f t="shared" si="36"/>
        <v>175000</v>
      </c>
      <c r="H242" s="302">
        <f>'d3'!E300</f>
        <v>0</v>
      </c>
      <c r="I242" s="302">
        <f>'d3'!J300</f>
        <v>175000</v>
      </c>
      <c r="J242" s="302">
        <f>'d3'!K300</f>
        <v>0</v>
      </c>
    </row>
    <row r="243" spans="1:10" ht="184.5" thickTop="1" thickBot="1" x14ac:dyDescent="0.25">
      <c r="A243" s="303" t="s">
        <v>333</v>
      </c>
      <c r="B243" s="303" t="s">
        <v>334</v>
      </c>
      <c r="C243" s="303" t="s">
        <v>56</v>
      </c>
      <c r="D243" s="303" t="s">
        <v>513</v>
      </c>
      <c r="E243" s="255" t="s">
        <v>1241</v>
      </c>
      <c r="F243" s="534" t="s">
        <v>1242</v>
      </c>
      <c r="G243" s="234">
        <f t="shared" si="36"/>
        <v>2245000</v>
      </c>
      <c r="H243" s="302">
        <f>'d3'!E301</f>
        <v>0</v>
      </c>
      <c r="I243" s="302">
        <f>'d3'!J301</f>
        <v>2245000</v>
      </c>
      <c r="J243" s="302">
        <f>'d3'!K301</f>
        <v>0</v>
      </c>
    </row>
    <row r="244" spans="1:10" ht="226.5" thickTop="1" thickBot="1" x14ac:dyDescent="0.25">
      <c r="A244" s="691" t="s">
        <v>179</v>
      </c>
      <c r="B244" s="691"/>
      <c r="C244" s="691"/>
      <c r="D244" s="692" t="s">
        <v>1095</v>
      </c>
      <c r="E244" s="693"/>
      <c r="F244" s="694"/>
      <c r="G244" s="694">
        <f>G245</f>
        <v>350000</v>
      </c>
      <c r="H244" s="694">
        <f t="shared" ref="H244:J244" si="37">H245</f>
        <v>0</v>
      </c>
      <c r="I244" s="693">
        <f t="shared" si="37"/>
        <v>350000</v>
      </c>
      <c r="J244" s="693">
        <f t="shared" si="37"/>
        <v>350000</v>
      </c>
    </row>
    <row r="245" spans="1:10" ht="226.5" thickTop="1" thickBot="1" x14ac:dyDescent="0.25">
      <c r="A245" s="695" t="s">
        <v>180</v>
      </c>
      <c r="B245" s="695"/>
      <c r="C245" s="695"/>
      <c r="D245" s="696" t="s">
        <v>1096</v>
      </c>
      <c r="E245" s="697"/>
      <c r="F245" s="697"/>
      <c r="G245" s="697">
        <f>SUM(G246:G248)</f>
        <v>350000</v>
      </c>
      <c r="H245" s="697">
        <f>SUM(H246:H248)</f>
        <v>0</v>
      </c>
      <c r="I245" s="697">
        <f>SUM(I246:I248)</f>
        <v>350000</v>
      </c>
      <c r="J245" s="697">
        <f>SUM(J246:J248)</f>
        <v>350000</v>
      </c>
    </row>
    <row r="246" spans="1:10" s="449" customFormat="1" ht="230.25" thickTop="1" thickBot="1" x14ac:dyDescent="0.25">
      <c r="A246" s="455" t="s">
        <v>448</v>
      </c>
      <c r="B246" s="455" t="s">
        <v>257</v>
      </c>
      <c r="C246" s="455" t="s">
        <v>255</v>
      </c>
      <c r="D246" s="455" t="s">
        <v>256</v>
      </c>
      <c r="E246" s="222" t="s">
        <v>1028</v>
      </c>
      <c r="F246" s="454" t="s">
        <v>1029</v>
      </c>
      <c r="G246" s="454">
        <f>H246+I246</f>
        <v>100000</v>
      </c>
      <c r="H246" s="456"/>
      <c r="I246" s="454">
        <v>100000</v>
      </c>
      <c r="J246" s="454">
        <v>100000</v>
      </c>
    </row>
    <row r="247" spans="1:10" ht="230.25" thickTop="1" thickBot="1" x14ac:dyDescent="0.25">
      <c r="A247" s="303" t="s">
        <v>328</v>
      </c>
      <c r="B247" s="303" t="s">
        <v>329</v>
      </c>
      <c r="C247" s="303" t="s">
        <v>330</v>
      </c>
      <c r="D247" s="303" t="s">
        <v>499</v>
      </c>
      <c r="E247" s="222" t="s">
        <v>1034</v>
      </c>
      <c r="F247" s="385" t="s">
        <v>1035</v>
      </c>
      <c r="G247" s="234">
        <f t="shared" ref="G247:G248" si="38">H247+I247</f>
        <v>200000</v>
      </c>
      <c r="H247" s="302">
        <f>'d3'!E308</f>
        <v>0</v>
      </c>
      <c r="I247" s="302">
        <f>'d3'!J308</f>
        <v>200000</v>
      </c>
      <c r="J247" s="302">
        <f>'d3'!K308</f>
        <v>200000</v>
      </c>
    </row>
    <row r="248" spans="1:10" ht="230.25" thickTop="1" thickBot="1" x14ac:dyDescent="0.25">
      <c r="A248" s="303" t="s">
        <v>396</v>
      </c>
      <c r="B248" s="303" t="s">
        <v>397</v>
      </c>
      <c r="C248" s="303" t="s">
        <v>187</v>
      </c>
      <c r="D248" s="303" t="s">
        <v>398</v>
      </c>
      <c r="E248" s="222" t="s">
        <v>1034</v>
      </c>
      <c r="F248" s="385" t="s">
        <v>1035</v>
      </c>
      <c r="G248" s="234">
        <f t="shared" si="38"/>
        <v>50000</v>
      </c>
      <c r="H248" s="302">
        <f>'d3'!E310</f>
        <v>0</v>
      </c>
      <c r="I248" s="302">
        <f>'d3'!J310</f>
        <v>50000</v>
      </c>
      <c r="J248" s="302">
        <f>'d3'!K310</f>
        <v>50000</v>
      </c>
    </row>
    <row r="249" spans="1:10" s="239" customFormat="1" ht="136.5" thickTop="1" thickBot="1" x14ac:dyDescent="0.25">
      <c r="A249" s="691" t="s">
        <v>185</v>
      </c>
      <c r="B249" s="691"/>
      <c r="C249" s="691"/>
      <c r="D249" s="692" t="s">
        <v>27</v>
      </c>
      <c r="E249" s="693"/>
      <c r="F249" s="694"/>
      <c r="G249" s="694">
        <f>G250</f>
        <v>43000</v>
      </c>
      <c r="H249" s="694">
        <f t="shared" ref="H249:J249" si="39">H250</f>
        <v>3000</v>
      </c>
      <c r="I249" s="693">
        <f t="shared" si="39"/>
        <v>40000</v>
      </c>
      <c r="J249" s="693">
        <f t="shared" si="39"/>
        <v>40000</v>
      </c>
    </row>
    <row r="250" spans="1:10" s="239" customFormat="1" ht="136.5" thickTop="1" thickBot="1" x14ac:dyDescent="0.25">
      <c r="A250" s="695" t="s">
        <v>186</v>
      </c>
      <c r="B250" s="695"/>
      <c r="C250" s="695"/>
      <c r="D250" s="696" t="s">
        <v>42</v>
      </c>
      <c r="E250" s="697"/>
      <c r="F250" s="697"/>
      <c r="G250" s="697">
        <f>SUM(G251:G252)</f>
        <v>43000</v>
      </c>
      <c r="H250" s="697">
        <f>SUM(H251:H252)</f>
        <v>3000</v>
      </c>
      <c r="I250" s="697">
        <f>SUM(I251:I252)</f>
        <v>40000</v>
      </c>
      <c r="J250" s="697">
        <f>SUM(J251:J252)</f>
        <v>40000</v>
      </c>
    </row>
    <row r="251" spans="1:10" s="665" customFormat="1" ht="230.25" thickTop="1" thickBot="1" x14ac:dyDescent="0.25">
      <c r="A251" s="668" t="s">
        <v>450</v>
      </c>
      <c r="B251" s="668" t="s">
        <v>257</v>
      </c>
      <c r="C251" s="668" t="s">
        <v>255</v>
      </c>
      <c r="D251" s="668" t="s">
        <v>256</v>
      </c>
      <c r="E251" s="222" t="s">
        <v>1028</v>
      </c>
      <c r="F251" s="667" t="s">
        <v>1029</v>
      </c>
      <c r="G251" s="667">
        <f t="shared" ref="G251:G252" si="40">H251+I251</f>
        <v>40000</v>
      </c>
      <c r="H251" s="670">
        <f>0</f>
        <v>0</v>
      </c>
      <c r="I251" s="671">
        <v>40000</v>
      </c>
      <c r="J251" s="671">
        <v>40000</v>
      </c>
    </row>
    <row r="252" spans="1:10" s="239" customFormat="1" ht="409.6" thickTop="1" thickBot="1" x14ac:dyDescent="0.25">
      <c r="A252" s="304" t="s">
        <v>793</v>
      </c>
      <c r="B252" s="304" t="s">
        <v>390</v>
      </c>
      <c r="C252" s="304" t="s">
        <v>779</v>
      </c>
      <c r="D252" s="304" t="s">
        <v>780</v>
      </c>
      <c r="E252" s="222" t="s">
        <v>1063</v>
      </c>
      <c r="F252" s="405" t="s">
        <v>1064</v>
      </c>
      <c r="G252" s="302">
        <f t="shared" si="40"/>
        <v>3000</v>
      </c>
      <c r="H252" s="234">
        <f>'d3'!E315</f>
        <v>3000</v>
      </c>
      <c r="I252" s="251"/>
      <c r="J252" s="251"/>
    </row>
    <row r="253" spans="1:10" ht="81.75" customHeight="1" thickTop="1" thickBot="1" x14ac:dyDescent="0.25">
      <c r="A253" s="176" t="s">
        <v>410</v>
      </c>
      <c r="B253" s="176" t="s">
        <v>410</v>
      </c>
      <c r="C253" s="176" t="s">
        <v>410</v>
      </c>
      <c r="D253" s="177" t="s">
        <v>420</v>
      </c>
      <c r="E253" s="176" t="s">
        <v>410</v>
      </c>
      <c r="F253" s="176" t="s">
        <v>410</v>
      </c>
      <c r="G253" s="178">
        <f>G16+G40+G144+G70+G95+G127+G201+G226+G237+G245+G220+G215+G177+G161+G250</f>
        <v>3181147468.5900006</v>
      </c>
      <c r="H253" s="178">
        <f>H16+H40+H144+H70+H95+H127+H201+H226+H237+H245+H220+H215+H177+H161+H250</f>
        <v>2452441226.48</v>
      </c>
      <c r="I253" s="178">
        <f>I16+I40+I144+I70+I95+I127+I201+I226+I237+I245+I220+I215+I177+I161+I250</f>
        <v>728706242.11000001</v>
      </c>
      <c r="J253" s="178">
        <f>J16+J40+J144+J70+J95+J127+J201+J226+J237+J245+J220+J215+J177+J161+J250</f>
        <v>560238120.33999991</v>
      </c>
    </row>
    <row r="254" spans="1:10" ht="31.7" customHeight="1" thickTop="1" x14ac:dyDescent="0.2">
      <c r="A254" s="750" t="s">
        <v>544</v>
      </c>
      <c r="B254" s="751"/>
      <c r="C254" s="751"/>
      <c r="D254" s="751"/>
      <c r="E254" s="751"/>
      <c r="F254" s="751"/>
      <c r="G254" s="751"/>
      <c r="H254" s="751"/>
      <c r="I254" s="751"/>
      <c r="J254" s="751"/>
    </row>
    <row r="255" spans="1:10" ht="31.7" customHeight="1" x14ac:dyDescent="0.2">
      <c r="A255" s="117"/>
      <c r="B255" s="118"/>
      <c r="C255" s="118"/>
      <c r="D255" s="118"/>
      <c r="E255" s="118"/>
      <c r="F255" s="118"/>
      <c r="G255" s="118"/>
      <c r="H255" s="118"/>
      <c r="I255" s="118"/>
      <c r="J255" s="118"/>
    </row>
    <row r="256" spans="1:10" ht="31.7" customHeight="1" x14ac:dyDescent="0.65">
      <c r="A256" s="117"/>
      <c r="B256" s="124"/>
      <c r="C256" s="118"/>
      <c r="D256" s="655"/>
      <c r="E256" s="655"/>
      <c r="F256" s="655"/>
      <c r="G256" s="655"/>
      <c r="H256" s="118"/>
      <c r="I256" s="118"/>
      <c r="J256" s="118"/>
    </row>
    <row r="257" spans="1:10" ht="45" customHeight="1" x14ac:dyDescent="0.65">
      <c r="A257" s="117"/>
      <c r="B257" s="118"/>
      <c r="C257" s="118"/>
      <c r="D257" s="834" t="s">
        <v>1376</v>
      </c>
      <c r="E257" s="835"/>
      <c r="F257" s="613"/>
      <c r="G257" s="613" t="s">
        <v>1377</v>
      </c>
      <c r="H257" s="124"/>
      <c r="I257" s="9"/>
      <c r="J257" s="43"/>
    </row>
    <row r="258" spans="1:10" ht="61.5" customHeight="1" x14ac:dyDescent="0.65">
      <c r="A258" s="115"/>
      <c r="B258" s="115"/>
      <c r="C258" s="115"/>
      <c r="D258" s="124"/>
      <c r="E258" s="618"/>
      <c r="F258" s="619"/>
      <c r="G258" s="124"/>
      <c r="H258" s="124"/>
      <c r="I258" s="9"/>
      <c r="J258" s="43"/>
    </row>
    <row r="259" spans="1:10" ht="45.75" x14ac:dyDescent="0.65">
      <c r="D259" s="124" t="s">
        <v>609</v>
      </c>
      <c r="E259" s="618"/>
      <c r="F259" s="619"/>
      <c r="G259" s="124" t="s">
        <v>610</v>
      </c>
      <c r="H259" s="64"/>
      <c r="I259" s="43"/>
      <c r="J259" s="9"/>
    </row>
    <row r="260" spans="1:10" ht="45.75" x14ac:dyDescent="0.65">
      <c r="D260" s="738"/>
      <c r="E260" s="738"/>
      <c r="F260" s="738"/>
      <c r="G260" s="738"/>
      <c r="H260" s="738"/>
      <c r="I260" s="738"/>
      <c r="J260" s="738"/>
    </row>
    <row r="261" spans="1:10" x14ac:dyDescent="0.2">
      <c r="E261" s="4"/>
      <c r="F261" s="3"/>
    </row>
    <row r="262" spans="1:10" x14ac:dyDescent="0.2">
      <c r="E262" s="4"/>
      <c r="F262" s="3"/>
    </row>
    <row r="263" spans="1:10" ht="62.25" x14ac:dyDescent="0.8">
      <c r="A263" s="113"/>
      <c r="B263" s="113"/>
      <c r="C263" s="113"/>
      <c r="D263" s="113"/>
      <c r="E263" s="9"/>
      <c r="F263" s="43"/>
      <c r="I263" s="113"/>
      <c r="J263" s="47"/>
    </row>
    <row r="264" spans="1:10" ht="45.75" x14ac:dyDescent="0.2">
      <c r="E264" s="10"/>
      <c r="F264" s="64"/>
    </row>
    <row r="265" spans="1:10" ht="45.75" x14ac:dyDescent="0.2">
      <c r="A265" s="113"/>
      <c r="B265" s="113"/>
      <c r="C265" s="113"/>
      <c r="D265" s="113"/>
      <c r="E265" s="9" t="s">
        <v>614</v>
      </c>
      <c r="F265" s="43"/>
      <c r="I265" s="113"/>
      <c r="J265" s="113"/>
    </row>
    <row r="266" spans="1:10" ht="45.75" x14ac:dyDescent="0.2">
      <c r="E266" s="10"/>
      <c r="F266" s="64"/>
    </row>
    <row r="267" spans="1:10" ht="45.75" x14ac:dyDescent="0.2">
      <c r="E267" s="10" t="s">
        <v>615</v>
      </c>
      <c r="F267" s="64"/>
    </row>
    <row r="268" spans="1:10" ht="45.75" x14ac:dyDescent="0.2">
      <c r="E268" s="10"/>
      <c r="F268" s="64"/>
    </row>
    <row r="269" spans="1:10" ht="45.75" x14ac:dyDescent="0.2">
      <c r="A269" s="113"/>
      <c r="B269" s="113"/>
      <c r="C269" s="113"/>
      <c r="D269" s="113"/>
      <c r="E269" s="10"/>
      <c r="F269" s="64"/>
      <c r="G269" s="113"/>
      <c r="H269" s="113"/>
      <c r="I269" s="113"/>
      <c r="J269" s="113"/>
    </row>
    <row r="270" spans="1:10" ht="45.75" x14ac:dyDescent="0.2">
      <c r="A270" s="113"/>
      <c r="B270" s="113"/>
      <c r="C270" s="113"/>
      <c r="D270" s="113"/>
      <c r="E270" s="10"/>
      <c r="F270" s="64"/>
      <c r="G270" s="113"/>
      <c r="H270" s="113"/>
      <c r="I270" s="113"/>
      <c r="J270" s="113"/>
    </row>
    <row r="271" spans="1:10" ht="45.75" x14ac:dyDescent="0.2">
      <c r="A271" s="113"/>
      <c r="B271" s="113"/>
      <c r="C271" s="113"/>
      <c r="D271" s="113"/>
      <c r="E271" s="10"/>
      <c r="F271" s="64"/>
      <c r="G271" s="113"/>
      <c r="H271" s="113"/>
      <c r="I271" s="113"/>
      <c r="J271" s="113"/>
    </row>
    <row r="272" spans="1:10" ht="45.75" x14ac:dyDescent="0.2">
      <c r="A272" s="113"/>
      <c r="B272" s="113"/>
      <c r="C272" s="113"/>
      <c r="D272" s="113"/>
      <c r="E272" s="10"/>
      <c r="F272" s="64"/>
      <c r="G272" s="113"/>
      <c r="H272" s="113"/>
      <c r="I272" s="113"/>
      <c r="J272" s="113"/>
    </row>
  </sheetData>
  <mergeCells count="171">
    <mergeCell ref="J212:J213"/>
    <mergeCell ref="D257:E257"/>
    <mergeCell ref="H193:H194"/>
    <mergeCell ref="I193:I194"/>
    <mergeCell ref="J193:J194"/>
    <mergeCell ref="A195:A196"/>
    <mergeCell ref="B195:B196"/>
    <mergeCell ref="C195:C196"/>
    <mergeCell ref="E195:E196"/>
    <mergeCell ref="F195:F196"/>
    <mergeCell ref="H195:H196"/>
    <mergeCell ref="I195:I196"/>
    <mergeCell ref="J195:J196"/>
    <mergeCell ref="A193:A194"/>
    <mergeCell ref="B193:B194"/>
    <mergeCell ref="C193:C194"/>
    <mergeCell ref="D193:D194"/>
    <mergeCell ref="G193:G194"/>
    <mergeCell ref="G195:G196"/>
    <mergeCell ref="A212:A213"/>
    <mergeCell ref="B212:B213"/>
    <mergeCell ref="C212:C213"/>
    <mergeCell ref="E212:E213"/>
    <mergeCell ref="F212:F213"/>
    <mergeCell ref="G212:G213"/>
    <mergeCell ref="A191:A192"/>
    <mergeCell ref="B191:B192"/>
    <mergeCell ref="C191:C192"/>
    <mergeCell ref="D191:D192"/>
    <mergeCell ref="H191:H192"/>
    <mergeCell ref="I191:I192"/>
    <mergeCell ref="H212:H213"/>
    <mergeCell ref="I212:I213"/>
    <mergeCell ref="J191:J192"/>
    <mergeCell ref="A189:A190"/>
    <mergeCell ref="B189:B190"/>
    <mergeCell ref="C189:C190"/>
    <mergeCell ref="D189:D190"/>
    <mergeCell ref="G189:G190"/>
    <mergeCell ref="G191:G192"/>
    <mergeCell ref="H189:H190"/>
    <mergeCell ref="I189:I190"/>
    <mergeCell ref="J189:J190"/>
    <mergeCell ref="H183:H184"/>
    <mergeCell ref="I183:I184"/>
    <mergeCell ref="J183:J184"/>
    <mergeCell ref="H185:H186"/>
    <mergeCell ref="I185:I186"/>
    <mergeCell ref="J185:J186"/>
    <mergeCell ref="A183:A184"/>
    <mergeCell ref="B183:B184"/>
    <mergeCell ref="C183:C184"/>
    <mergeCell ref="D183:D184"/>
    <mergeCell ref="G183:G184"/>
    <mergeCell ref="G185:G186"/>
    <mergeCell ref="A185:A187"/>
    <mergeCell ref="B185:B187"/>
    <mergeCell ref="C185:C187"/>
    <mergeCell ref="D185:D187"/>
    <mergeCell ref="H12:H13"/>
    <mergeCell ref="I12:J12"/>
    <mergeCell ref="A167:A168"/>
    <mergeCell ref="B167:B168"/>
    <mergeCell ref="C167:C168"/>
    <mergeCell ref="D167:D168"/>
    <mergeCell ref="G71:G72"/>
    <mergeCell ref="H71:H72"/>
    <mergeCell ref="I71:I72"/>
    <mergeCell ref="J71:J72"/>
    <mergeCell ref="G79:G80"/>
    <mergeCell ref="H79:H80"/>
    <mergeCell ref="I79:I80"/>
    <mergeCell ref="J79:J80"/>
    <mergeCell ref="G73:G74"/>
    <mergeCell ref="H73:H74"/>
    <mergeCell ref="I73:I74"/>
    <mergeCell ref="J73:J74"/>
    <mergeCell ref="G75:G76"/>
    <mergeCell ref="H75:H76"/>
    <mergeCell ref="I75:I76"/>
    <mergeCell ref="J75:J76"/>
    <mergeCell ref="G77:G78"/>
    <mergeCell ref="H77:H78"/>
    <mergeCell ref="I1:J1"/>
    <mergeCell ref="I2:J2"/>
    <mergeCell ref="I3:J3"/>
    <mergeCell ref="A5:J5"/>
    <mergeCell ref="A8:J8"/>
    <mergeCell ref="A25:A26"/>
    <mergeCell ref="B25:B26"/>
    <mergeCell ref="C25:C26"/>
    <mergeCell ref="E25:E26"/>
    <mergeCell ref="F25:F26"/>
    <mergeCell ref="H25:H26"/>
    <mergeCell ref="I25:I26"/>
    <mergeCell ref="J25:J26"/>
    <mergeCell ref="G25:G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J77:J78"/>
    <mergeCell ref="G86:G87"/>
    <mergeCell ref="H86:H87"/>
    <mergeCell ref="I86:I87"/>
    <mergeCell ref="J86:J87"/>
    <mergeCell ref="G88:G89"/>
    <mergeCell ref="H88:H89"/>
    <mergeCell ref="I88:I89"/>
    <mergeCell ref="J88:J89"/>
    <mergeCell ref="G82:G83"/>
    <mergeCell ref="H82:H83"/>
    <mergeCell ref="I82:I83"/>
    <mergeCell ref="J82:J83"/>
    <mergeCell ref="G84:G85"/>
    <mergeCell ref="H84:H85"/>
    <mergeCell ref="I84:I85"/>
    <mergeCell ref="J84:J85"/>
    <mergeCell ref="I77:I78"/>
    <mergeCell ref="D260:J260"/>
    <mergeCell ref="A254:J254"/>
    <mergeCell ref="G90:G91"/>
    <mergeCell ref="H90:H91"/>
    <mergeCell ref="I90:I91"/>
    <mergeCell ref="J90:J91"/>
    <mergeCell ref="A124:A125"/>
    <mergeCell ref="B124:B125"/>
    <mergeCell ref="C124:C125"/>
    <mergeCell ref="E124:E125"/>
    <mergeCell ref="F124:F125"/>
    <mergeCell ref="G124:G125"/>
    <mergeCell ref="H124:H125"/>
    <mergeCell ref="I124:I125"/>
    <mergeCell ref="J124:J125"/>
    <mergeCell ref="A171:A172"/>
    <mergeCell ref="B171:B172"/>
    <mergeCell ref="C171:C172"/>
    <mergeCell ref="D171:D172"/>
    <mergeCell ref="G171:G172"/>
    <mergeCell ref="A164:A165"/>
    <mergeCell ref="B164:B165"/>
    <mergeCell ref="C164:C165"/>
    <mergeCell ref="D164:D165"/>
    <mergeCell ref="H171:H172"/>
    <mergeCell ref="I171:I172"/>
    <mergeCell ref="J171:J172"/>
    <mergeCell ref="A174:A175"/>
    <mergeCell ref="B174:B175"/>
    <mergeCell ref="C174:C175"/>
    <mergeCell ref="E174:E175"/>
    <mergeCell ref="F174:F175"/>
    <mergeCell ref="G174:G175"/>
    <mergeCell ref="H174:H175"/>
    <mergeCell ref="I174:I175"/>
    <mergeCell ref="J174:J175"/>
    <mergeCell ref="J63:J64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6" manualBreakCount="6">
    <brk id="22" max="9" man="1"/>
    <brk id="39" max="9" man="1"/>
    <brk id="113" max="9" man="1"/>
    <brk id="144" max="9" man="1"/>
    <brk id="196" max="9" man="1"/>
    <brk id="25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E164"/>
  <sheetViews>
    <sheetView view="pageBreakPreview" zoomScale="85" zoomScaleNormal="85" zoomScaleSheetLayoutView="85" workbookViewId="0">
      <selection activeCell="C3" sqref="C3:D3"/>
    </sheetView>
  </sheetViews>
  <sheetFormatPr defaultColWidth="9.140625" defaultRowHeight="12.75" x14ac:dyDescent="0.2"/>
  <cols>
    <col min="1" max="1" width="18.140625" style="30" customWidth="1"/>
    <col min="2" max="2" width="108" style="30" customWidth="1"/>
    <col min="3" max="3" width="4" style="30" hidden="1" customWidth="1"/>
    <col min="4" max="4" width="17" style="30" customWidth="1"/>
    <col min="5" max="5" width="52.5703125" style="30" customWidth="1"/>
    <col min="6" max="16384" width="9.140625" style="30"/>
  </cols>
  <sheetData>
    <row r="1" spans="1:4" ht="16.5" customHeight="1" x14ac:dyDescent="0.2">
      <c r="C1" s="732" t="s">
        <v>726</v>
      </c>
      <c r="D1" s="732"/>
    </row>
    <row r="2" spans="1:4" ht="16.5" customHeight="1" x14ac:dyDescent="0.2">
      <c r="C2" s="889" t="s">
        <v>1394</v>
      </c>
      <c r="D2" s="890"/>
    </row>
    <row r="3" spans="1:4" ht="12.75" customHeight="1" x14ac:dyDescent="0.2">
      <c r="C3" s="732" t="s">
        <v>1395</v>
      </c>
      <c r="D3" s="884"/>
    </row>
    <row r="4" spans="1:4" ht="12.75" customHeight="1" x14ac:dyDescent="0.2">
      <c r="C4" s="732"/>
      <c r="D4" s="734"/>
    </row>
    <row r="5" spans="1:4" ht="16.5" x14ac:dyDescent="0.2">
      <c r="A5" s="866" t="s">
        <v>683</v>
      </c>
      <c r="B5" s="866"/>
      <c r="C5" s="866"/>
      <c r="D5" s="734"/>
    </row>
    <row r="6" spans="1:4" s="144" customFormat="1" ht="16.5" x14ac:dyDescent="0.2">
      <c r="A6" s="866" t="s">
        <v>682</v>
      </c>
      <c r="B6" s="866"/>
      <c r="C6" s="866"/>
      <c r="D6" s="734"/>
    </row>
    <row r="7" spans="1:4" ht="16.5" x14ac:dyDescent="0.2">
      <c r="A7" s="867" t="s">
        <v>141</v>
      </c>
      <c r="B7" s="867"/>
      <c r="C7" s="867"/>
      <c r="D7" s="769"/>
    </row>
    <row r="8" spans="1:4" ht="16.5" x14ac:dyDescent="0.2">
      <c r="A8" s="867" t="s">
        <v>622</v>
      </c>
      <c r="B8" s="867"/>
      <c r="C8" s="867"/>
      <c r="D8" s="769"/>
    </row>
    <row r="9" spans="1:4" s="77" customFormat="1" ht="16.5" x14ac:dyDescent="0.2">
      <c r="A9" s="78"/>
      <c r="B9" s="78"/>
      <c r="C9" s="78"/>
      <c r="D9" s="74"/>
    </row>
    <row r="10" spans="1:4" s="77" customFormat="1" ht="16.5" x14ac:dyDescent="0.2">
      <c r="A10" s="83">
        <v>22564000000</v>
      </c>
      <c r="B10" s="82"/>
      <c r="C10" s="78"/>
      <c r="D10" s="74"/>
    </row>
    <row r="11" spans="1:4" s="77" customFormat="1" ht="16.5" x14ac:dyDescent="0.2">
      <c r="A11" s="84" t="s">
        <v>537</v>
      </c>
      <c r="B11" s="81"/>
      <c r="C11" s="78"/>
      <c r="D11" s="74"/>
    </row>
    <row r="12" spans="1:4" ht="16.5" thickBot="1" x14ac:dyDescent="0.25">
      <c r="A12" s="70"/>
      <c r="B12" s="70"/>
      <c r="C12" s="71"/>
      <c r="D12" s="71" t="s">
        <v>433</v>
      </c>
    </row>
    <row r="13" spans="1:4" s="31" customFormat="1" ht="50.25" customHeight="1" thickTop="1" thickBot="1" x14ac:dyDescent="0.25">
      <c r="A13" s="156" t="s">
        <v>142</v>
      </c>
      <c r="B13" s="887" t="s">
        <v>143</v>
      </c>
      <c r="C13" s="886"/>
      <c r="D13" s="886"/>
    </row>
    <row r="14" spans="1:4" s="31" customFormat="1" ht="39.75" customHeight="1" thickTop="1" thickBot="1" x14ac:dyDescent="0.25">
      <c r="A14" s="85" t="s">
        <v>144</v>
      </c>
      <c r="B14" s="864" t="s">
        <v>145</v>
      </c>
      <c r="C14" s="865"/>
      <c r="D14" s="86">
        <v>100</v>
      </c>
    </row>
    <row r="15" spans="1:4" s="31" customFormat="1" ht="40.700000000000003" customHeight="1" thickTop="1" thickBot="1" x14ac:dyDescent="0.25">
      <c r="A15" s="85" t="s">
        <v>146</v>
      </c>
      <c r="B15" s="864" t="s">
        <v>147</v>
      </c>
      <c r="C15" s="865"/>
      <c r="D15" s="86">
        <v>4200000</v>
      </c>
    </row>
    <row r="16" spans="1:4" s="31" customFormat="1" ht="17.25" hidden="1" customHeight="1" thickTop="1" thickBot="1" x14ac:dyDescent="0.25">
      <c r="A16" s="85" t="s">
        <v>148</v>
      </c>
      <c r="B16" s="864" t="s">
        <v>149</v>
      </c>
      <c r="C16" s="865"/>
      <c r="D16" s="86">
        <v>0</v>
      </c>
    </row>
    <row r="17" spans="1:4" s="31" customFormat="1" ht="41.25" customHeight="1" thickTop="1" thickBot="1" x14ac:dyDescent="0.25">
      <c r="A17" s="688" t="s">
        <v>1346</v>
      </c>
      <c r="B17" s="723" t="s">
        <v>1347</v>
      </c>
      <c r="C17" s="689"/>
      <c r="D17" s="86">
        <v>2300000</v>
      </c>
    </row>
    <row r="18" spans="1:4" s="31" customFormat="1" ht="41.25" customHeight="1" thickTop="1" thickBot="1" x14ac:dyDescent="0.25">
      <c r="A18" s="85" t="s">
        <v>150</v>
      </c>
      <c r="B18" s="864" t="s">
        <v>151</v>
      </c>
      <c r="C18" s="865"/>
      <c r="D18" s="86">
        <v>1100</v>
      </c>
    </row>
    <row r="19" spans="1:4" s="31" customFormat="1" ht="26.45" customHeight="1" thickTop="1" thickBot="1" x14ac:dyDescent="0.25">
      <c r="A19" s="85"/>
      <c r="B19" s="870" t="s">
        <v>152</v>
      </c>
      <c r="C19" s="865"/>
      <c r="D19" s="87">
        <f>SUM(D14:D18)</f>
        <v>6501200</v>
      </c>
    </row>
    <row r="20" spans="1:4" s="31" customFormat="1" ht="26.45" hidden="1" customHeight="1" thickTop="1" thickBot="1" x14ac:dyDescent="0.25">
      <c r="A20" s="85"/>
      <c r="B20" s="870" t="s">
        <v>473</v>
      </c>
      <c r="C20" s="865"/>
      <c r="D20" s="87"/>
    </row>
    <row r="21" spans="1:4" s="31" customFormat="1" ht="26.45" customHeight="1" thickTop="1" thickBot="1" x14ac:dyDescent="0.25">
      <c r="A21" s="97"/>
      <c r="B21" s="870" t="s">
        <v>623</v>
      </c>
      <c r="C21" s="865"/>
      <c r="D21" s="87">
        <v>1155966.58</v>
      </c>
    </row>
    <row r="22" spans="1:4" s="31" customFormat="1" ht="26.45" customHeight="1" thickTop="1" thickBot="1" x14ac:dyDescent="0.25">
      <c r="A22" s="89" t="s">
        <v>410</v>
      </c>
      <c r="B22" s="873" t="s">
        <v>541</v>
      </c>
      <c r="C22" s="888"/>
      <c r="D22" s="88">
        <f>D19+D21</f>
        <v>7657166.5800000001</v>
      </c>
    </row>
    <row r="23" spans="1:4" s="31" customFormat="1" ht="47.25" customHeight="1" thickTop="1" thickBot="1" x14ac:dyDescent="0.25">
      <c r="A23" s="156" t="s">
        <v>142</v>
      </c>
      <c r="B23" s="885" t="s">
        <v>153</v>
      </c>
      <c r="C23" s="886"/>
      <c r="D23" s="886"/>
    </row>
    <row r="24" spans="1:4" s="31" customFormat="1" ht="43.5" customHeight="1" thickTop="1" thickBot="1" x14ac:dyDescent="0.25">
      <c r="A24" s="133" t="s">
        <v>154</v>
      </c>
      <c r="B24" s="864" t="s">
        <v>155</v>
      </c>
      <c r="C24" s="877"/>
      <c r="D24" s="86">
        <v>114000</v>
      </c>
    </row>
    <row r="25" spans="1:4" s="31" customFormat="1" ht="44.45" customHeight="1" thickTop="1" thickBot="1" x14ac:dyDescent="0.25">
      <c r="A25" s="133" t="s">
        <v>156</v>
      </c>
      <c r="B25" s="864" t="s">
        <v>157</v>
      </c>
      <c r="C25" s="877"/>
      <c r="D25" s="86">
        <f>(126000)+18000</f>
        <v>144000</v>
      </c>
    </row>
    <row r="26" spans="1:4" s="31" customFormat="1" ht="44.45" customHeight="1" thickTop="1" thickBot="1" x14ac:dyDescent="0.25">
      <c r="A26" s="133" t="s">
        <v>516</v>
      </c>
      <c r="B26" s="864" t="s">
        <v>439</v>
      </c>
      <c r="C26" s="877"/>
      <c r="D26" s="86">
        <v>322000</v>
      </c>
    </row>
    <row r="27" spans="1:4" s="31" customFormat="1" ht="32.25" customHeight="1" thickTop="1" thickBot="1" x14ac:dyDescent="0.25">
      <c r="A27" s="133" t="s">
        <v>158</v>
      </c>
      <c r="B27" s="864" t="s">
        <v>160</v>
      </c>
      <c r="C27" s="877"/>
      <c r="D27" s="86">
        <v>268330</v>
      </c>
    </row>
    <row r="28" spans="1:4" s="31" customFormat="1" ht="55.5" customHeight="1" thickTop="1" thickBot="1" x14ac:dyDescent="0.25">
      <c r="A28" s="133" t="s">
        <v>159</v>
      </c>
      <c r="B28" s="864" t="s">
        <v>474</v>
      </c>
      <c r="C28" s="877"/>
      <c r="D28" s="86">
        <f>((190000+1753600)+1137966.58)-450000-580522+50000</f>
        <v>2101044.58</v>
      </c>
    </row>
    <row r="29" spans="1:4" s="31" customFormat="1" ht="76.5" customHeight="1" thickTop="1" thickBot="1" x14ac:dyDescent="0.25">
      <c r="A29" s="133" t="s">
        <v>161</v>
      </c>
      <c r="B29" s="864" t="s">
        <v>162</v>
      </c>
      <c r="C29" s="877"/>
      <c r="D29" s="86">
        <f>(190000)+800000</f>
        <v>990000</v>
      </c>
    </row>
    <row r="30" spans="1:4" s="31" customFormat="1" ht="76.5" customHeight="1" thickTop="1" thickBot="1" x14ac:dyDescent="0.25">
      <c r="A30" s="674" t="s">
        <v>1308</v>
      </c>
      <c r="B30" s="672" t="s">
        <v>1309</v>
      </c>
      <c r="C30" s="673"/>
      <c r="D30" s="86">
        <f>980522+1500000</f>
        <v>2480522</v>
      </c>
    </row>
    <row r="31" spans="1:4" s="31" customFormat="1" ht="48" customHeight="1" thickTop="1" thickBot="1" x14ac:dyDescent="0.25">
      <c r="A31" s="133" t="s">
        <v>517</v>
      </c>
      <c r="B31" s="864" t="s">
        <v>163</v>
      </c>
      <c r="C31" s="877"/>
      <c r="D31" s="86">
        <v>49000</v>
      </c>
    </row>
    <row r="32" spans="1:4" s="31" customFormat="1" ht="54" customHeight="1" thickTop="1" thickBot="1" x14ac:dyDescent="0.3">
      <c r="A32" s="878" t="s">
        <v>518</v>
      </c>
      <c r="B32" s="875" t="s">
        <v>515</v>
      </c>
      <c r="C32" s="876"/>
      <c r="D32" s="880">
        <v>1188270</v>
      </c>
    </row>
    <row r="33" spans="1:4" s="31" customFormat="1" ht="54" customHeight="1" thickTop="1" thickBot="1" x14ac:dyDescent="0.25">
      <c r="A33" s="879"/>
      <c r="B33" s="871" t="s">
        <v>514</v>
      </c>
      <c r="C33" s="872"/>
      <c r="D33" s="881"/>
    </row>
    <row r="34" spans="1:4" s="31" customFormat="1" ht="27.75" customHeight="1" thickTop="1" thickBot="1" x14ac:dyDescent="0.25">
      <c r="A34" s="89" t="s">
        <v>410</v>
      </c>
      <c r="B34" s="873" t="s">
        <v>541</v>
      </c>
      <c r="C34" s="874"/>
      <c r="D34" s="88">
        <f>SUM(D24:D33)</f>
        <v>7657166.5800000001</v>
      </c>
    </row>
    <row r="35" spans="1:4" s="108" customFormat="1" ht="27.75" customHeight="1" thickTop="1" x14ac:dyDescent="0.2">
      <c r="A35" s="104"/>
      <c r="B35" s="105"/>
      <c r="C35" s="106"/>
      <c r="D35" s="107"/>
    </row>
    <row r="36" spans="1:4" ht="19.5" customHeight="1" x14ac:dyDescent="0.25">
      <c r="B36" s="882" t="s">
        <v>1376</v>
      </c>
      <c r="C36" s="883"/>
      <c r="D36" s="656" t="s">
        <v>1377</v>
      </c>
    </row>
    <row r="37" spans="1:4" ht="16.5" x14ac:dyDescent="0.2">
      <c r="B37" s="129"/>
      <c r="C37" s="130"/>
      <c r="D37" s="130"/>
    </row>
    <row r="38" spans="1:4" ht="18.75" x14ac:dyDescent="0.2">
      <c r="A38" s="61" t="s">
        <v>613</v>
      </c>
      <c r="B38" s="522" t="s">
        <v>609</v>
      </c>
      <c r="C38" s="523" t="s">
        <v>610</v>
      </c>
      <c r="D38" s="524" t="s">
        <v>610</v>
      </c>
    </row>
    <row r="39" spans="1:4" ht="18.75" x14ac:dyDescent="0.2">
      <c r="A39" s="61"/>
      <c r="B39" s="61"/>
      <c r="C39" s="61"/>
    </row>
    <row r="40" spans="1:4" ht="18.75" x14ac:dyDescent="0.2">
      <c r="A40" s="869"/>
      <c r="B40" s="869"/>
      <c r="C40" s="60"/>
    </row>
    <row r="46" spans="1:4" ht="16.5" x14ac:dyDescent="0.2">
      <c r="A46" s="868"/>
      <c r="B46" s="32"/>
      <c r="C46" s="33"/>
      <c r="D46" s="34"/>
    </row>
    <row r="47" spans="1:4" ht="16.5" x14ac:dyDescent="0.2">
      <c r="A47" s="868"/>
      <c r="B47" s="35"/>
      <c r="C47" s="33"/>
      <c r="D47" s="34"/>
    </row>
    <row r="48" spans="1:4" ht="16.5" x14ac:dyDescent="0.2">
      <c r="A48" s="868"/>
      <c r="B48" s="36"/>
      <c r="C48" s="33"/>
      <c r="D48" s="34"/>
    </row>
    <row r="49" spans="1:4" ht="16.5" x14ac:dyDescent="0.2">
      <c r="A49" s="868"/>
      <c r="B49" s="32"/>
      <c r="C49" s="33"/>
      <c r="D49" s="34"/>
    </row>
    <row r="50" spans="1:4" ht="16.5" x14ac:dyDescent="0.2">
      <c r="A50" s="868"/>
      <c r="B50" s="32"/>
      <c r="C50" s="33"/>
      <c r="D50" s="34"/>
    </row>
    <row r="164" spans="5:5" ht="90" x14ac:dyDescent="0.2">
      <c r="E164" s="67" t="e">
        <f>#REF!=#REF!+#REF!</f>
        <v>#REF!</v>
      </c>
    </row>
  </sheetData>
  <mergeCells count="33">
    <mergeCell ref="D32:D33"/>
    <mergeCell ref="B21:C21"/>
    <mergeCell ref="B36:C36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D2"/>
    <mergeCell ref="B18:C18"/>
    <mergeCell ref="A8:D8"/>
    <mergeCell ref="A46:A50"/>
    <mergeCell ref="A40:B40"/>
    <mergeCell ref="B20:C20"/>
    <mergeCell ref="B19:C19"/>
    <mergeCell ref="B33:C33"/>
    <mergeCell ref="B34:C34"/>
    <mergeCell ref="B32:C32"/>
    <mergeCell ref="B31:C31"/>
    <mergeCell ref="B29:C29"/>
    <mergeCell ref="B28:C28"/>
    <mergeCell ref="A32:A33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zoomScale="85" zoomScaleNormal="85" zoomScaleSheetLayoutView="85" workbookViewId="0">
      <selection activeCell="E12" sqref="E12"/>
    </sheetView>
  </sheetViews>
  <sheetFormatPr defaultColWidth="9.140625" defaultRowHeight="12.75" x14ac:dyDescent="0.2"/>
  <cols>
    <col min="1" max="1" width="6.85546875" style="98" customWidth="1"/>
    <col min="2" max="2" width="15.140625" style="98" customWidth="1"/>
    <col min="3" max="3" width="15.28515625" style="98" customWidth="1"/>
    <col min="4" max="4" width="10.85546875" style="98" customWidth="1"/>
    <col min="5" max="5" width="58.140625" style="98" customWidth="1"/>
    <col min="6" max="6" width="15.85546875" style="98" customWidth="1"/>
    <col min="7" max="16384" width="9.140625" style="98"/>
  </cols>
  <sheetData>
    <row r="1" spans="1:6" x14ac:dyDescent="0.2">
      <c r="A1" s="38"/>
      <c r="B1" s="38"/>
      <c r="C1" s="38"/>
      <c r="D1" s="38"/>
      <c r="E1" s="38"/>
      <c r="F1" s="38" t="s">
        <v>727</v>
      </c>
    </row>
    <row r="2" spans="1:6" x14ac:dyDescent="0.2">
      <c r="A2" s="38"/>
      <c r="B2" s="38"/>
      <c r="C2" s="38"/>
      <c r="D2" s="38"/>
      <c r="E2" s="38"/>
      <c r="F2" s="38" t="s">
        <v>1394</v>
      </c>
    </row>
    <row r="3" spans="1:6" x14ac:dyDescent="0.2">
      <c r="A3" s="38"/>
      <c r="B3" s="38"/>
      <c r="C3" s="38"/>
      <c r="D3" s="38"/>
      <c r="E3" s="38"/>
      <c r="F3" s="731" t="s">
        <v>1396</v>
      </c>
    </row>
    <row r="4" spans="1:6" ht="15.75" x14ac:dyDescent="0.25">
      <c r="A4" s="895" t="s">
        <v>685</v>
      </c>
      <c r="B4" s="896"/>
      <c r="C4" s="896"/>
      <c r="D4" s="896"/>
      <c r="E4" s="896"/>
      <c r="F4" s="896"/>
    </row>
    <row r="5" spans="1:6" s="138" customFormat="1" ht="15.75" x14ac:dyDescent="0.25">
      <c r="A5" s="895" t="s">
        <v>684</v>
      </c>
      <c r="B5" s="896"/>
      <c r="C5" s="896"/>
      <c r="D5" s="896"/>
      <c r="E5" s="896"/>
      <c r="F5" s="896"/>
    </row>
    <row r="6" spans="1:6" ht="15.75" x14ac:dyDescent="0.25">
      <c r="A6" s="895" t="s">
        <v>1080</v>
      </c>
      <c r="B6" s="896"/>
      <c r="C6" s="896"/>
      <c r="D6" s="896"/>
      <c r="E6" s="896"/>
      <c r="F6" s="896"/>
    </row>
    <row r="7" spans="1:6" ht="15.75" x14ac:dyDescent="0.25">
      <c r="B7" s="409"/>
      <c r="C7" s="895" t="s">
        <v>1079</v>
      </c>
      <c r="D7" s="896"/>
      <c r="E7" s="896"/>
      <c r="F7" s="409"/>
    </row>
    <row r="8" spans="1:6" ht="12.75" customHeight="1" x14ac:dyDescent="0.25">
      <c r="A8" s="410"/>
      <c r="B8" s="410"/>
      <c r="C8" s="410"/>
      <c r="D8" s="410"/>
      <c r="E8" s="410"/>
      <c r="F8" s="410"/>
    </row>
    <row r="9" spans="1:6" x14ac:dyDescent="0.2">
      <c r="A9" s="897">
        <v>22564000000</v>
      </c>
      <c r="B9" s="736"/>
      <c r="C9" s="100"/>
      <c r="D9" s="100"/>
      <c r="E9" s="100"/>
      <c r="F9" s="100"/>
    </row>
    <row r="10" spans="1:6" x14ac:dyDescent="0.2">
      <c r="A10" s="898" t="s">
        <v>537</v>
      </c>
      <c r="B10" s="899"/>
      <c r="C10" s="100"/>
      <c r="D10" s="100"/>
      <c r="E10" s="100"/>
      <c r="F10" s="100"/>
    </row>
    <row r="11" spans="1:6" ht="13.5" thickBot="1" x14ac:dyDescent="0.25">
      <c r="A11" s="99"/>
      <c r="B11" s="99"/>
      <c r="C11" s="100"/>
      <c r="D11" s="100"/>
      <c r="E11" s="100"/>
      <c r="F11" s="100"/>
    </row>
    <row r="12" spans="1:6" ht="48" customHeight="1" thickTop="1" thickBot="1" x14ac:dyDescent="0.25">
      <c r="A12" s="153" t="s">
        <v>342</v>
      </c>
      <c r="B12" s="154" t="s">
        <v>343</v>
      </c>
      <c r="C12" s="154" t="s">
        <v>20</v>
      </c>
      <c r="D12" s="154" t="s">
        <v>16</v>
      </c>
      <c r="E12" s="153" t="s">
        <v>344</v>
      </c>
      <c r="F12" s="155" t="s">
        <v>434</v>
      </c>
    </row>
    <row r="13" spans="1:6" ht="17.25" thickTop="1" thickBot="1" x14ac:dyDescent="0.25">
      <c r="A13" s="160">
        <v>1</v>
      </c>
      <c r="B13" s="382" t="s">
        <v>331</v>
      </c>
      <c r="C13" s="382" t="s">
        <v>332</v>
      </c>
      <c r="D13" s="382" t="s">
        <v>54</v>
      </c>
      <c r="E13" s="382" t="s">
        <v>1111</v>
      </c>
      <c r="F13" s="383">
        <f>100900+50000</f>
        <v>150900</v>
      </c>
    </row>
    <row r="14" spans="1:6" ht="17.25" thickTop="1" thickBot="1" x14ac:dyDescent="0.25">
      <c r="A14" s="160">
        <v>2</v>
      </c>
      <c r="B14" s="382" t="s">
        <v>331</v>
      </c>
      <c r="C14" s="382" t="s">
        <v>332</v>
      </c>
      <c r="D14" s="382" t="s">
        <v>54</v>
      </c>
      <c r="E14" s="382" t="s">
        <v>573</v>
      </c>
      <c r="F14" s="383">
        <f>100000+60000</f>
        <v>160000</v>
      </c>
    </row>
    <row r="15" spans="1:6" ht="64.5" thickTop="1" thickBot="1" x14ac:dyDescent="0.25">
      <c r="A15" s="160">
        <v>3</v>
      </c>
      <c r="B15" s="382" t="s">
        <v>331</v>
      </c>
      <c r="C15" s="382" t="s">
        <v>332</v>
      </c>
      <c r="D15" s="382" t="s">
        <v>54</v>
      </c>
      <c r="E15" s="382" t="s">
        <v>1112</v>
      </c>
      <c r="F15" s="383">
        <v>48000</v>
      </c>
    </row>
    <row r="16" spans="1:6" s="435" customFormat="1" ht="17.25" thickTop="1" thickBot="1" x14ac:dyDescent="0.25">
      <c r="A16" s="160">
        <v>4</v>
      </c>
      <c r="B16" s="382" t="s">
        <v>331</v>
      </c>
      <c r="C16" s="382" t="s">
        <v>332</v>
      </c>
      <c r="D16" s="382" t="s">
        <v>54</v>
      </c>
      <c r="E16" s="382" t="s">
        <v>1113</v>
      </c>
      <c r="F16" s="383">
        <v>45000</v>
      </c>
    </row>
    <row r="17" spans="1:6" s="435" customFormat="1" ht="80.25" thickTop="1" thickBot="1" x14ac:dyDescent="0.25">
      <c r="A17" s="160">
        <v>5</v>
      </c>
      <c r="B17" s="382" t="s">
        <v>510</v>
      </c>
      <c r="C17" s="382" t="s">
        <v>511</v>
      </c>
      <c r="D17" s="382" t="s">
        <v>509</v>
      </c>
      <c r="E17" s="382" t="s">
        <v>634</v>
      </c>
      <c r="F17" s="383">
        <f>70000+45000+196238.96</f>
        <v>311238.95999999996</v>
      </c>
    </row>
    <row r="18" spans="1:6" s="435" customFormat="1" ht="64.5" thickTop="1" thickBot="1" x14ac:dyDescent="0.25">
      <c r="A18" s="160">
        <v>6</v>
      </c>
      <c r="B18" s="382" t="s">
        <v>510</v>
      </c>
      <c r="C18" s="382" t="s">
        <v>511</v>
      </c>
      <c r="D18" s="382" t="s">
        <v>509</v>
      </c>
      <c r="E18" s="382" t="s">
        <v>1114</v>
      </c>
      <c r="F18" s="383">
        <v>50000</v>
      </c>
    </row>
    <row r="19" spans="1:6" s="435" customFormat="1" ht="33" thickTop="1" thickBot="1" x14ac:dyDescent="0.25">
      <c r="A19" s="160">
        <v>7</v>
      </c>
      <c r="B19" s="382" t="s">
        <v>571</v>
      </c>
      <c r="C19" s="382" t="s">
        <v>569</v>
      </c>
      <c r="D19" s="382" t="s">
        <v>572</v>
      </c>
      <c r="E19" s="382" t="s">
        <v>635</v>
      </c>
      <c r="F19" s="383">
        <v>5000</v>
      </c>
    </row>
    <row r="20" spans="1:6" s="435" customFormat="1" ht="33" thickTop="1" thickBot="1" x14ac:dyDescent="0.25">
      <c r="A20" s="160">
        <v>8</v>
      </c>
      <c r="B20" s="382" t="s">
        <v>571</v>
      </c>
      <c r="C20" s="382" t="s">
        <v>569</v>
      </c>
      <c r="D20" s="382" t="s">
        <v>572</v>
      </c>
      <c r="E20" s="382" t="s">
        <v>636</v>
      </c>
      <c r="F20" s="383">
        <v>120000</v>
      </c>
    </row>
    <row r="21" spans="1:6" s="435" customFormat="1" ht="64.5" thickTop="1" thickBot="1" x14ac:dyDescent="0.25">
      <c r="A21" s="160">
        <v>9</v>
      </c>
      <c r="B21" s="382" t="s">
        <v>571</v>
      </c>
      <c r="C21" s="382" t="s">
        <v>569</v>
      </c>
      <c r="D21" s="382" t="s">
        <v>572</v>
      </c>
      <c r="E21" s="382" t="s">
        <v>1115</v>
      </c>
      <c r="F21" s="383">
        <v>50000</v>
      </c>
    </row>
    <row r="22" spans="1:6" s="435" customFormat="1" ht="80.25" thickTop="1" thickBot="1" x14ac:dyDescent="0.25">
      <c r="A22" s="160">
        <v>10</v>
      </c>
      <c r="B22" s="382" t="s">
        <v>333</v>
      </c>
      <c r="C22" s="382" t="s">
        <v>334</v>
      </c>
      <c r="D22" s="382" t="s">
        <v>56</v>
      </c>
      <c r="E22" s="382" t="s">
        <v>435</v>
      </c>
      <c r="F22" s="383">
        <v>92500</v>
      </c>
    </row>
    <row r="23" spans="1:6" s="435" customFormat="1" ht="33" thickTop="1" thickBot="1" x14ac:dyDescent="0.25">
      <c r="A23" s="160">
        <v>11</v>
      </c>
      <c r="B23" s="382" t="s">
        <v>333</v>
      </c>
      <c r="C23" s="382" t="s">
        <v>334</v>
      </c>
      <c r="D23" s="382" t="s">
        <v>56</v>
      </c>
      <c r="E23" s="382" t="s">
        <v>637</v>
      </c>
      <c r="F23" s="383">
        <v>35000</v>
      </c>
    </row>
    <row r="24" spans="1:6" s="435" customFormat="1" ht="48.75" thickTop="1" thickBot="1" x14ac:dyDescent="0.25">
      <c r="A24" s="160">
        <v>12</v>
      </c>
      <c r="B24" s="382" t="s">
        <v>333</v>
      </c>
      <c r="C24" s="382" t="s">
        <v>334</v>
      </c>
      <c r="D24" s="382" t="s">
        <v>56</v>
      </c>
      <c r="E24" s="382" t="s">
        <v>639</v>
      </c>
      <c r="F24" s="383">
        <v>19500</v>
      </c>
    </row>
    <row r="25" spans="1:6" s="435" customFormat="1" ht="33" thickTop="1" thickBot="1" x14ac:dyDescent="0.25">
      <c r="A25" s="160">
        <v>13</v>
      </c>
      <c r="B25" s="382" t="s">
        <v>333</v>
      </c>
      <c r="C25" s="382" t="s">
        <v>334</v>
      </c>
      <c r="D25" s="382" t="s">
        <v>56</v>
      </c>
      <c r="E25" s="382" t="s">
        <v>638</v>
      </c>
      <c r="F25" s="383">
        <f>40000+60000</f>
        <v>100000</v>
      </c>
    </row>
    <row r="26" spans="1:6" s="435" customFormat="1" ht="48.75" thickTop="1" thickBot="1" x14ac:dyDescent="0.25">
      <c r="A26" s="160">
        <v>14</v>
      </c>
      <c r="B26" s="382" t="s">
        <v>333</v>
      </c>
      <c r="C26" s="382" t="s">
        <v>334</v>
      </c>
      <c r="D26" s="382" t="s">
        <v>56</v>
      </c>
      <c r="E26" s="382" t="s">
        <v>1116</v>
      </c>
      <c r="F26" s="383">
        <v>48000</v>
      </c>
    </row>
    <row r="27" spans="1:6" s="435" customFormat="1" ht="33" thickTop="1" thickBot="1" x14ac:dyDescent="0.25">
      <c r="A27" s="160">
        <v>15</v>
      </c>
      <c r="B27" s="382" t="s">
        <v>333</v>
      </c>
      <c r="C27" s="382" t="s">
        <v>334</v>
      </c>
      <c r="D27" s="382" t="s">
        <v>56</v>
      </c>
      <c r="E27" s="382" t="s">
        <v>1117</v>
      </c>
      <c r="F27" s="383">
        <v>50000</v>
      </c>
    </row>
    <row r="28" spans="1:6" s="435" customFormat="1" ht="33" thickTop="1" thickBot="1" x14ac:dyDescent="0.25">
      <c r="A28" s="160">
        <v>16</v>
      </c>
      <c r="B28" s="382" t="s">
        <v>333</v>
      </c>
      <c r="C28" s="382" t="s">
        <v>334</v>
      </c>
      <c r="D28" s="382" t="s">
        <v>56</v>
      </c>
      <c r="E28" s="382" t="s">
        <v>1118</v>
      </c>
      <c r="F28" s="383">
        <v>200000</v>
      </c>
    </row>
    <row r="29" spans="1:6" ht="17.25" thickTop="1" thickBot="1" x14ac:dyDescent="0.25">
      <c r="A29" s="161" t="s">
        <v>410</v>
      </c>
      <c r="B29" s="161" t="s">
        <v>410</v>
      </c>
      <c r="C29" s="161" t="s">
        <v>410</v>
      </c>
      <c r="D29" s="161" t="s">
        <v>410</v>
      </c>
      <c r="E29" s="162" t="s">
        <v>420</v>
      </c>
      <c r="F29" s="163">
        <f>SUM(F13:F28)</f>
        <v>1485138.96</v>
      </c>
    </row>
    <row r="30" spans="1:6" ht="16.5" thickTop="1" x14ac:dyDescent="0.2">
      <c r="A30" s="41"/>
      <c r="B30" s="41"/>
      <c r="C30" s="41"/>
      <c r="D30" s="41"/>
      <c r="E30" s="41"/>
      <c r="F30" s="42"/>
    </row>
    <row r="31" spans="1:6" s="72" customFormat="1" ht="15.75" x14ac:dyDescent="0.25">
      <c r="A31" s="57"/>
      <c r="B31" s="900" t="s">
        <v>1376</v>
      </c>
      <c r="C31" s="901"/>
      <c r="D31" s="612"/>
      <c r="E31" s="131"/>
      <c r="F31" s="612" t="s">
        <v>1379</v>
      </c>
    </row>
    <row r="32" spans="1:6" ht="27" hidden="1" customHeight="1" thickTop="1" thickBot="1" x14ac:dyDescent="0.25">
      <c r="A32" s="891" t="s">
        <v>609</v>
      </c>
      <c r="B32" s="892"/>
      <c r="C32" s="892"/>
      <c r="D32" s="892"/>
      <c r="E32" s="57"/>
      <c r="F32" s="59" t="s">
        <v>610</v>
      </c>
    </row>
    <row r="33" spans="1:6" s="121" customFormat="1" ht="15.75" x14ac:dyDescent="0.2">
      <c r="A33" s="651"/>
      <c r="B33" s="651"/>
      <c r="C33" s="651"/>
      <c r="D33" s="651"/>
      <c r="E33" s="57"/>
      <c r="F33" s="58"/>
    </row>
    <row r="34" spans="1:6" s="121" customFormat="1" ht="15.75" x14ac:dyDescent="0.25">
      <c r="A34" s="651"/>
      <c r="B34" s="62" t="s">
        <v>609</v>
      </c>
      <c r="C34" s="131"/>
      <c r="D34" s="651"/>
      <c r="E34" s="57"/>
      <c r="F34" s="131" t="s">
        <v>610</v>
      </c>
    </row>
    <row r="35" spans="1:6" ht="15.75" x14ac:dyDescent="0.25">
      <c r="A35" s="894"/>
      <c r="B35" s="894"/>
      <c r="C35" s="894"/>
      <c r="D35" s="894"/>
      <c r="E35" s="39"/>
      <c r="F35" s="39"/>
    </row>
    <row r="36" spans="1:6" ht="15.75" x14ac:dyDescent="0.2">
      <c r="A36" s="893"/>
      <c r="B36" s="893"/>
      <c r="C36" s="893"/>
      <c r="D36" s="893"/>
      <c r="E36" s="893"/>
      <c r="F36" s="40"/>
    </row>
  </sheetData>
  <mergeCells count="10">
    <mergeCell ref="A32:D32"/>
    <mergeCell ref="A36:E36"/>
    <mergeCell ref="A35:D35"/>
    <mergeCell ref="A4:F4"/>
    <mergeCell ref="A6:F6"/>
    <mergeCell ref="A9:B9"/>
    <mergeCell ref="A10:B10"/>
    <mergeCell ref="A5:F5"/>
    <mergeCell ref="C7:E7"/>
    <mergeCell ref="B31:C31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Кірічук Оксана Володимирівна</cp:lastModifiedBy>
  <cp:lastPrinted>2021-07-06T09:50:16Z</cp:lastPrinted>
  <dcterms:created xsi:type="dcterms:W3CDTF">2001-12-03T09:30:42Z</dcterms:created>
  <dcterms:modified xsi:type="dcterms:W3CDTF">2021-07-12T13:25:34Z</dcterms:modified>
</cp:coreProperties>
</file>