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Рабочий стол\Тарифи на 2021_2022 роки\"/>
    </mc:Choice>
  </mc:AlternateContent>
  <bookViews>
    <workbookView xWindow="0" yWindow="0" windowWidth="20490" windowHeight="5940" activeTab="4"/>
  </bookViews>
  <sheets>
    <sheet name="Теплова енергія" sheetId="4" r:id="rId1"/>
    <sheet name="Виробництво" sheetId="5" r:id="rId2"/>
    <sheet name="Транспортування" sheetId="1" r:id="rId3"/>
    <sheet name="Постачання" sheetId="6" r:id="rId4"/>
    <sheet name="Гаряча вода" sheetId="2" r:id="rId5"/>
    <sheet name="Лист3" sheetId="3" r:id="rId6"/>
  </sheets>
  <calcPr calcId="152511"/>
</workbook>
</file>

<file path=xl/calcChain.xml><?xml version="1.0" encoding="utf-8"?>
<calcChain xmlns="http://schemas.openxmlformats.org/spreadsheetml/2006/main">
  <c r="G24" i="4" l="1"/>
  <c r="F24" i="4"/>
  <c r="E24" i="4"/>
  <c r="G20" i="2" l="1"/>
  <c r="G18" i="2" s="1"/>
  <c r="F20" i="2"/>
  <c r="F18" i="2" s="1"/>
  <c r="E20" i="2"/>
  <c r="E18" i="2" s="1"/>
  <c r="G21" i="2"/>
  <c r="F21" i="2"/>
  <c r="E21" i="2"/>
  <c r="D21" i="2"/>
  <c r="D18" i="2"/>
  <c r="G25" i="2" l="1"/>
  <c r="G16" i="2" s="1"/>
  <c r="F25" i="2"/>
  <c r="F16" i="2" s="1"/>
  <c r="D25" i="2"/>
  <c r="D16" i="2" s="1"/>
  <c r="E25" i="2"/>
  <c r="E16" i="2" s="1"/>
  <c r="G53" i="4"/>
  <c r="F53" i="4"/>
  <c r="E53" i="4"/>
  <c r="D24" i="4" l="1"/>
  <c r="C25" i="4" l="1"/>
  <c r="C33" i="1" l="1"/>
  <c r="C28" i="1"/>
  <c r="C35" i="5"/>
  <c r="C30" i="5"/>
  <c r="C43" i="4"/>
  <c r="C38" i="4"/>
  <c r="C31" i="6" l="1"/>
  <c r="C26" i="6"/>
  <c r="C20" i="6"/>
  <c r="C21" i="6"/>
  <c r="C31" i="1"/>
  <c r="C26" i="1"/>
  <c r="C23" i="1"/>
  <c r="C22" i="1" s="1"/>
  <c r="C17" i="1"/>
  <c r="C16" i="1" l="1"/>
  <c r="C33" i="5"/>
  <c r="C28" i="5"/>
  <c r="C25" i="5"/>
  <c r="C37" i="1" l="1"/>
  <c r="C43" i="1"/>
  <c r="C47" i="1" s="1"/>
  <c r="C44" i="1" s="1"/>
  <c r="C24" i="5"/>
  <c r="C45" i="1" l="1"/>
  <c r="C41" i="4"/>
  <c r="C36" i="4"/>
  <c r="C33" i="4"/>
  <c r="C32" i="4" s="1"/>
  <c r="G19" i="5"/>
  <c r="F19" i="5"/>
  <c r="E19" i="5"/>
  <c r="D19" i="5"/>
  <c r="C24" i="4" l="1"/>
  <c r="C23" i="4" s="1"/>
  <c r="C22" i="4" s="1"/>
  <c r="C48" i="4" l="1"/>
  <c r="C41" i="1" l="1"/>
  <c r="C57" i="5"/>
  <c r="C36" i="6" l="1"/>
  <c r="C49" i="5" l="1"/>
  <c r="C24" i="6" l="1"/>
  <c r="C17" i="6" s="1"/>
  <c r="C29" i="6" l="1"/>
  <c r="C15" i="6" l="1"/>
  <c r="C38" i="6"/>
  <c r="C42" i="6" s="1"/>
  <c r="C39" i="6" s="1"/>
  <c r="L49" i="4"/>
  <c r="L48" i="4"/>
  <c r="L47" i="4"/>
  <c r="L46" i="4"/>
  <c r="L27" i="4"/>
  <c r="L26" i="4"/>
  <c r="L24" i="4"/>
  <c r="K49" i="4"/>
  <c r="J49" i="4"/>
  <c r="I49" i="4"/>
  <c r="K48" i="4"/>
  <c r="J48" i="4"/>
  <c r="I48" i="4"/>
  <c r="K47" i="4"/>
  <c r="J47" i="4"/>
  <c r="I47" i="4"/>
  <c r="K46" i="4"/>
  <c r="J46" i="4"/>
  <c r="I46" i="4"/>
  <c r="K27" i="4"/>
  <c r="J27" i="4"/>
  <c r="I27" i="4"/>
  <c r="K26" i="4"/>
  <c r="J26" i="4"/>
  <c r="I26" i="4"/>
  <c r="K24" i="4"/>
  <c r="J24" i="4"/>
  <c r="I24" i="4"/>
  <c r="C40" i="6" l="1"/>
  <c r="G41" i="1"/>
  <c r="F41" i="1"/>
  <c r="E41" i="1"/>
  <c r="D41" i="1"/>
  <c r="C56" i="4"/>
  <c r="C19" i="5"/>
  <c r="C18" i="5" s="1"/>
  <c r="C17" i="5" s="1"/>
  <c r="C40" i="5" s="1"/>
  <c r="C43" i="6" l="1"/>
  <c r="E22" i="6" s="1"/>
  <c r="F35" i="1"/>
  <c r="E34" i="1"/>
  <c r="G33" i="1"/>
  <c r="E33" i="1"/>
  <c r="G32" i="1"/>
  <c r="E32" i="1"/>
  <c r="F30" i="1"/>
  <c r="D30" i="1"/>
  <c r="F29" i="1"/>
  <c r="D29" i="1"/>
  <c r="F28" i="1"/>
  <c r="D28" i="1"/>
  <c r="F27" i="1"/>
  <c r="F26" i="1" s="1"/>
  <c r="D27" i="1"/>
  <c r="D26" i="1" s="1"/>
  <c r="G25" i="1"/>
  <c r="E25" i="1"/>
  <c r="G24" i="1"/>
  <c r="E24" i="1"/>
  <c r="F24" i="1"/>
  <c r="G35" i="1"/>
  <c r="F34" i="1"/>
  <c r="D34" i="1"/>
  <c r="F33" i="1"/>
  <c r="D33" i="1"/>
  <c r="F32" i="1"/>
  <c r="D32" i="1"/>
  <c r="G30" i="1"/>
  <c r="E30" i="1"/>
  <c r="G29" i="1"/>
  <c r="E29" i="1"/>
  <c r="G28" i="1"/>
  <c r="E28" i="1"/>
  <c r="G27" i="1"/>
  <c r="G26" i="1" s="1"/>
  <c r="E27" i="1"/>
  <c r="E26" i="1" s="1"/>
  <c r="F25" i="1"/>
  <c r="D25" i="1"/>
  <c r="D24" i="1"/>
  <c r="D44" i="4"/>
  <c r="D42" i="4"/>
  <c r="D39" i="4"/>
  <c r="D37" i="4"/>
  <c r="D35" i="4"/>
  <c r="D34" i="4"/>
  <c r="E34" i="4" s="1"/>
  <c r="F34" i="4" s="1"/>
  <c r="G34" i="4" s="1"/>
  <c r="D31" i="4"/>
  <c r="F30" i="4"/>
  <c r="K30" i="4" s="1"/>
  <c r="D30" i="4"/>
  <c r="I30" i="4" s="1"/>
  <c r="F29" i="4"/>
  <c r="K29" i="4" s="1"/>
  <c r="D29" i="4"/>
  <c r="I29" i="4" s="1"/>
  <c r="F28" i="4"/>
  <c r="K28" i="4" s="1"/>
  <c r="D28" i="4"/>
  <c r="D45" i="4"/>
  <c r="D43" i="4"/>
  <c r="D40" i="4"/>
  <c r="D38" i="4"/>
  <c r="G30" i="4"/>
  <c r="L30" i="4" s="1"/>
  <c r="E30" i="4"/>
  <c r="J30" i="4" s="1"/>
  <c r="G29" i="4"/>
  <c r="L29" i="4" s="1"/>
  <c r="E29" i="4"/>
  <c r="J29" i="4" s="1"/>
  <c r="G28" i="4"/>
  <c r="L28" i="4" s="1"/>
  <c r="E28" i="4"/>
  <c r="J28" i="4" s="1"/>
  <c r="D35" i="1"/>
  <c r="G34" i="1"/>
  <c r="E35" i="1"/>
  <c r="E33" i="6"/>
  <c r="H49" i="4"/>
  <c r="H47" i="4"/>
  <c r="H45" i="4"/>
  <c r="H43" i="4"/>
  <c r="H41" i="4"/>
  <c r="H39" i="4"/>
  <c r="H37" i="4"/>
  <c r="H35" i="4"/>
  <c r="H33" i="4"/>
  <c r="H31" i="4"/>
  <c r="H29" i="4"/>
  <c r="H27" i="4"/>
  <c r="H25" i="4"/>
  <c r="H48" i="4"/>
  <c r="H46" i="4"/>
  <c r="H44" i="4"/>
  <c r="H42" i="4"/>
  <c r="H40" i="4"/>
  <c r="H38" i="4"/>
  <c r="H36" i="4"/>
  <c r="H34" i="4"/>
  <c r="H32" i="4"/>
  <c r="H30" i="4"/>
  <c r="H28" i="4"/>
  <c r="H26" i="4"/>
  <c r="C48" i="1"/>
  <c r="H23" i="4"/>
  <c r="H24" i="4"/>
  <c r="C58" i="5"/>
  <c r="C56" i="5"/>
  <c r="C55" i="5"/>
  <c r="G51" i="5"/>
  <c r="G59" i="5" s="1"/>
  <c r="G57" i="5" s="1"/>
  <c r="F51" i="5"/>
  <c r="F59" i="5" s="1"/>
  <c r="F57" i="5" s="1"/>
  <c r="E51" i="5"/>
  <c r="E59" i="5" s="1"/>
  <c r="E57" i="5" s="1"/>
  <c r="D51" i="5"/>
  <c r="D59" i="5" s="1"/>
  <c r="C54" i="5"/>
  <c r="C53" i="5"/>
  <c r="C52" i="5"/>
  <c r="C50" i="5"/>
  <c r="C48" i="5"/>
  <c r="C46" i="5"/>
  <c r="C51" i="5" l="1"/>
  <c r="D30" i="6"/>
  <c r="F26" i="6"/>
  <c r="G25" i="6"/>
  <c r="F19" i="6"/>
  <c r="F21" i="6" s="1"/>
  <c r="D27" i="6"/>
  <c r="E32" i="6"/>
  <c r="F25" i="6"/>
  <c r="D41" i="6"/>
  <c r="D31" i="6"/>
  <c r="G31" i="6"/>
  <c r="G27" i="6"/>
  <c r="E30" i="6"/>
  <c r="F36" i="6"/>
  <c r="F33" i="6"/>
  <c r="F27" i="6"/>
  <c r="F32" i="6"/>
  <c r="D23" i="6"/>
  <c r="D32" i="6"/>
  <c r="D22" i="6"/>
  <c r="G41" i="6"/>
  <c r="G32" i="6"/>
  <c r="G19" i="6"/>
  <c r="G21" i="6" s="1"/>
  <c r="E36" i="6"/>
  <c r="E25" i="6"/>
  <c r="E27" i="6"/>
  <c r="F41" i="6"/>
  <c r="F23" i="6"/>
  <c r="F31" i="6"/>
  <c r="F30" i="6"/>
  <c r="F28" i="6"/>
  <c r="F22" i="6"/>
  <c r="D36" i="6"/>
  <c r="D33" i="6"/>
  <c r="D25" i="6"/>
  <c r="D28" i="6"/>
  <c r="D26" i="6"/>
  <c r="D19" i="6"/>
  <c r="D21" i="6" s="1"/>
  <c r="D20" i="6" s="1"/>
  <c r="D18" i="6"/>
  <c r="E18" i="6" s="1"/>
  <c r="F18" i="6" s="1"/>
  <c r="G18" i="6" s="1"/>
  <c r="G36" i="6"/>
  <c r="G26" i="6"/>
  <c r="G33" i="6"/>
  <c r="G23" i="6"/>
  <c r="G30" i="6"/>
  <c r="G22" i="6"/>
  <c r="G28" i="6"/>
  <c r="E41" i="6"/>
  <c r="E23" i="6"/>
  <c r="E28" i="6"/>
  <c r="E26" i="6"/>
  <c r="E31" i="6"/>
  <c r="E29" i="6" s="1"/>
  <c r="C44" i="5"/>
  <c r="C41" i="5" s="1"/>
  <c r="C42" i="5" s="1"/>
  <c r="E19" i="6"/>
  <c r="E21" i="6" s="1"/>
  <c r="E31" i="1"/>
  <c r="D31" i="1"/>
  <c r="F31" i="1"/>
  <c r="F37" i="5"/>
  <c r="D37" i="5"/>
  <c r="F36" i="5"/>
  <c r="D36" i="5"/>
  <c r="F35" i="5"/>
  <c r="D35" i="5"/>
  <c r="F34" i="5"/>
  <c r="F33" i="5" s="1"/>
  <c r="D34" i="5"/>
  <c r="D33" i="5" s="1"/>
  <c r="G32" i="5"/>
  <c r="E32" i="5"/>
  <c r="G31" i="5"/>
  <c r="E31" i="5"/>
  <c r="G30" i="5"/>
  <c r="E30" i="5"/>
  <c r="G29" i="5"/>
  <c r="G28" i="5" s="1"/>
  <c r="E29" i="5"/>
  <c r="E28" i="5" s="1"/>
  <c r="F27" i="5"/>
  <c r="D27" i="5"/>
  <c r="F26" i="5"/>
  <c r="D26" i="5"/>
  <c r="F23" i="5"/>
  <c r="D23" i="5"/>
  <c r="F22" i="5"/>
  <c r="D22" i="5"/>
  <c r="F21" i="5"/>
  <c r="D21" i="5"/>
  <c r="G37" i="5"/>
  <c r="E37" i="5"/>
  <c r="G36" i="5"/>
  <c r="E36" i="5"/>
  <c r="G35" i="5"/>
  <c r="E35" i="5"/>
  <c r="G34" i="5"/>
  <c r="G33" i="5" s="1"/>
  <c r="E34" i="5"/>
  <c r="E33" i="5" s="1"/>
  <c r="F32" i="5"/>
  <c r="D32" i="5"/>
  <c r="F31" i="5"/>
  <c r="D31" i="5"/>
  <c r="F30" i="5"/>
  <c r="D30" i="5"/>
  <c r="F29" i="5"/>
  <c r="F28" i="5" s="1"/>
  <c r="D29" i="5"/>
  <c r="D28" i="5" s="1"/>
  <c r="G27" i="5"/>
  <c r="E27" i="5"/>
  <c r="G26" i="5"/>
  <c r="E26" i="5"/>
  <c r="G23" i="5"/>
  <c r="E23" i="5"/>
  <c r="G22" i="5"/>
  <c r="E22" i="5"/>
  <c r="G21" i="5"/>
  <c r="E21" i="5"/>
  <c r="F25" i="5"/>
  <c r="G25" i="5"/>
  <c r="D25" i="5"/>
  <c r="G20" i="5"/>
  <c r="E25" i="5"/>
  <c r="F20" i="5"/>
  <c r="E20" i="5"/>
  <c r="D20" i="5"/>
  <c r="D18" i="5" s="1"/>
  <c r="C47" i="5"/>
  <c r="C59" i="5"/>
  <c r="D57" i="5"/>
  <c r="G31" i="1"/>
  <c r="E40" i="4"/>
  <c r="I40" i="4"/>
  <c r="E45" i="4"/>
  <c r="I45" i="4"/>
  <c r="E37" i="4"/>
  <c r="D36" i="4"/>
  <c r="I36" i="4" s="1"/>
  <c r="I37" i="4"/>
  <c r="E42" i="4"/>
  <c r="D41" i="4"/>
  <c r="I41" i="4" s="1"/>
  <c r="I42" i="4"/>
  <c r="E38" i="4"/>
  <c r="I38" i="4"/>
  <c r="E43" i="4"/>
  <c r="I43" i="4"/>
  <c r="D23" i="4"/>
  <c r="I23" i="4" s="1"/>
  <c r="I28" i="4"/>
  <c r="D33" i="4"/>
  <c r="D32" i="4" s="1"/>
  <c r="E31" i="4"/>
  <c r="F31" i="4" s="1"/>
  <c r="G31" i="4" s="1"/>
  <c r="E35" i="4"/>
  <c r="I35" i="4"/>
  <c r="E39" i="4"/>
  <c r="I39" i="4"/>
  <c r="E44" i="4"/>
  <c r="I44" i="4"/>
  <c r="G20" i="6"/>
  <c r="G21" i="1"/>
  <c r="E21" i="1"/>
  <c r="G19" i="1"/>
  <c r="E19" i="1"/>
  <c r="G18" i="1"/>
  <c r="E18" i="1"/>
  <c r="F21" i="1"/>
  <c r="D21" i="1"/>
  <c r="F19" i="1"/>
  <c r="D19" i="1"/>
  <c r="F18" i="1"/>
  <c r="D18" i="1"/>
  <c r="F20" i="1"/>
  <c r="D20" i="1"/>
  <c r="G20" i="1"/>
  <c r="E20" i="1"/>
  <c r="I34" i="4"/>
  <c r="I31" i="4"/>
  <c r="I25" i="4"/>
  <c r="E23" i="4"/>
  <c r="H22" i="4"/>
  <c r="G49" i="5" l="1"/>
  <c r="G47" i="5" s="1"/>
  <c r="F49" i="5"/>
  <c r="F47" i="5" s="1"/>
  <c r="E49" i="5"/>
  <c r="E47" i="5" s="1"/>
  <c r="D49" i="5"/>
  <c r="D47" i="5" s="1"/>
  <c r="F20" i="6"/>
  <c r="F24" i="6"/>
  <c r="F29" i="6"/>
  <c r="G29" i="6"/>
  <c r="E24" i="6"/>
  <c r="G24" i="6"/>
  <c r="D24" i="6"/>
  <c r="D29" i="6"/>
  <c r="E20" i="6"/>
  <c r="E17" i="6" s="1"/>
  <c r="E24" i="5"/>
  <c r="F18" i="5"/>
  <c r="G18" i="5"/>
  <c r="G24" i="5"/>
  <c r="F24" i="5"/>
  <c r="D24" i="5"/>
  <c r="D17" i="5" s="1"/>
  <c r="D40" i="5" s="1"/>
  <c r="E18" i="5"/>
  <c r="F42" i="4"/>
  <c r="E41" i="4"/>
  <c r="J41" i="4" s="1"/>
  <c r="J42" i="4"/>
  <c r="F44" i="4"/>
  <c r="J44" i="4"/>
  <c r="F39" i="4"/>
  <c r="J39" i="4"/>
  <c r="F35" i="4"/>
  <c r="J35" i="4"/>
  <c r="F43" i="4"/>
  <c r="J43" i="4"/>
  <c r="F38" i="4"/>
  <c r="J38" i="4"/>
  <c r="F37" i="4"/>
  <c r="E36" i="4"/>
  <c r="J36" i="4" s="1"/>
  <c r="J37" i="4"/>
  <c r="F45" i="4"/>
  <c r="J45" i="4"/>
  <c r="F40" i="4"/>
  <c r="J40" i="4"/>
  <c r="F23" i="1"/>
  <c r="F22" i="1" s="1"/>
  <c r="G23" i="1"/>
  <c r="G22" i="1" s="1"/>
  <c r="D23" i="1"/>
  <c r="D22" i="1" s="1"/>
  <c r="E23" i="1"/>
  <c r="E22" i="1" s="1"/>
  <c r="F17" i="1"/>
  <c r="G17" i="1"/>
  <c r="D17" i="1"/>
  <c r="E17" i="1"/>
  <c r="F23" i="4"/>
  <c r="J25" i="4"/>
  <c r="J23" i="4"/>
  <c r="J31" i="4"/>
  <c r="E33" i="4"/>
  <c r="E32" i="4" s="1"/>
  <c r="I33" i="4"/>
  <c r="D22" i="4"/>
  <c r="J34" i="4"/>
  <c r="D17" i="6"/>
  <c r="E38" i="6" l="1"/>
  <c r="E42" i="6" s="1"/>
  <c r="E39" i="6" s="1"/>
  <c r="E40" i="6" s="1"/>
  <c r="D38" i="6"/>
  <c r="D42" i="6" s="1"/>
  <c r="D39" i="6" s="1"/>
  <c r="D40" i="6" s="1"/>
  <c r="D44" i="5"/>
  <c r="D41" i="5" s="1"/>
  <c r="D42" i="5" s="1"/>
  <c r="D50" i="4"/>
  <c r="D54" i="4" s="1"/>
  <c r="D51" i="4" s="1"/>
  <c r="F17" i="5"/>
  <c r="F40" i="5" s="1"/>
  <c r="E17" i="5"/>
  <c r="G17" i="5"/>
  <c r="G37" i="4"/>
  <c r="F36" i="4"/>
  <c r="K36" i="4" s="1"/>
  <c r="K37" i="4"/>
  <c r="G38" i="4"/>
  <c r="L38" i="4" s="1"/>
  <c r="K38" i="4"/>
  <c r="G43" i="4"/>
  <c r="L43" i="4" s="1"/>
  <c r="K43" i="4"/>
  <c r="G35" i="4"/>
  <c r="L35" i="4" s="1"/>
  <c r="K35" i="4"/>
  <c r="G39" i="4"/>
  <c r="L39" i="4" s="1"/>
  <c r="K39" i="4"/>
  <c r="G44" i="4"/>
  <c r="L44" i="4" s="1"/>
  <c r="K44" i="4"/>
  <c r="G40" i="4"/>
  <c r="L40" i="4" s="1"/>
  <c r="K40" i="4"/>
  <c r="G45" i="4"/>
  <c r="L45" i="4" s="1"/>
  <c r="K45" i="4"/>
  <c r="G42" i="4"/>
  <c r="F41" i="4"/>
  <c r="K41" i="4" s="1"/>
  <c r="K42" i="4"/>
  <c r="D16" i="1"/>
  <c r="F16" i="1"/>
  <c r="E16" i="1"/>
  <c r="G16" i="1"/>
  <c r="F17" i="6"/>
  <c r="K34" i="4"/>
  <c r="G23" i="4"/>
  <c r="K25" i="4"/>
  <c r="K23" i="4"/>
  <c r="I32" i="4"/>
  <c r="J33" i="4"/>
  <c r="E22" i="4"/>
  <c r="K31" i="4"/>
  <c r="F33" i="4"/>
  <c r="F32" i="4" s="1"/>
  <c r="G40" i="5" l="1"/>
  <c r="G44" i="5" s="1"/>
  <c r="G41" i="5" s="1"/>
  <c r="G42" i="5" s="1"/>
  <c r="E40" i="5"/>
  <c r="E44" i="5" s="1"/>
  <c r="E41" i="5" s="1"/>
  <c r="E42" i="5" s="1"/>
  <c r="D15" i="6"/>
  <c r="E15" i="6"/>
  <c r="D52" i="4"/>
  <c r="F38" i="6"/>
  <c r="F42" i="6" s="1"/>
  <c r="F39" i="6" s="1"/>
  <c r="F40" i="6" s="1"/>
  <c r="G37" i="1"/>
  <c r="G43" i="1"/>
  <c r="G47" i="1" s="1"/>
  <c r="G44" i="1" s="1"/>
  <c r="F37" i="1"/>
  <c r="F43" i="1"/>
  <c r="F47" i="1" s="1"/>
  <c r="F44" i="1" s="1"/>
  <c r="E37" i="1"/>
  <c r="E43" i="1"/>
  <c r="E47" i="1" s="1"/>
  <c r="E44" i="1" s="1"/>
  <c r="D37" i="1"/>
  <c r="D43" i="1"/>
  <c r="D47" i="1" s="1"/>
  <c r="D44" i="1" s="1"/>
  <c r="F44" i="5"/>
  <c r="F41" i="5" s="1"/>
  <c r="F42" i="5" s="1"/>
  <c r="E50" i="4"/>
  <c r="E54" i="4" s="1"/>
  <c r="E51" i="4" s="1"/>
  <c r="D45" i="5"/>
  <c r="G41" i="4"/>
  <c r="L41" i="4" s="1"/>
  <c r="L42" i="4"/>
  <c r="G36" i="4"/>
  <c r="L36" i="4" s="1"/>
  <c r="L37" i="4"/>
  <c r="L34" i="4"/>
  <c r="K33" i="4"/>
  <c r="F22" i="4"/>
  <c r="L31" i="4"/>
  <c r="G33" i="4"/>
  <c r="G32" i="4" s="1"/>
  <c r="I22" i="4"/>
  <c r="J32" i="4"/>
  <c r="L25" i="4"/>
  <c r="L23" i="4"/>
  <c r="G17" i="6"/>
  <c r="D15" i="5" l="1"/>
  <c r="D16" i="4" s="1"/>
  <c r="F15" i="6"/>
  <c r="D45" i="1"/>
  <c r="E45" i="1"/>
  <c r="F45" i="1"/>
  <c r="G45" i="1"/>
  <c r="G38" i="6"/>
  <c r="G42" i="6" s="1"/>
  <c r="G39" i="6" s="1"/>
  <c r="G40" i="6" s="1"/>
  <c r="F50" i="4"/>
  <c r="F54" i="4" s="1"/>
  <c r="F51" i="4" s="1"/>
  <c r="J22" i="4"/>
  <c r="L33" i="4"/>
  <c r="G22" i="4"/>
  <c r="K32" i="4"/>
  <c r="G15" i="6" l="1"/>
  <c r="G50" i="4"/>
  <c r="G54" i="4" s="1"/>
  <c r="G51" i="4" s="1"/>
  <c r="K22" i="4"/>
  <c r="L32" i="4"/>
  <c r="C50" i="4" l="1"/>
  <c r="C54" i="4" s="1"/>
  <c r="C51" i="4" s="1"/>
  <c r="L22" i="4"/>
  <c r="C52" i="4" l="1"/>
  <c r="D69" i="5"/>
  <c r="I53" i="4" l="1"/>
  <c r="D18" i="4" l="1"/>
  <c r="E18" i="4"/>
  <c r="G18" i="4" l="1"/>
  <c r="F18" i="4"/>
  <c r="I51" i="4" l="1"/>
  <c r="D55" i="4"/>
  <c r="I52" i="4"/>
  <c r="I54" i="4" l="1"/>
  <c r="I55" i="4"/>
  <c r="H51" i="4"/>
  <c r="C55" i="4"/>
  <c r="H52" i="4"/>
  <c r="C45" i="5"/>
  <c r="C15" i="5" s="1"/>
  <c r="C68" i="5" l="1"/>
  <c r="C72" i="5"/>
  <c r="H55" i="4"/>
  <c r="C74" i="5" l="1"/>
  <c r="F72" i="5"/>
  <c r="E72" i="5"/>
  <c r="D72" i="5"/>
  <c r="G72" i="5"/>
  <c r="C14" i="1" l="1"/>
  <c r="D38" i="1"/>
  <c r="D14" i="1" s="1"/>
  <c r="G45" i="5"/>
  <c r="G15" i="5" s="1"/>
  <c r="F14" i="1" l="1"/>
  <c r="F17" i="4" s="1"/>
  <c r="E14" i="1"/>
  <c r="E17" i="4" s="1"/>
  <c r="D17" i="4"/>
  <c r="D15" i="4" s="1"/>
  <c r="D20" i="4" s="1"/>
  <c r="D19" i="4" s="1"/>
  <c r="G14" i="1"/>
  <c r="G17" i="4" s="1"/>
  <c r="G16" i="4"/>
  <c r="G69" i="5"/>
  <c r="F45" i="5"/>
  <c r="F15" i="5" s="1"/>
  <c r="G15" i="4" l="1"/>
  <c r="G20" i="4" s="1"/>
  <c r="G19" i="4" s="1"/>
  <c r="F16" i="4"/>
  <c r="F69" i="5"/>
  <c r="E45" i="5"/>
  <c r="E15" i="5" s="1"/>
  <c r="F15" i="4" l="1"/>
  <c r="F20" i="4" s="1"/>
  <c r="F19" i="4" s="1"/>
  <c r="E16" i="4"/>
  <c r="E15" i="4" s="1"/>
  <c r="E20" i="4" s="1"/>
  <c r="E19" i="4" s="1"/>
  <c r="E69" i="5"/>
  <c r="C69" i="5" s="1"/>
  <c r="J53" i="4"/>
  <c r="J51" i="4"/>
  <c r="E52" i="4"/>
  <c r="J52" i="4" s="1"/>
  <c r="E55" i="4" l="1"/>
  <c r="J54" i="4" l="1"/>
  <c r="J55" i="4"/>
  <c r="K51" i="4"/>
  <c r="F52" i="4"/>
  <c r="F55" i="4"/>
  <c r="K53" i="4" s="1"/>
  <c r="K52" i="4" l="1"/>
  <c r="K55" i="4"/>
  <c r="K54" i="4"/>
  <c r="H53" i="4"/>
  <c r="H54" i="4"/>
  <c r="C43" i="5"/>
  <c r="G43" i="5" l="1"/>
  <c r="E43" i="5"/>
  <c r="F43" i="5"/>
  <c r="L51" i="4"/>
  <c r="G52" i="4"/>
  <c r="G55" i="4"/>
  <c r="L55" i="4" s="1"/>
  <c r="L52" i="4" l="1"/>
  <c r="L53" i="4"/>
  <c r="L54" i="4" l="1"/>
</calcChain>
</file>

<file path=xl/sharedStrings.xml><?xml version="1.0" encoding="utf-8"?>
<sst xmlns="http://schemas.openxmlformats.org/spreadsheetml/2006/main" count="421" uniqueCount="170">
  <si>
    <t>№ з/п</t>
  </si>
  <si>
    <t>Комунального підприємства "Південно-Західні тепломережі"</t>
  </si>
  <si>
    <t>всього</t>
  </si>
  <si>
    <t>для потреб населення</t>
  </si>
  <si>
    <t>для потреб бюджетних установ</t>
  </si>
  <si>
    <t>для потреб інших споживачів</t>
  </si>
  <si>
    <t>для потреб релігійних організацій</t>
  </si>
  <si>
    <t>Сумарні тарифні витрати, тис. грн. на рік</t>
  </si>
  <si>
    <t>Найменування показників</t>
  </si>
  <si>
    <t>І</t>
  </si>
  <si>
    <t>ІІ</t>
  </si>
  <si>
    <t>Виробнича собівартість, у тому числі: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</si>
  <si>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</si>
  <si>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</si>
  <si>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</si>
  <si>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</si>
  <si>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</si>
  <si>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</si>
  <si>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</si>
  <si>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</si>
  <si>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1.2</t>
  </si>
  <si>
    <t>1.3</t>
  </si>
  <si>
    <t>1.3.1</t>
  </si>
  <si>
    <t>1.3.2</t>
  </si>
  <si>
    <t>1.3.3</t>
  </si>
  <si>
    <t>1.4</t>
  </si>
  <si>
    <t>1.4.1</t>
  </si>
  <si>
    <t>1.4.2</t>
  </si>
  <si>
    <t>1.4.3</t>
  </si>
  <si>
    <t>1.4.4</t>
  </si>
  <si>
    <t>2</t>
  </si>
  <si>
    <t>2.1</t>
  </si>
  <si>
    <t>2.2</t>
  </si>
  <si>
    <t>2.3</t>
  </si>
  <si>
    <t>прямі матеріальні витрати, у тому числі:</t>
  </si>
  <si>
    <t>витрати на паливо для виробництва теплової енергії котельнями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</si>
  <si>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</si>
  <si>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експлуатаційні витрати на транспортування власної теплової енергії тепловими мережами інших суб'єктів господарювання</t>
  </si>
  <si>
    <t>витрати на придбання теплової енергії в інших суб'єктів господарювання</t>
  </si>
  <si>
    <t>витрати на електричну енергію для технологічних потреб</t>
  </si>
  <si>
    <t>витрати на воду для технологічних потреб та водовідведення</t>
  </si>
  <si>
    <t>матеріали, запасні частини та інші матеріальні ресурси</t>
  </si>
  <si>
    <t>прямі витрати на оплату праці</t>
  </si>
  <si>
    <t>інші прямі витрати, у тому числі:</t>
  </si>
  <si>
    <t>відрахування на соціальні заходи</t>
  </si>
  <si>
    <t>амортизаційні відрахування</t>
  </si>
  <si>
    <t>інші прямі витрати</t>
  </si>
  <si>
    <t>загальновиробничі витрати, у тому числі:</t>
  </si>
  <si>
    <t>витрати на оплату праці</t>
  </si>
  <si>
    <t>інші витрати</t>
  </si>
  <si>
    <t>Адміністративні витрати, у тому числі:</t>
  </si>
  <si>
    <t>Х</t>
  </si>
  <si>
    <t>2.4</t>
  </si>
  <si>
    <t>3</t>
  </si>
  <si>
    <t>4</t>
  </si>
  <si>
    <t>5</t>
  </si>
  <si>
    <t>6</t>
  </si>
  <si>
    <t>7</t>
  </si>
  <si>
    <t>8</t>
  </si>
  <si>
    <t>Інші операційні витрати</t>
  </si>
  <si>
    <t>Фінансові витрати</t>
  </si>
  <si>
    <t>Витрати на покриття втрат</t>
  </si>
  <si>
    <t>Коригування витрат</t>
  </si>
  <si>
    <t>Розрахунковий прибуток на теплову енергію, усього, у тому числі:</t>
  </si>
  <si>
    <t>податок на прибуток</t>
  </si>
  <si>
    <t>на розвиток виробництва (виробничі інвестиції)</t>
  </si>
  <si>
    <t>інше використання прибутку</t>
  </si>
  <si>
    <t>Обсяг реалізації теплової енергії власним споживачам, Гкал</t>
  </si>
  <si>
    <t>Структура тарифів на виробництво теплової енергії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</si>
  <si>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</si>
  <si>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</si>
  <si>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</si>
  <si>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Розрахунковий прибуток виробництва теплової енергії, усього, у тому числі: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</si>
  <si>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</si>
  <si>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</si>
  <si>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</si>
  <si>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Вартість виробництва теплової енергії власними ТЕЦ, ТЕС</t>
  </si>
  <si>
    <t>Вартість виробництва теплової енергії власними КГУ</t>
  </si>
  <si>
    <t>Вартість виробництва теплової енергії власними установками з використанням альтернативних джерел енергії</t>
  </si>
  <si>
    <t>8.1</t>
  </si>
  <si>
    <t>8.2</t>
  </si>
  <si>
    <t>8.3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</si>
  <si>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</si>
  <si>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</si>
  <si>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обсяг відпуску теплової енергії з колекторів власних ТЕЦ, ТЕС, Гкал</t>
  </si>
  <si>
    <t>обсяг відпуску теплової енергії з колекторів власних КГУ, Гкал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</si>
  <si>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</si>
  <si>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</si>
  <si>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11</t>
  </si>
  <si>
    <t>12</t>
  </si>
  <si>
    <t>13</t>
  </si>
  <si>
    <t>Витрати на придбання теплової енергії в інших суб'єктів господарювання</t>
  </si>
  <si>
    <t>обсяг покупної теплової енергії, Гкал</t>
  </si>
  <si>
    <t>Загальний обсяг відпуску теплової енергії, Гкал</t>
  </si>
  <si>
    <t>Структура тарифів на транспортування теплової енергії власним споживачам</t>
  </si>
  <si>
    <t>Розрахунковий прибуток транспортування теплової енергії, усього, у тому числі:</t>
  </si>
  <si>
    <t>10.1</t>
  </si>
  <si>
    <t>10.2</t>
  </si>
  <si>
    <t>10.3</t>
  </si>
  <si>
    <t>Річний обсяг реалізації теплової енергії власним споживачам, Гкал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</si>
  <si>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</si>
  <si>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</si>
  <si>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</si>
  <si>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 xml:space="preserve">Структура тарифів на постачання теплової енергії </t>
  </si>
  <si>
    <t>прямі матеріальні витрати</t>
  </si>
  <si>
    <t>нас.</t>
  </si>
  <si>
    <t>бюдж.</t>
  </si>
  <si>
    <t>інші</t>
  </si>
  <si>
    <t>рел.</t>
  </si>
  <si>
    <t>Загальна вартість теплової енергії без ПДВ</t>
  </si>
  <si>
    <t xml:space="preserve">від "____" ________ № ______ </t>
  </si>
  <si>
    <t>Керуючий справами виконавчого комітету</t>
  </si>
  <si>
    <t>Юлія САБІЙ</t>
  </si>
  <si>
    <t>Додаток 1</t>
  </si>
  <si>
    <t xml:space="preserve">Додаток 2 </t>
  </si>
  <si>
    <t xml:space="preserve">Додаток 3 </t>
  </si>
  <si>
    <t xml:space="preserve">Додаток 4 </t>
  </si>
  <si>
    <t>Директор КП "Південно-Західні тепломережі"</t>
  </si>
  <si>
    <t>Павло ВОЗБОРСЬКИЙ</t>
  </si>
  <si>
    <t>Повна собівартість</t>
  </si>
  <si>
    <t>Повна собівартість виробництва теплової енергії власними котельнями</t>
  </si>
  <si>
    <t>6.1</t>
  </si>
  <si>
    <t>6.2</t>
  </si>
  <si>
    <t>6.3</t>
  </si>
  <si>
    <t>11.1</t>
  </si>
  <si>
    <t>11.2</t>
  </si>
  <si>
    <t>11.3</t>
  </si>
  <si>
    <t>14</t>
  </si>
  <si>
    <t>Одиниці виміру</t>
  </si>
  <si>
    <t>Категорія споживачів</t>
  </si>
  <si>
    <t>Тарифи на послугу з постачання гарячої води  з ПДВ</t>
  </si>
  <si>
    <t>грн./м3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</si>
  <si>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</si>
  <si>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</si>
  <si>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</si>
  <si>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</si>
  <si>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</si>
  <si>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</si>
  <si>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</si>
  <si>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</si>
  <si>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</si>
  <si>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</si>
  <si>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</si>
  <si>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виробництво теплової енергії</t>
  </si>
  <si>
    <t>транспортування теплової енергії</t>
  </si>
  <si>
    <t>постачання теплової енергії</t>
  </si>
  <si>
    <t xml:space="preserve">грн./Гкал </t>
  </si>
  <si>
    <t>Тарифи на теплову енергію без ПДВ, у тому числі:</t>
  </si>
  <si>
    <t xml:space="preserve">Тарифи на транспортування теплової енергії без ПДВ   </t>
  </si>
  <si>
    <t>грн./Гкал</t>
  </si>
  <si>
    <t>Тарифи на постачання теплової енергії без ПДВ</t>
  </si>
  <si>
    <t>Тарифи та структура витрат на теплову енергію, послугу з постачання теплової енергії</t>
  </si>
  <si>
    <t>Тарифи на виробництво теплової енергії без ПДВ</t>
  </si>
  <si>
    <t>Податок на додану вартість</t>
  </si>
  <si>
    <t>Тариф на послугу з постачання теплової енергії з ПДВ (гр. І+гр.4)</t>
  </si>
  <si>
    <t>Структура витрат на теплову енергію, тис. грн. на рік без ПДВ</t>
  </si>
  <si>
    <t>Структура тарифів на виробництво теплової енергії тис. грн. на рік без ПДВ</t>
  </si>
  <si>
    <t>Структура тарифів на транспортування теплової енергії власним споживачам тис. грн. на рік без ПДВ</t>
  </si>
  <si>
    <t>Структура тарифів на постачання теплової енергії тис. грн. без ПДВ</t>
  </si>
  <si>
    <t>до рішення виконавчого комітету</t>
  </si>
  <si>
    <t>Хмельницької міської ради</t>
  </si>
  <si>
    <t>від "____" ________________№____</t>
  </si>
  <si>
    <t>Додаток 2</t>
  </si>
  <si>
    <t>9.1</t>
  </si>
  <si>
    <t>9.2</t>
  </si>
  <si>
    <t>9.3</t>
  </si>
  <si>
    <t>Додаток 3</t>
  </si>
  <si>
    <t>Додаток 4</t>
  </si>
  <si>
    <t>Додаток 5</t>
  </si>
  <si>
    <t>Структура тарифів на послугу з постачання гарячої води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</si>
</sst>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/>
    <xf numFmtId="0" fontId="1" fillId="0" borderId="0" xfId="0" applyFont="1" applyBorder="1" applyAlignment="1">
      <alignment vertical="top" wrapText="1"/>
    </xf>
    <xf numFmtId="0" fontId="0" fillId="0" borderId="0" xfId="0" applyFont="1"/>
    <xf numFmtId="0" fontId="4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7" fillId="0" borderId="0" xfId="0" applyFont="1"/>
    <xf numFmtId="0" fontId="8" fillId="0" borderId="0" xfId="0" applyFont="1" applyFill="1" applyBorder="1" applyAlignment="1">
      <alignment vertical="top" wrapText="1"/>
    </xf>
    <xf numFmtId="2" fontId="9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/>
    <xf numFmtId="2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8" fillId="0" borderId="0" xfId="0" applyFont="1"/>
    <xf numFmtId="0" fontId="11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2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2" fontId="11" fillId="0" borderId="6" xfId="0" applyNumberFormat="1" applyFont="1" applyBorder="1" applyAlignment="1">
      <alignment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top" wrapText="1"/>
    </xf>
    <xf numFmtId="2" fontId="11" fillId="2" borderId="6" xfId="0" applyNumberFormat="1" applyFont="1" applyFill="1" applyBorder="1" applyAlignment="1">
      <alignment vertical="top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11" fillId="2" borderId="6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right" wrapText="1"/>
    </xf>
    <xf numFmtId="0" fontId="11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vertical="top" wrapText="1"/>
    </xf>
    <xf numFmtId="2" fontId="11" fillId="0" borderId="6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11" fillId="2" borderId="6" xfId="0" applyFont="1" applyFill="1" applyBorder="1" applyAlignment="1" applyProtection="1">
      <alignment wrapText="1"/>
    </xf>
    <xf numFmtId="0" fontId="11" fillId="0" borderId="6" xfId="0" applyFont="1" applyBorder="1" applyAlignment="1">
      <alignment horizontal="left" vertical="center" wrapText="1"/>
    </xf>
    <xf numFmtId="16" fontId="11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 applyProtection="1">
      <alignment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0" borderId="6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2" fontId="4" fillId="0" borderId="0" xfId="0" applyNumberFormat="1" applyFont="1"/>
    <xf numFmtId="0" fontId="4" fillId="0" borderId="0" xfId="0" applyFont="1"/>
    <xf numFmtId="0" fontId="11" fillId="0" borderId="6" xfId="0" applyFont="1" applyBorder="1" applyAlignment="1">
      <alignment vertical="center" wrapText="1"/>
    </xf>
    <xf numFmtId="0" fontId="11" fillId="2" borderId="0" xfId="0" applyFont="1" applyFill="1" applyBorder="1" applyAlignment="1" applyProtection="1">
      <alignment wrapText="1"/>
    </xf>
    <xf numFmtId="0" fontId="13" fillId="0" borderId="0" xfId="0" applyFont="1"/>
    <xf numFmtId="0" fontId="14" fillId="0" borderId="0" xfId="0" applyFont="1" applyAlignment="1"/>
    <xf numFmtId="0" fontId="11" fillId="0" borderId="0" xfId="0" applyFont="1" applyFill="1" applyBorder="1" applyAlignment="1">
      <alignment wrapText="1"/>
    </xf>
    <xf numFmtId="0" fontId="7" fillId="0" borderId="0" xfId="0" applyFont="1" applyAlignment="1"/>
    <xf numFmtId="0" fontId="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/>
    <xf numFmtId="0" fontId="11" fillId="2" borderId="2" xfId="0" applyFont="1" applyFill="1" applyBorder="1" applyAlignment="1" applyProtection="1">
      <alignment horizontal="center" wrapText="1"/>
    </xf>
    <xf numFmtId="0" fontId="11" fillId="2" borderId="3" xfId="0" applyFont="1" applyFill="1" applyBorder="1" applyAlignment="1" applyProtection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/>
    <xf numFmtId="0" fontId="11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A26" workbookViewId="0">
      <selection activeCell="B2" sqref="B2"/>
    </sheetView>
  </sheetViews>
  <sheetFormatPr defaultRowHeight="15" x14ac:dyDescent="0.25"/>
  <cols>
    <col min="1" max="1" width="7" customWidth="1"/>
    <col min="2" max="2" width="39" customWidth="1"/>
    <col min="3" max="3" width="10.7109375" customWidth="1"/>
    <col min="4" max="4" width="0.140625" customWidth="1"/>
    <col min="5" max="5" width="12.28515625" customWidth="1"/>
    <col min="6" max="7" width="11.28515625" customWidth="1"/>
    <col min="8" max="9" width="11.7109375" bestFit="1" customWidth="1"/>
    <col min="10" max="12" width="11.42578125" bestFit="1" customWidth="1"/>
  </cols>
  <sheetData>
    <row r="1" spans="1:9" x14ac:dyDescent="0.25">
      <c r="F1" s="30" t="s">
        <v>113</v>
      </c>
      <c r="G1" s="30"/>
      <c r="H1" s="30"/>
    </row>
    <row r="2" spans="1:9" x14ac:dyDescent="0.25">
      <c r="E2" s="88" t="s">
        <v>113</v>
      </c>
      <c r="F2" s="89"/>
      <c r="G2" s="89"/>
      <c r="H2" s="30"/>
    </row>
    <row r="3" spans="1:9" x14ac:dyDescent="0.25">
      <c r="E3" s="88" t="s">
        <v>159</v>
      </c>
      <c r="F3" s="88"/>
      <c r="G3" s="88"/>
      <c r="H3" s="30"/>
    </row>
    <row r="4" spans="1:9" x14ac:dyDescent="0.25">
      <c r="E4" s="88" t="s">
        <v>160</v>
      </c>
      <c r="F4" s="88"/>
      <c r="G4" s="88"/>
      <c r="H4" s="30"/>
    </row>
    <row r="5" spans="1:9" x14ac:dyDescent="0.25">
      <c r="E5" s="80" t="s">
        <v>161</v>
      </c>
      <c r="F5" s="80"/>
      <c r="G5" s="79"/>
      <c r="H5" s="30"/>
    </row>
    <row r="6" spans="1:9" x14ac:dyDescent="0.25">
      <c r="F6" s="30" t="s">
        <v>110</v>
      </c>
      <c r="G6" s="30"/>
      <c r="H6" s="30"/>
    </row>
    <row r="7" spans="1:9" x14ac:dyDescent="0.25">
      <c r="A7" s="91" t="s">
        <v>151</v>
      </c>
      <c r="B7" s="91"/>
      <c r="C7" s="91"/>
      <c r="D7" s="91"/>
      <c r="E7" s="91"/>
      <c r="F7" s="91"/>
      <c r="G7" s="91"/>
    </row>
    <row r="8" spans="1:9" ht="14.25" customHeight="1" x14ac:dyDescent="0.25">
      <c r="A8" s="91" t="s">
        <v>1</v>
      </c>
      <c r="B8" s="91"/>
      <c r="C8" s="91"/>
      <c r="D8" s="91"/>
      <c r="E8" s="91"/>
      <c r="F8" s="91"/>
      <c r="G8" s="91"/>
    </row>
    <row r="9" spans="1:9" ht="7.5" hidden="1" customHeight="1" x14ac:dyDescent="0.25">
      <c r="A9" s="42"/>
      <c r="B9" s="42"/>
      <c r="C9" s="42"/>
      <c r="D9" s="42"/>
      <c r="E9" s="42"/>
      <c r="F9" s="42"/>
      <c r="G9" s="42"/>
    </row>
    <row r="10" spans="1:9" x14ac:dyDescent="0.25">
      <c r="A10" s="42"/>
      <c r="B10" s="42"/>
      <c r="C10" s="42"/>
      <c r="D10" s="42"/>
      <c r="E10" s="42"/>
      <c r="F10" s="42"/>
      <c r="G10" s="42"/>
    </row>
    <row r="11" spans="1:9" ht="6" customHeight="1" x14ac:dyDescent="0.25">
      <c r="A11" s="42"/>
      <c r="B11" s="42"/>
      <c r="C11" s="42"/>
      <c r="D11" s="42"/>
      <c r="E11" s="42"/>
      <c r="F11" s="42"/>
      <c r="G11" s="42"/>
    </row>
    <row r="12" spans="1:9" ht="15.75" customHeight="1" x14ac:dyDescent="0.25">
      <c r="A12" s="92" t="s">
        <v>0</v>
      </c>
      <c r="B12" s="90" t="s">
        <v>8</v>
      </c>
      <c r="C12" s="90" t="s">
        <v>146</v>
      </c>
      <c r="D12" s="90"/>
      <c r="E12" s="90"/>
      <c r="F12" s="90"/>
      <c r="G12" s="90"/>
    </row>
    <row r="13" spans="1:9" ht="54" customHeight="1" x14ac:dyDescent="0.25">
      <c r="A13" s="92"/>
      <c r="B13" s="90"/>
      <c r="C13" s="45" t="s">
        <v>2</v>
      </c>
      <c r="D13" s="45" t="s">
        <v>3</v>
      </c>
      <c r="E13" s="45" t="s">
        <v>4</v>
      </c>
      <c r="F13" s="45" t="s">
        <v>5</v>
      </c>
      <c r="G13" s="77" t="s">
        <v>6</v>
      </c>
    </row>
    <row r="14" spans="1:9" x14ac:dyDescent="0.25">
      <c r="A14" s="45">
        <v>1</v>
      </c>
      <c r="B14" s="45">
        <v>2</v>
      </c>
      <c r="C14" s="45">
        <v>3</v>
      </c>
      <c r="D14" s="45">
        <v>4</v>
      </c>
      <c r="E14" s="45">
        <v>4</v>
      </c>
      <c r="F14" s="45">
        <v>5</v>
      </c>
      <c r="G14" s="45">
        <v>6</v>
      </c>
    </row>
    <row r="15" spans="1:9" ht="30" x14ac:dyDescent="0.25">
      <c r="A15" s="45" t="s">
        <v>9</v>
      </c>
      <c r="B15" s="45" t="s">
        <v>147</v>
      </c>
      <c r="C15" s="45" t="s">
        <v>51</v>
      </c>
      <c r="D15" s="47">
        <f>SUM(D16:D18)</f>
        <v>1813.66</v>
      </c>
      <c r="E15" s="47">
        <f>SUM(E16:E18)</f>
        <v>3065.6200000000003</v>
      </c>
      <c r="F15" s="47">
        <f>SUM(F16:F18)</f>
        <v>3067.4700000000003</v>
      </c>
      <c r="G15" s="47">
        <f>SUM(G16:G18)</f>
        <v>3093.1</v>
      </c>
      <c r="H15" s="4"/>
      <c r="I15" s="4"/>
    </row>
    <row r="16" spans="1:9" x14ac:dyDescent="0.25">
      <c r="A16" s="45">
        <v>1</v>
      </c>
      <c r="B16" s="45" t="s">
        <v>143</v>
      </c>
      <c r="C16" s="45" t="s">
        <v>51</v>
      </c>
      <c r="D16" s="47">
        <f>Виробництво!D15</f>
        <v>1358.2</v>
      </c>
      <c r="E16" s="47">
        <f>Виробництво!E15</f>
        <v>2455.5500000000002</v>
      </c>
      <c r="F16" s="47">
        <f>Виробництво!F15</f>
        <v>2461.3000000000002</v>
      </c>
      <c r="G16" s="47">
        <f>Виробництво!G15</f>
        <v>2484.4699999999998</v>
      </c>
    </row>
    <row r="17" spans="1:12" x14ac:dyDescent="0.25">
      <c r="A17" s="45">
        <v>2</v>
      </c>
      <c r="B17" s="45" t="s">
        <v>144</v>
      </c>
      <c r="C17" s="45" t="s">
        <v>51</v>
      </c>
      <c r="D17" s="47">
        <f>Транспортування!D14</f>
        <v>448.89</v>
      </c>
      <c r="E17" s="47">
        <f>Транспортування!E14</f>
        <v>603.5</v>
      </c>
      <c r="F17" s="47">
        <f>Транспортування!F14</f>
        <v>599.6</v>
      </c>
      <c r="G17" s="47">
        <f>Транспортування!G14</f>
        <v>602.05999999999995</v>
      </c>
    </row>
    <row r="18" spans="1:12" x14ac:dyDescent="0.25">
      <c r="A18" s="45">
        <v>3</v>
      </c>
      <c r="B18" s="45" t="s">
        <v>145</v>
      </c>
      <c r="C18" s="45" t="s">
        <v>51</v>
      </c>
      <c r="D18" s="47">
        <f>Постачання!D15</f>
        <v>6.57</v>
      </c>
      <c r="E18" s="47">
        <f>Постачання!E15</f>
        <v>6.57</v>
      </c>
      <c r="F18" s="47">
        <f>Постачання!F15</f>
        <v>6.57</v>
      </c>
      <c r="G18" s="47">
        <f>Постачання!G15</f>
        <v>6.57</v>
      </c>
    </row>
    <row r="19" spans="1:12" x14ac:dyDescent="0.25">
      <c r="A19" s="45">
        <v>4</v>
      </c>
      <c r="B19" s="45" t="s">
        <v>153</v>
      </c>
      <c r="C19" s="45" t="s">
        <v>51</v>
      </c>
      <c r="D19" s="47">
        <f>D20-D15</f>
        <v>362.73199999999974</v>
      </c>
      <c r="E19" s="47">
        <f t="shared" ref="E19:G19" si="0">E20-E15</f>
        <v>613.1239999999998</v>
      </c>
      <c r="F19" s="47">
        <f t="shared" si="0"/>
        <v>613.49400000000014</v>
      </c>
      <c r="G19" s="47">
        <f t="shared" si="0"/>
        <v>618.61999999999989</v>
      </c>
    </row>
    <row r="20" spans="1:12" ht="30" x14ac:dyDescent="0.25">
      <c r="A20" s="45">
        <v>5</v>
      </c>
      <c r="B20" s="45" t="s">
        <v>154</v>
      </c>
      <c r="C20" s="45" t="s">
        <v>51</v>
      </c>
      <c r="D20" s="47">
        <f>D15*1.2</f>
        <v>2176.3919999999998</v>
      </c>
      <c r="E20" s="47">
        <f t="shared" ref="E20:G20" si="1">E15*1.2</f>
        <v>3678.7440000000001</v>
      </c>
      <c r="F20" s="47">
        <f t="shared" si="1"/>
        <v>3680.9640000000004</v>
      </c>
      <c r="G20" s="47">
        <f t="shared" si="1"/>
        <v>3711.72</v>
      </c>
    </row>
    <row r="21" spans="1:12" x14ac:dyDescent="0.25">
      <c r="A21" s="45" t="s">
        <v>10</v>
      </c>
      <c r="B21" s="90" t="s">
        <v>155</v>
      </c>
      <c r="C21" s="90"/>
      <c r="D21" s="90"/>
      <c r="E21" s="90"/>
      <c r="F21" s="90"/>
      <c r="G21" s="90"/>
    </row>
    <row r="22" spans="1:12" ht="37.5" customHeight="1" x14ac:dyDescent="0.25">
      <c r="A22" s="45">
        <v>1</v>
      </c>
      <c r="B22" s="48" t="s">
        <v>11</v>
      </c>
      <c r="C22" s="49">
        <f>ROUND((C23+C31+C32+C36),2)</f>
        <v>246335.71</v>
      </c>
      <c r="D22" s="49">
        <f>ROUND((D23+D31+D32+D36),2)</f>
        <v>185091.72</v>
      </c>
      <c r="E22" s="49">
        <f>ROUND((E23+E31+E32+E36),2)</f>
        <v>52260.12</v>
      </c>
      <c r="F22" s="49">
        <f>ROUND((F23+F31+F32+F36),2)</f>
        <v>8927.23</v>
      </c>
      <c r="G22" s="49">
        <f>ROUND((G23+G31+G32+G36),2)</f>
        <v>56.63</v>
      </c>
      <c r="H22" s="24">
        <f>C22/C56*1000</f>
        <v>1851.5476258302378</v>
      </c>
      <c r="I22" s="24">
        <f>D22/D56*1000</f>
        <v>1657.6021653855871</v>
      </c>
      <c r="J22" s="24">
        <f>E22/E56*1000</f>
        <v>2864.3058760338281</v>
      </c>
      <c r="K22" s="24">
        <f>F22/F56*1000</f>
        <v>2865.1026204727441</v>
      </c>
      <c r="L22" s="24">
        <f>G22/G56*1000</f>
        <v>2880.4679552390644</v>
      </c>
    </row>
    <row r="23" spans="1:12" x14ac:dyDescent="0.25">
      <c r="A23" s="50" t="s">
        <v>12</v>
      </c>
      <c r="B23" s="48" t="s">
        <v>34</v>
      </c>
      <c r="C23" s="51">
        <f>ROUND((C24+C25+C26+C27+C28+C29+C30),2)</f>
        <v>197103.7</v>
      </c>
      <c r="D23" s="51">
        <f>ROUND((D24+D25+D26+D27+D28+D29+D30),2)</f>
        <v>143771.59</v>
      </c>
      <c r="E23" s="51">
        <f>ROUND((E24+E25+E26+E27+E28+E29+E30),2)</f>
        <v>45508.52</v>
      </c>
      <c r="F23" s="51">
        <f>ROUND((F24+F25+F26+F27+F28+F29+F30),2)</f>
        <v>7774.22</v>
      </c>
      <c r="G23" s="51">
        <f>ROUND((G24+G25+G26+G27+G28+G29+G30),2)</f>
        <v>49.37</v>
      </c>
      <c r="H23" s="24">
        <f>C23/C56*1000</f>
        <v>1481.5021653878584</v>
      </c>
      <c r="I23" s="24">
        <f>D23/D56*1000</f>
        <v>1287.5567794438823</v>
      </c>
      <c r="J23" s="24">
        <f>E23/E56*1000</f>
        <v>2494.2598915885187</v>
      </c>
      <c r="K23" s="24">
        <f>F23/F56*1000</f>
        <v>2495.0559237447246</v>
      </c>
      <c r="L23" s="24">
        <f>G23/G56*1000</f>
        <v>2511.1902339776198</v>
      </c>
    </row>
    <row r="24" spans="1:12" ht="30" x14ac:dyDescent="0.25">
      <c r="A24" s="50" t="s">
        <v>13</v>
      </c>
      <c r="B24" s="48" t="s">
        <v>35</v>
      </c>
      <c r="C24" s="51">
        <f>ROUND(SUM(D24:G24),2)</f>
        <v>177165.36</v>
      </c>
      <c r="D24" s="51">
        <f>ROUND((101292.58+25272.59),2)</f>
        <v>126565.17</v>
      </c>
      <c r="E24" s="51">
        <f>ROUND((38921.9+4240.34),2)</f>
        <v>43162.239999999998</v>
      </c>
      <c r="F24" s="51">
        <f>ROUND((6664.41+725.99),2)</f>
        <v>7390.4</v>
      </c>
      <c r="G24" s="51">
        <f>ROUND((42.85+4.7),2)</f>
        <v>47.55</v>
      </c>
      <c r="H24" s="24">
        <f>C24/C56*1000</f>
        <v>1331.6384444925156</v>
      </c>
      <c r="I24" s="24">
        <f>D24/D56*1000</f>
        <v>1133.4634518194273</v>
      </c>
      <c r="J24" s="24">
        <f>E24/E56*1000</f>
        <v>2365.6634859388441</v>
      </c>
      <c r="K24" s="24">
        <f>F24/F56*1000</f>
        <v>2371.8728436863134</v>
      </c>
      <c r="L24" s="24">
        <f>G24/G56*1000</f>
        <v>2418.6164801627669</v>
      </c>
    </row>
    <row r="25" spans="1:12" ht="66" customHeight="1" x14ac:dyDescent="0.25">
      <c r="A25" s="50" t="s">
        <v>14</v>
      </c>
      <c r="B25" s="48" t="s">
        <v>36</v>
      </c>
      <c r="C25" s="51">
        <f>D25+E25+F25+G25</f>
        <v>10526.7</v>
      </c>
      <c r="D25" s="51">
        <v>9307.2900000000009</v>
      </c>
      <c r="E25" s="51">
        <v>1055.58</v>
      </c>
      <c r="F25" s="51">
        <v>163.4</v>
      </c>
      <c r="G25" s="51">
        <v>0.43</v>
      </c>
      <c r="H25" s="24">
        <f>C25/C56*1000</f>
        <v>79.122456069512481</v>
      </c>
      <c r="I25" s="24">
        <f>D25/D56*1000</f>
        <v>83.352102718974251</v>
      </c>
      <c r="J25" s="24">
        <f>E25/E56*1000</f>
        <v>57.854899617983811</v>
      </c>
      <c r="K25" s="24">
        <f>F25/F56*1000</f>
        <v>52.441548855047586</v>
      </c>
      <c r="L25" s="24">
        <f>G25/G56*1000</f>
        <v>21.871820956256357</v>
      </c>
    </row>
    <row r="26" spans="1:12" ht="43.9" customHeight="1" x14ac:dyDescent="0.25">
      <c r="A26" s="50" t="s">
        <v>15</v>
      </c>
      <c r="B26" s="48" t="s">
        <v>37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24">
        <f>C26/C56*1000</f>
        <v>0</v>
      </c>
      <c r="I26" s="24">
        <f>D26/D56*1000</f>
        <v>0</v>
      </c>
      <c r="J26" s="24">
        <f>E26/E56*1000</f>
        <v>0</v>
      </c>
      <c r="K26" s="24">
        <f>F26/F56*1000</f>
        <v>0</v>
      </c>
      <c r="L26" s="24">
        <f>G26/G56*1000</f>
        <v>0</v>
      </c>
    </row>
    <row r="27" spans="1:12" ht="46.5" customHeight="1" x14ac:dyDescent="0.25">
      <c r="A27" s="50" t="s">
        <v>16</v>
      </c>
      <c r="B27" s="48" t="s">
        <v>38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24">
        <f>C27/C56*1000</f>
        <v>0</v>
      </c>
      <c r="I27" s="24">
        <f>D27/D56*1000</f>
        <v>0</v>
      </c>
      <c r="J27" s="24">
        <f>E27/E56*1000</f>
        <v>0</v>
      </c>
      <c r="K27" s="24">
        <f>F27/F56*1000</f>
        <v>0</v>
      </c>
      <c r="L27" s="24">
        <f>G27/G56*1000</f>
        <v>0</v>
      </c>
    </row>
    <row r="28" spans="1:12" ht="45.75" customHeight="1" x14ac:dyDescent="0.25">
      <c r="A28" s="50" t="s">
        <v>17</v>
      </c>
      <c r="B28" s="48" t="s">
        <v>39</v>
      </c>
      <c r="C28" s="51">
        <v>8394.3799999999992</v>
      </c>
      <c r="D28" s="51">
        <f>ROUND((C28/C56*D56),2)</f>
        <v>7045.35</v>
      </c>
      <c r="E28" s="51">
        <f>ROUND((C28/C56*E56),2)</f>
        <v>1151.19</v>
      </c>
      <c r="F28" s="51">
        <f>ROUND((C28/C56*F56),2)</f>
        <v>196.6</v>
      </c>
      <c r="G28" s="51">
        <f>ROUND((C28/C56*G56),2)</f>
        <v>1.24</v>
      </c>
      <c r="H28" s="24">
        <f>C28/C56*1000</f>
        <v>63.095173490343051</v>
      </c>
      <c r="I28" s="24">
        <f>D28/D56*1000</f>
        <v>63.095136918600929</v>
      </c>
      <c r="J28" s="24">
        <f>E28/E56*1000</f>
        <v>63.095153272349606</v>
      </c>
      <c r="K28" s="24">
        <f>F28/F56*1000</f>
        <v>63.096747276024196</v>
      </c>
      <c r="L28" s="24">
        <f>G28/G56*1000</f>
        <v>63.072227873855539</v>
      </c>
    </row>
    <row r="29" spans="1:12" ht="46.5" customHeight="1" x14ac:dyDescent="0.25">
      <c r="A29" s="50" t="s">
        <v>18</v>
      </c>
      <c r="B29" s="48" t="s">
        <v>40</v>
      </c>
      <c r="C29" s="51">
        <v>854.02</v>
      </c>
      <c r="D29" s="51">
        <f>ROUND((C29/C56*D56),2)</f>
        <v>716.77</v>
      </c>
      <c r="E29" s="51">
        <f>ROUND((C29/C56*E56),2)</f>
        <v>117.12</v>
      </c>
      <c r="F29" s="51">
        <f>ROUND((C29/C56*F56),2)</f>
        <v>20</v>
      </c>
      <c r="G29" s="51">
        <f>ROUND((C29/C56*G56),2)</f>
        <v>0.13</v>
      </c>
      <c r="H29" s="24">
        <f>C29/C56*1000</f>
        <v>6.4191208956733874</v>
      </c>
      <c r="I29" s="24">
        <f>D29/D56*1000</f>
        <v>6.4190851113352192</v>
      </c>
      <c r="J29" s="24">
        <f>E29/E56*1000</f>
        <v>6.4191874071678736</v>
      </c>
      <c r="K29" s="24">
        <f>F29/F56*1000</f>
        <v>6.4187942295039884</v>
      </c>
      <c r="L29" s="24">
        <f>G29/G56*1000</f>
        <v>6.6124109867751777</v>
      </c>
    </row>
    <row r="30" spans="1:12" ht="30" x14ac:dyDescent="0.25">
      <c r="A30" s="50" t="s">
        <v>19</v>
      </c>
      <c r="B30" s="48" t="s">
        <v>41</v>
      </c>
      <c r="C30" s="51">
        <v>163.24</v>
      </c>
      <c r="D30" s="51">
        <f>ROUND((C30/C56*D56),2)</f>
        <v>137.01</v>
      </c>
      <c r="E30" s="51">
        <f>ROUND((C30/C56*E56),2)</f>
        <v>22.39</v>
      </c>
      <c r="F30" s="51">
        <f>ROUND((C30/C56*F56),2)</f>
        <v>3.82</v>
      </c>
      <c r="G30" s="51">
        <f>ROUND((C30/C56*G56),2)</f>
        <v>0.02</v>
      </c>
      <c r="H30" s="24">
        <f>C30/C56*1000</f>
        <v>1.2269704398137324</v>
      </c>
      <c r="I30" s="24">
        <f>D30/D56*1000</f>
        <v>1.2270028755445097</v>
      </c>
      <c r="J30" s="24">
        <f>E30/E56*1000</f>
        <v>1.2271653521728885</v>
      </c>
      <c r="K30" s="24">
        <f>F30/F56*1000</f>
        <v>1.2259896978352616</v>
      </c>
      <c r="L30" s="24">
        <f>G30/G56*1000</f>
        <v>1.0172939979654119</v>
      </c>
    </row>
    <row r="31" spans="1:12" x14ac:dyDescent="0.25">
      <c r="A31" s="50" t="s">
        <v>20</v>
      </c>
      <c r="B31" s="48" t="s">
        <v>42</v>
      </c>
      <c r="C31" s="51">
        <v>23921.64</v>
      </c>
      <c r="D31" s="51">
        <f>ROUND((C31/C56*D56),2)</f>
        <v>20077.29</v>
      </c>
      <c r="E31" s="51">
        <f>ROUND((D31/D56*E56),2)</f>
        <v>3280.57</v>
      </c>
      <c r="F31" s="51">
        <f>ROUND((E31/E56*F56),2)</f>
        <v>560.24</v>
      </c>
      <c r="G31" s="51">
        <f>ROUND((F31/F56*G56),2)</f>
        <v>3.53</v>
      </c>
      <c r="H31" s="24">
        <f>C31/C56*1000</f>
        <v>179.80363361838872</v>
      </c>
      <c r="I31" s="24">
        <f>D31/D56*1000</f>
        <v>179.8036096864538</v>
      </c>
      <c r="J31" s="24">
        <f>E31/E56*1000</f>
        <v>179.80356584983531</v>
      </c>
      <c r="K31" s="24">
        <f>F31/F56*1000</f>
        <v>179.80326395686572</v>
      </c>
      <c r="L31" s="24">
        <f>G31/G56*1000</f>
        <v>179.5523906408952</v>
      </c>
    </row>
    <row r="32" spans="1:12" x14ac:dyDescent="0.25">
      <c r="A32" s="50" t="s">
        <v>21</v>
      </c>
      <c r="B32" s="48" t="s">
        <v>43</v>
      </c>
      <c r="C32" s="51">
        <f>ROUND(SUM(C33:C35),2)</f>
        <v>21875.7</v>
      </c>
      <c r="D32" s="51">
        <f>ROUND(SUM(D33:D35),2)</f>
        <v>18360.14</v>
      </c>
      <c r="E32" s="51">
        <f>ROUND(SUM(E33:E35),2)</f>
        <v>3000</v>
      </c>
      <c r="F32" s="51">
        <f>ROUND(SUM(F33:F35),2)</f>
        <v>512.33000000000004</v>
      </c>
      <c r="G32" s="51">
        <f>ROUND(SUM(G33:G35),2)</f>
        <v>3.23</v>
      </c>
      <c r="H32" s="24">
        <f>C32/C56*1000</f>
        <v>164.42561412786858</v>
      </c>
      <c r="I32" s="24">
        <f>D32/D56*1000</f>
        <v>164.42554978030637</v>
      </c>
      <c r="J32" s="24">
        <f>E32/E56*1000</f>
        <v>164.42590694589839</v>
      </c>
      <c r="K32" s="24">
        <f>F32/F56*1000</f>
        <v>164.42704238008892</v>
      </c>
      <c r="L32" s="24">
        <f>G32/G56*1000</f>
        <v>164.29298067141403</v>
      </c>
    </row>
    <row r="33" spans="1:12" x14ac:dyDescent="0.25">
      <c r="A33" s="50" t="s">
        <v>22</v>
      </c>
      <c r="B33" s="48" t="s">
        <v>44</v>
      </c>
      <c r="C33" s="51">
        <f>ROUND((C31*0.22),2)</f>
        <v>5262.76</v>
      </c>
      <c r="D33" s="51">
        <f>ROUND((D31*0.22),2)</f>
        <v>4417</v>
      </c>
      <c r="E33" s="51">
        <f>E31*0.22</f>
        <v>721.72540000000004</v>
      </c>
      <c r="F33" s="51">
        <f>F31*0.22</f>
        <v>123.25280000000001</v>
      </c>
      <c r="G33" s="51">
        <f>G31*0.22</f>
        <v>0.77659999999999996</v>
      </c>
      <c r="H33" s="24">
        <f>C33/C56*1000</f>
        <v>39.55679338295834</v>
      </c>
      <c r="I33" s="24">
        <f>D33/D56*1000</f>
        <v>39.556760099847459</v>
      </c>
      <c r="J33" s="24">
        <f>E33/E56*1000</f>
        <v>39.556784486963771</v>
      </c>
      <c r="K33" s="24">
        <f>F33/F56*1000</f>
        <v>39.556718070510456</v>
      </c>
      <c r="L33" s="24">
        <f>G33/G56*1000</f>
        <v>39.501525940996942</v>
      </c>
    </row>
    <row r="34" spans="1:12" ht="28.5" customHeight="1" x14ac:dyDescent="0.25">
      <c r="A34" s="50" t="s">
        <v>23</v>
      </c>
      <c r="B34" s="48" t="s">
        <v>45</v>
      </c>
      <c r="C34" s="51">
        <v>3994.36</v>
      </c>
      <c r="D34" s="51">
        <f>ROUND((C34/C56*D56),2)</f>
        <v>3352.44</v>
      </c>
      <c r="E34" s="51">
        <f>ROUND((D34/D56*E56),2)</f>
        <v>547.78</v>
      </c>
      <c r="F34" s="51">
        <f>ROUND((E34/E56*F56),2)</f>
        <v>93.55</v>
      </c>
      <c r="G34" s="51">
        <f>ROUND((F34/F56*G56),2)</f>
        <v>0.59</v>
      </c>
      <c r="H34" s="24">
        <f>C34/C56*1000</f>
        <v>30.023043653359352</v>
      </c>
      <c r="I34" s="24">
        <f>D34/D56*1000</f>
        <v>30.023016714768534</v>
      </c>
      <c r="J34" s="24">
        <f>E34/E56*1000</f>
        <v>30.023074435608073</v>
      </c>
      <c r="K34" s="24">
        <f>F34/F56*1000</f>
        <v>30.023910008504902</v>
      </c>
      <c r="L34" s="24">
        <f>G34/G56*1000</f>
        <v>30.01017293997965</v>
      </c>
    </row>
    <row r="35" spans="1:12" x14ac:dyDescent="0.25">
      <c r="A35" s="50" t="s">
        <v>24</v>
      </c>
      <c r="B35" s="48" t="s">
        <v>46</v>
      </c>
      <c r="C35" s="51">
        <v>12618.58</v>
      </c>
      <c r="D35" s="51">
        <f>ROUND((C35/C56*D56),2)</f>
        <v>10590.7</v>
      </c>
      <c r="E35" s="51">
        <f>ROUND((D35/D56*E56),2)</f>
        <v>1730.49</v>
      </c>
      <c r="F35" s="51">
        <f>ROUND((E35/E56*F56),2)</f>
        <v>295.52999999999997</v>
      </c>
      <c r="G35" s="51">
        <f>ROUND((F35/F56*G56),2)</f>
        <v>1.86</v>
      </c>
      <c r="H35" s="24">
        <f>C35/C56*1000</f>
        <v>94.8457770915509</v>
      </c>
      <c r="I35" s="24">
        <f>D35/D56*1000</f>
        <v>94.845772965690401</v>
      </c>
      <c r="J35" s="24">
        <f>E35/E56*1000</f>
        <v>94.845795903602578</v>
      </c>
      <c r="K35" s="24">
        <f>F35/F56*1000</f>
        <v>94.847312932265666</v>
      </c>
      <c r="L35" s="24">
        <f>G35/G56*1000</f>
        <v>94.608341810783315</v>
      </c>
    </row>
    <row r="36" spans="1:12" s="15" customFormat="1" x14ac:dyDescent="0.25">
      <c r="A36" s="50" t="s">
        <v>25</v>
      </c>
      <c r="B36" s="48" t="s">
        <v>47</v>
      </c>
      <c r="C36" s="52">
        <f>ROUND(SUM(C37:C40),2)</f>
        <v>3434.67</v>
      </c>
      <c r="D36" s="51">
        <f>ROUND(SUM(D37:D40),2)</f>
        <v>2882.7</v>
      </c>
      <c r="E36" s="51">
        <f>ROUND(SUM(E37:E40),2)</f>
        <v>471.03</v>
      </c>
      <c r="F36" s="51">
        <f>ROUND(SUM(F37:F40),2)</f>
        <v>80.44</v>
      </c>
      <c r="G36" s="51">
        <f>ROUND(SUM(G37:G40),2)</f>
        <v>0.5</v>
      </c>
      <c r="H36" s="31">
        <f>C36/C56*1000</f>
        <v>25.816212696122474</v>
      </c>
      <c r="I36" s="31">
        <f>D36/D56*1000</f>
        <v>25.816226474944592</v>
      </c>
      <c r="J36" s="31">
        <f>E36/E56*1000</f>
        <v>25.81651164957551</v>
      </c>
      <c r="K36" s="31">
        <f>F36/F56*1000</f>
        <v>25.816390391065038</v>
      </c>
      <c r="L36" s="31">
        <f>G36/G56*1000</f>
        <v>25.4323499491353</v>
      </c>
    </row>
    <row r="37" spans="1:12" ht="24.75" customHeight="1" x14ac:dyDescent="0.25">
      <c r="A37" s="50" t="s">
        <v>26</v>
      </c>
      <c r="B37" s="48" t="s">
        <v>48</v>
      </c>
      <c r="C37" s="52">
        <v>2736.8</v>
      </c>
      <c r="D37" s="51">
        <f>ROUND((C37/C56*D56),2)</f>
        <v>2296.98</v>
      </c>
      <c r="E37" s="51">
        <f>ROUND((D37/D56*E56),2)</f>
        <v>375.32</v>
      </c>
      <c r="F37" s="51">
        <f>ROUND((E37/E56*F56),2)</f>
        <v>64.099999999999994</v>
      </c>
      <c r="G37" s="51">
        <f>ROUND((F37/F56*G56),2)</f>
        <v>0.4</v>
      </c>
      <c r="H37" s="24">
        <f>C37/C56*1000</f>
        <v>20.570771255098155</v>
      </c>
      <c r="I37" s="24">
        <f>D37/D56*1000</f>
        <v>20.570769031955539</v>
      </c>
      <c r="J37" s="24">
        <f>E37/E56*1000</f>
        <v>20.570777131644864</v>
      </c>
      <c r="K37" s="24">
        <f>F37/F56*1000</f>
        <v>20.572235505560279</v>
      </c>
      <c r="L37" s="24">
        <f>G37/G56*1000</f>
        <v>20.345879959308242</v>
      </c>
    </row>
    <row r="38" spans="1:12" x14ac:dyDescent="0.25">
      <c r="A38" s="50" t="s">
        <v>27</v>
      </c>
      <c r="B38" s="48" t="s">
        <v>44</v>
      </c>
      <c r="C38" s="52">
        <f>ROUND((C37*0.22),2)</f>
        <v>602.1</v>
      </c>
      <c r="D38" s="51">
        <f>ROUND((C38/C56*D56),2)</f>
        <v>505.34</v>
      </c>
      <c r="E38" s="51">
        <f>ROUND((D38/D56*E56),2)</f>
        <v>82.57</v>
      </c>
      <c r="F38" s="51">
        <f>ROUND((E38/E56*F56),2)</f>
        <v>14.1</v>
      </c>
      <c r="G38" s="51">
        <f>ROUND((F38/F56*G56),2)</f>
        <v>0.09</v>
      </c>
      <c r="H38" s="24">
        <f>C38/C56*1000</f>
        <v>4.525599741557512</v>
      </c>
      <c r="I38" s="24">
        <f>D38/D56*1000</f>
        <v>4.5256085915455992</v>
      </c>
      <c r="J38" s="24">
        <f>E38/E56*1000</f>
        <v>4.5255490455076099</v>
      </c>
      <c r="K38" s="24">
        <f>F38/F56*1000</f>
        <v>4.5252499318003121</v>
      </c>
      <c r="L38" s="24">
        <f>G38/G56*1000</f>
        <v>4.5778229908443544</v>
      </c>
    </row>
    <row r="39" spans="1:12" x14ac:dyDescent="0.25">
      <c r="A39" s="50" t="s">
        <v>28</v>
      </c>
      <c r="B39" s="48" t="s">
        <v>45</v>
      </c>
      <c r="C39" s="52">
        <v>14.12</v>
      </c>
      <c r="D39" s="51">
        <f>ROUND((C39/C56*D56),2)</f>
        <v>11.85</v>
      </c>
      <c r="E39" s="51">
        <f>ROUND((D39/D56*E56),2)</f>
        <v>1.94</v>
      </c>
      <c r="F39" s="51">
        <f>ROUND((E39/E56*F56),2)</f>
        <v>0.33</v>
      </c>
      <c r="G39" s="51">
        <f>ROUND((F39/F56*G56),2)</f>
        <v>0</v>
      </c>
      <c r="H39" s="24">
        <f>C39/C56*1000</f>
        <v>0.10613098879055319</v>
      </c>
      <c r="I39" s="24">
        <f>D39/D56*1000</f>
        <v>0.10612352437926022</v>
      </c>
      <c r="J39" s="24">
        <f>E39/E56*1000</f>
        <v>0.10632875315834764</v>
      </c>
      <c r="K39" s="24">
        <f>F39/F56*1000</f>
        <v>0.1059101047868158</v>
      </c>
      <c r="L39" s="24">
        <f>G39/G56*1000</f>
        <v>0</v>
      </c>
    </row>
    <row r="40" spans="1:12" ht="22.5" customHeight="1" x14ac:dyDescent="0.25">
      <c r="A40" s="50" t="s">
        <v>29</v>
      </c>
      <c r="B40" s="48" t="s">
        <v>49</v>
      </c>
      <c r="C40" s="52">
        <v>81.650000000000006</v>
      </c>
      <c r="D40" s="51">
        <f>ROUND((C40/C56*D56),2)</f>
        <v>68.53</v>
      </c>
      <c r="E40" s="51">
        <f>ROUND((D40/D56*E56),2)</f>
        <v>11.2</v>
      </c>
      <c r="F40" s="51">
        <f>ROUND((E40/E56*F56),2)</f>
        <v>1.91</v>
      </c>
      <c r="G40" s="51">
        <f>ROUND((F40/F56*G56),2)</f>
        <v>0.01</v>
      </c>
      <c r="H40" s="24">
        <f>C40/C56*1000</f>
        <v>0.61371071067625127</v>
      </c>
      <c r="I40" s="24">
        <f>D40/D56*1000</f>
        <v>0.61372532706419436</v>
      </c>
      <c r="J40" s="24">
        <f>E40/E56*1000</f>
        <v>0.61385671926468732</v>
      </c>
      <c r="K40" s="24">
        <f>F40/F56*1000</f>
        <v>0.61299484891763079</v>
      </c>
      <c r="L40" s="24">
        <f>G40/G56*1000</f>
        <v>0.50864699898270593</v>
      </c>
    </row>
    <row r="41" spans="1:12" s="15" customFormat="1" ht="32.25" customHeight="1" x14ac:dyDescent="0.25">
      <c r="A41" s="50" t="s">
        <v>30</v>
      </c>
      <c r="B41" s="48" t="s">
        <v>50</v>
      </c>
      <c r="C41" s="52">
        <f>ROUND(SUM(C42:C45),2)</f>
        <v>7356.78</v>
      </c>
      <c r="D41" s="51">
        <f>ROUND(SUM(D42:D45),2)</f>
        <v>6174.5</v>
      </c>
      <c r="E41" s="51">
        <f>ROUND(SUM(E42:E45),2)</f>
        <v>1008.9</v>
      </c>
      <c r="F41" s="51">
        <f>ROUND(SUM(F42:F45),2)</f>
        <v>172.3</v>
      </c>
      <c r="G41" s="51">
        <f>ROUND(SUM(G42:G45),2)</f>
        <v>1.0900000000000001</v>
      </c>
      <c r="H41" s="31">
        <f>C41/C56*1000</f>
        <v>55.296199413212875</v>
      </c>
      <c r="I41" s="31">
        <f>D41/D56*1000</f>
        <v>55.296177323184999</v>
      </c>
      <c r="J41" s="31">
        <f>E41/E56*1000</f>
        <v>55.296432505905628</v>
      </c>
      <c r="K41" s="31">
        <f>F41/F56*1000</f>
        <v>55.297912287176857</v>
      </c>
      <c r="L41" s="31">
        <f>G41/G56*1000</f>
        <v>55.442522889114954</v>
      </c>
    </row>
    <row r="42" spans="1:12" ht="21" customHeight="1" x14ac:dyDescent="0.25">
      <c r="A42" s="50" t="s">
        <v>31</v>
      </c>
      <c r="B42" s="48" t="s">
        <v>48</v>
      </c>
      <c r="C42" s="52">
        <v>5663.4</v>
      </c>
      <c r="D42" s="51">
        <f>ROUND((C42/C56*D56),2)</f>
        <v>4753.26</v>
      </c>
      <c r="E42" s="51">
        <f>ROUND((D42/D56*E56),2)</f>
        <v>776.67</v>
      </c>
      <c r="F42" s="51">
        <f>ROUND((E42/E56*F56),2)</f>
        <v>132.63999999999999</v>
      </c>
      <c r="G42" s="51">
        <f>ROUND((F42/F56*G56),2)</f>
        <v>0.84</v>
      </c>
      <c r="H42" s="24">
        <f>C42/C56*1000</f>
        <v>42.568147444505584</v>
      </c>
      <c r="I42" s="24">
        <f>D42/D56*1000</f>
        <v>42.568160632148732</v>
      </c>
      <c r="J42" s="24">
        <f>E42/E56*1000</f>
        <v>42.568223049223633</v>
      </c>
      <c r="K42" s="24">
        <f>F42/F56*1000</f>
        <v>42.569443330070442</v>
      </c>
      <c r="L42" s="24">
        <f>G42/G56*1000</f>
        <v>42.726347914547304</v>
      </c>
    </row>
    <row r="43" spans="1:12" x14ac:dyDescent="0.25">
      <c r="A43" s="50" t="s">
        <v>32</v>
      </c>
      <c r="B43" s="48" t="s">
        <v>44</v>
      </c>
      <c r="C43" s="52">
        <f>ROUND((C42*0.22),2)</f>
        <v>1245.95</v>
      </c>
      <c r="D43" s="51">
        <f>ROUND((C43/C56*D56),2)</f>
        <v>1045.72</v>
      </c>
      <c r="E43" s="51">
        <f>ROUND((D43/D56*E56),2)</f>
        <v>170.87</v>
      </c>
      <c r="F43" s="51">
        <f>ROUND((E43/E56*F56),2)</f>
        <v>29.18</v>
      </c>
      <c r="G43" s="51">
        <f>ROUND((F43/F56*G56),2)</f>
        <v>0.18</v>
      </c>
      <c r="H43" s="24">
        <f>C43/C56*1000</f>
        <v>9.3650074705091892</v>
      </c>
      <c r="I43" s="24">
        <f>D43/D56*1000</f>
        <v>9.3650204146734168</v>
      </c>
      <c r="J43" s="24">
        <f>E43/E56*1000</f>
        <v>9.3651515732818869</v>
      </c>
      <c r="K43" s="24">
        <f>F43/F56*1000</f>
        <v>9.3650207808463186</v>
      </c>
      <c r="L43" s="24">
        <f>G43/G56*1000</f>
        <v>9.1556459816887088</v>
      </c>
    </row>
    <row r="44" spans="1:12" x14ac:dyDescent="0.25">
      <c r="A44" s="50" t="s">
        <v>33</v>
      </c>
      <c r="B44" s="48" t="s">
        <v>45</v>
      </c>
      <c r="C44" s="52">
        <v>39.369999999999997</v>
      </c>
      <c r="D44" s="51">
        <f>ROUND((C44/C56*D56),2)</f>
        <v>33.04</v>
      </c>
      <c r="E44" s="51">
        <f>ROUND((D44/D56*E56),2)</f>
        <v>5.4</v>
      </c>
      <c r="F44" s="51">
        <f>ROUND((E44/E56*F56),2)</f>
        <v>0.92</v>
      </c>
      <c r="G44" s="51">
        <f>ROUND((F44/F56*G56),2)</f>
        <v>0.01</v>
      </c>
      <c r="H44" s="24">
        <f>C44/C56*1000</f>
        <v>0.29591905302295174</v>
      </c>
      <c r="I44" s="24">
        <f>D44/D56*1000</f>
        <v>0.29589208822706814</v>
      </c>
      <c r="J44" s="24">
        <f>E44/E56*1000</f>
        <v>0.29596663250261718</v>
      </c>
      <c r="K44" s="24">
        <f>F44/F56*1000</f>
        <v>0.29526453455718343</v>
      </c>
      <c r="L44" s="24">
        <f>G44/G56*1000</f>
        <v>0.50864699898270593</v>
      </c>
    </row>
    <row r="45" spans="1:12" x14ac:dyDescent="0.25">
      <c r="A45" s="50" t="s">
        <v>52</v>
      </c>
      <c r="B45" s="48" t="s">
        <v>49</v>
      </c>
      <c r="C45" s="52">
        <v>408.06</v>
      </c>
      <c r="D45" s="51">
        <f>ROUND((C45/C56*D56),2)</f>
        <v>342.48</v>
      </c>
      <c r="E45" s="51">
        <f>ROUND((D45/D56*E56),2)</f>
        <v>55.96</v>
      </c>
      <c r="F45" s="51">
        <f>ROUND((E45/E56*F56),2)</f>
        <v>9.56</v>
      </c>
      <c r="G45" s="51">
        <f>ROUND((F45/F56*G56),2)</f>
        <v>0.06</v>
      </c>
      <c r="H45" s="24">
        <f>C45/C56*1000</f>
        <v>3.0671254451751508</v>
      </c>
      <c r="I45" s="24">
        <f>D45/D56*1000</f>
        <v>3.0671041881357839</v>
      </c>
      <c r="J45" s="24">
        <f>E45/E56*1000</f>
        <v>3.0670912508974917</v>
      </c>
      <c r="K45" s="24">
        <f>F45/F56*1000</f>
        <v>3.0681836417029063</v>
      </c>
      <c r="L45" s="24">
        <f>G45/G56*1000</f>
        <v>3.0518819938962358</v>
      </c>
    </row>
    <row r="46" spans="1:12" s="15" customFormat="1" x14ac:dyDescent="0.25">
      <c r="A46" s="50" t="s">
        <v>53</v>
      </c>
      <c r="B46" s="48" t="s">
        <v>59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31">
        <f>C46/C56*1000</f>
        <v>0</v>
      </c>
      <c r="I46" s="31">
        <f>D46/D56*1000</f>
        <v>0</v>
      </c>
      <c r="J46" s="31">
        <f>E46/E56*1000</f>
        <v>0</v>
      </c>
      <c r="K46" s="31">
        <f>F46/F56*1000</f>
        <v>0</v>
      </c>
      <c r="L46" s="31">
        <f>G46/G56*1000</f>
        <v>0</v>
      </c>
    </row>
    <row r="47" spans="1:12" s="15" customFormat="1" x14ac:dyDescent="0.25">
      <c r="A47" s="50" t="s">
        <v>54</v>
      </c>
      <c r="B47" s="48" t="s">
        <v>60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31">
        <f>C47/C56*1000</f>
        <v>0</v>
      </c>
      <c r="I47" s="31">
        <f>D47/D56*1000</f>
        <v>0</v>
      </c>
      <c r="J47" s="31">
        <f>E47/E56*1000</f>
        <v>0</v>
      </c>
      <c r="K47" s="31">
        <f>F47/F56*1000</f>
        <v>0</v>
      </c>
      <c r="L47" s="31">
        <f>G47/G56*1000</f>
        <v>0</v>
      </c>
    </row>
    <row r="48" spans="1:12" s="15" customFormat="1" x14ac:dyDescent="0.25">
      <c r="A48" s="50" t="s">
        <v>55</v>
      </c>
      <c r="B48" s="48" t="s">
        <v>61</v>
      </c>
      <c r="C48" s="51">
        <f>SUM(D48:G48)</f>
        <v>0</v>
      </c>
      <c r="D48" s="51">
        <v>0</v>
      </c>
      <c r="E48" s="51">
        <v>0</v>
      </c>
      <c r="F48" s="51">
        <v>0</v>
      </c>
      <c r="G48" s="51">
        <v>0</v>
      </c>
      <c r="H48" s="31">
        <f>C48/C56*1000</f>
        <v>0</v>
      </c>
      <c r="I48" s="31">
        <f>D48/D56*1000</f>
        <v>0</v>
      </c>
      <c r="J48" s="31">
        <f>E48/E56*1000</f>
        <v>0</v>
      </c>
      <c r="K48" s="31">
        <f>F48/F56*1000</f>
        <v>0</v>
      </c>
      <c r="L48" s="31">
        <f>G48/G56*1000</f>
        <v>0</v>
      </c>
    </row>
    <row r="49" spans="1:12" s="15" customFormat="1" x14ac:dyDescent="0.25">
      <c r="A49" s="50" t="s">
        <v>56</v>
      </c>
      <c r="B49" s="48" t="s">
        <v>62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31">
        <f>C49/C56*1000</f>
        <v>0</v>
      </c>
      <c r="I49" s="31">
        <f>D49/D56*1000</f>
        <v>0</v>
      </c>
      <c r="J49" s="31">
        <f>E49/E56*1000</f>
        <v>0</v>
      </c>
      <c r="K49" s="31">
        <f>F49/F56*1000</f>
        <v>0</v>
      </c>
      <c r="L49" s="31">
        <f>G49/G56*1000</f>
        <v>0</v>
      </c>
    </row>
    <row r="50" spans="1:12" s="15" customFormat="1" x14ac:dyDescent="0.25">
      <c r="A50" s="50" t="s">
        <v>57</v>
      </c>
      <c r="B50" s="48" t="s">
        <v>119</v>
      </c>
      <c r="C50" s="51">
        <f>D50+E50+F50+G50</f>
        <v>253692.49</v>
      </c>
      <c r="D50" s="51">
        <f>D22+D41</f>
        <v>191266.22</v>
      </c>
      <c r="E50" s="51">
        <f t="shared" ref="E50:G50" si="2">E22+E41</f>
        <v>53269.020000000004</v>
      </c>
      <c r="F50" s="51">
        <f t="shared" si="2"/>
        <v>9099.5299999999988</v>
      </c>
      <c r="G50" s="51">
        <f t="shared" si="2"/>
        <v>57.720000000000006</v>
      </c>
      <c r="H50" s="31"/>
      <c r="I50" s="31"/>
      <c r="J50" s="31"/>
      <c r="K50" s="31"/>
      <c r="L50" s="31"/>
    </row>
    <row r="51" spans="1:12" s="15" customFormat="1" ht="30" x14ac:dyDescent="0.25">
      <c r="A51" s="50" t="s">
        <v>58</v>
      </c>
      <c r="B51" s="48" t="s">
        <v>63</v>
      </c>
      <c r="C51" s="49">
        <f>ROUND(SUM((C54*100/82)),2)</f>
        <v>12375.24</v>
      </c>
      <c r="D51" s="49">
        <f t="shared" ref="D51:G51" si="3">ROUND(SUM((D54*100/82)),2)</f>
        <v>9330.06</v>
      </c>
      <c r="E51" s="49">
        <f t="shared" si="3"/>
        <v>2598.4899999999998</v>
      </c>
      <c r="F51" s="49">
        <f t="shared" si="3"/>
        <v>443.88</v>
      </c>
      <c r="G51" s="49">
        <f t="shared" si="3"/>
        <v>2.82</v>
      </c>
      <c r="H51" s="31">
        <f>C51/C56*1000</f>
        <v>93.016746297479131</v>
      </c>
      <c r="I51" s="31">
        <f>D51/D56*1000</f>
        <v>83.556021086072619</v>
      </c>
      <c r="J51" s="31">
        <f>E51/E56*1000</f>
        <v>142.41969164661583</v>
      </c>
      <c r="K51" s="31">
        <f>F51/F56*1000</f>
        <v>142.4587191296115</v>
      </c>
      <c r="L51" s="31">
        <f>G51/G56*1000</f>
        <v>143.4384537131231</v>
      </c>
    </row>
    <row r="52" spans="1:12" x14ac:dyDescent="0.25">
      <c r="A52" s="50" t="s">
        <v>79</v>
      </c>
      <c r="B52" s="48" t="s">
        <v>64</v>
      </c>
      <c r="C52" s="49">
        <f>ROUND((C51*0.18),2)</f>
        <v>2227.54</v>
      </c>
      <c r="D52" s="51">
        <f>ROUND((D51*0.18),2)</f>
        <v>1679.41</v>
      </c>
      <c r="E52" s="51">
        <f>ROUND((E51*0.18),2)</f>
        <v>467.73</v>
      </c>
      <c r="F52" s="51">
        <f>ROUND((F51*0.18),2)</f>
        <v>79.900000000000006</v>
      </c>
      <c r="G52" s="51">
        <f>ROUND((G51*0.18),2)</f>
        <v>0.51</v>
      </c>
      <c r="H52" s="24">
        <f>C52/C56*1000</f>
        <v>16.74299028119751</v>
      </c>
      <c r="I52" s="24">
        <f>D52/D56*1000</f>
        <v>15.040076631035731</v>
      </c>
      <c r="J52" s="24">
        <f>E52/E56*1000</f>
        <v>25.635643151935021</v>
      </c>
      <c r="K52" s="24">
        <f>F52/F56*1000</f>
        <v>25.643082946868432</v>
      </c>
      <c r="L52" s="24">
        <f>G52/G56*1000</f>
        <v>25.940996948118006</v>
      </c>
    </row>
    <row r="53" spans="1:12" ht="30" x14ac:dyDescent="0.25">
      <c r="A53" s="50" t="s">
        <v>80</v>
      </c>
      <c r="B53" s="48" t="s">
        <v>65</v>
      </c>
      <c r="C53" s="49">
        <v>0</v>
      </c>
      <c r="D53" s="49">
        <v>0</v>
      </c>
      <c r="E53" s="49">
        <f>C53/(E56+F56+G56)*E56</f>
        <v>0</v>
      </c>
      <c r="F53" s="49">
        <f>C53/(E56+F56+G56)*F56</f>
        <v>0</v>
      </c>
      <c r="G53" s="49">
        <f>C53/(E56+F56+G56)*G56</f>
        <v>0</v>
      </c>
      <c r="H53" s="24">
        <f>C53/C56*1000</f>
        <v>0</v>
      </c>
      <c r="I53" s="24">
        <f>D53/D56*1000</f>
        <v>0</v>
      </c>
      <c r="J53" s="24">
        <f>E53/E56*1000</f>
        <v>0</v>
      </c>
      <c r="K53" s="24">
        <f>F53/F56*1000</f>
        <v>0</v>
      </c>
      <c r="L53" s="24">
        <f>G53/G56*1000</f>
        <v>0</v>
      </c>
    </row>
    <row r="54" spans="1:12" x14ac:dyDescent="0.25">
      <c r="A54" s="50" t="s">
        <v>81</v>
      </c>
      <c r="B54" s="48" t="s">
        <v>66</v>
      </c>
      <c r="C54" s="49">
        <f>ROUND((C50*4%),2)</f>
        <v>10147.700000000001</v>
      </c>
      <c r="D54" s="49">
        <f t="shared" ref="D54:G54" si="4">ROUND((D50*4%),2)</f>
        <v>7650.65</v>
      </c>
      <c r="E54" s="49">
        <f t="shared" si="4"/>
        <v>2130.7600000000002</v>
      </c>
      <c r="F54" s="49">
        <f t="shared" si="4"/>
        <v>363.98</v>
      </c>
      <c r="G54" s="49">
        <f t="shared" si="4"/>
        <v>2.31</v>
      </c>
      <c r="H54" s="24">
        <f>C54/C56*1000</f>
        <v>76.273756016281624</v>
      </c>
      <c r="I54" s="24">
        <f>D54/D56*1000</f>
        <v>68.515944455036887</v>
      </c>
      <c r="J54" s="24">
        <f>E54/E56*1000</f>
        <v>116.78404849468085</v>
      </c>
      <c r="K54" s="24">
        <f>F54/F56*1000</f>
        <v>116.81563618274309</v>
      </c>
      <c r="L54" s="24">
        <f>G54/G56*1000</f>
        <v>117.49745676500508</v>
      </c>
    </row>
    <row r="55" spans="1:12" s="15" customFormat="1" ht="30" x14ac:dyDescent="0.25">
      <c r="A55" s="50" t="s">
        <v>82</v>
      </c>
      <c r="B55" s="48" t="s">
        <v>109</v>
      </c>
      <c r="C55" s="51">
        <f>ROUND((C22+C41+C46+C47+C48+C49+C51),2)</f>
        <v>266067.73</v>
      </c>
      <c r="D55" s="51">
        <f>ROUND((D22+D41+D46+D47+D48+D49+D51),2)</f>
        <v>200596.28</v>
      </c>
      <c r="E55" s="51">
        <f>ROUND((E22+E41+E46+E47+E48+E49+E51),2)</f>
        <v>55867.51</v>
      </c>
      <c r="F55" s="51">
        <f>ROUND((F22+F41+F46+F47+F48+F49+F51),2)</f>
        <v>9543.41</v>
      </c>
      <c r="G55" s="51">
        <f>ROUND((G22+G41+G46+G47+G48+G49+G51),2)</f>
        <v>60.54</v>
      </c>
      <c r="H55" s="31">
        <f>C55/C56*1000</f>
        <v>1999.8605715409299</v>
      </c>
      <c r="I55" s="31">
        <f>D55/D56*1000</f>
        <v>1796.4543637948448</v>
      </c>
      <c r="J55" s="31">
        <f>E55/E56*1000</f>
        <v>3062.0220001863495</v>
      </c>
      <c r="K55" s="31">
        <f>F55/F56*1000</f>
        <v>3062.859251889533</v>
      </c>
      <c r="L55" s="31">
        <f>G55/G56*1000</f>
        <v>3079.3489318413017</v>
      </c>
    </row>
    <row r="56" spans="1:12" s="15" customFormat="1" ht="34.5" customHeight="1" x14ac:dyDescent="0.25">
      <c r="A56" s="53">
        <v>10</v>
      </c>
      <c r="B56" s="48" t="s">
        <v>67</v>
      </c>
      <c r="C56" s="49">
        <f>SUM(D56:G56)</f>
        <v>133043.14000000001</v>
      </c>
      <c r="D56" s="49">
        <v>111662.33</v>
      </c>
      <c r="E56" s="49">
        <v>18245.3</v>
      </c>
      <c r="F56" s="49">
        <v>3115.85</v>
      </c>
      <c r="G56" s="49">
        <v>19.66</v>
      </c>
      <c r="H56" s="41"/>
      <c r="I56" s="41" t="s">
        <v>105</v>
      </c>
      <c r="J56" s="41" t="s">
        <v>106</v>
      </c>
      <c r="K56" s="41" t="s">
        <v>107</v>
      </c>
      <c r="L56" s="41" t="s">
        <v>108</v>
      </c>
    </row>
    <row r="57" spans="1:12" ht="15.75" customHeight="1" x14ac:dyDescent="0.25">
      <c r="A57" s="54"/>
      <c r="B57" s="54"/>
      <c r="C57" s="42"/>
      <c r="D57" s="42"/>
      <c r="E57" s="42"/>
      <c r="F57" s="42"/>
      <c r="G57" s="42"/>
    </row>
    <row r="58" spans="1:12" ht="15.75" hidden="1" customHeight="1" x14ac:dyDescent="0.25">
      <c r="A58" s="54"/>
      <c r="B58" s="54"/>
      <c r="C58" s="42"/>
      <c r="D58" s="42"/>
      <c r="E58" s="42"/>
      <c r="F58" s="42"/>
      <c r="G58" s="42"/>
    </row>
    <row r="59" spans="1:12" ht="30" x14ac:dyDescent="0.25">
      <c r="A59" s="42"/>
      <c r="B59" s="85" t="s">
        <v>111</v>
      </c>
      <c r="C59" s="82"/>
      <c r="D59" s="82"/>
      <c r="E59" s="82"/>
      <c r="F59" s="86" t="s">
        <v>112</v>
      </c>
      <c r="G59" s="86"/>
    </row>
    <row r="60" spans="1:12" x14ac:dyDescent="0.25">
      <c r="A60" s="42"/>
      <c r="B60" s="81"/>
      <c r="C60" s="82"/>
      <c r="D60" s="82"/>
      <c r="E60" s="82"/>
      <c r="F60" s="83"/>
      <c r="G60" s="83"/>
    </row>
    <row r="61" spans="1:12" ht="30" customHeight="1" x14ac:dyDescent="0.25">
      <c r="A61" s="54"/>
      <c r="B61" s="87" t="s">
        <v>117</v>
      </c>
      <c r="C61" s="87"/>
      <c r="D61" s="42"/>
      <c r="E61" s="42"/>
      <c r="F61" s="42" t="s">
        <v>118</v>
      </c>
      <c r="G61" s="42"/>
    </row>
    <row r="62" spans="1:12" x14ac:dyDescent="0.25">
      <c r="A62" s="42"/>
      <c r="B62" s="42"/>
      <c r="C62" s="42"/>
      <c r="D62" s="42"/>
      <c r="E62" s="42"/>
      <c r="F62" s="42"/>
      <c r="G62" s="42"/>
    </row>
    <row r="63" spans="1:12" x14ac:dyDescent="0.25">
      <c r="A63" s="42"/>
      <c r="B63" s="42"/>
      <c r="C63" s="42"/>
      <c r="D63" s="42"/>
      <c r="E63" s="42"/>
      <c r="F63" s="42"/>
      <c r="G63" s="42"/>
    </row>
    <row r="64" spans="1:12" x14ac:dyDescent="0.25">
      <c r="A64" s="42"/>
      <c r="B64" s="42"/>
      <c r="C64" s="42"/>
      <c r="D64" s="42"/>
      <c r="E64" s="42"/>
      <c r="F64" s="42"/>
      <c r="G64" s="42"/>
    </row>
  </sheetData>
  <mergeCells count="11">
    <mergeCell ref="F59:G59"/>
    <mergeCell ref="B61:C61"/>
    <mergeCell ref="E2:G2"/>
    <mergeCell ref="E3:G3"/>
    <mergeCell ref="E4:G4"/>
    <mergeCell ref="B21:G21"/>
    <mergeCell ref="A7:G7"/>
    <mergeCell ref="A8:G8"/>
    <mergeCell ref="A12:A13"/>
    <mergeCell ref="B12:B13"/>
    <mergeCell ref="C12:G12"/>
  </mergeCells>
  <pageMargins left="1.299212598425197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C64" sqref="C64"/>
    </sheetView>
  </sheetViews>
  <sheetFormatPr defaultRowHeight="15" x14ac:dyDescent="0.25"/>
  <cols>
    <col min="1" max="1" width="6.85546875" customWidth="1"/>
    <col min="2" max="2" width="41.5703125" customWidth="1"/>
    <col min="3" max="3" width="10.85546875" customWidth="1"/>
    <col min="4" max="4" width="0.140625" customWidth="1"/>
    <col min="5" max="8" width="11.28515625" customWidth="1"/>
    <col min="9" max="9" width="10.5703125" bestFit="1" customWidth="1"/>
    <col min="14" max="17" width="11.5703125" bestFit="1" customWidth="1"/>
  </cols>
  <sheetData>
    <row r="1" spans="1:17" x14ac:dyDescent="0.25">
      <c r="F1" s="30" t="s">
        <v>114</v>
      </c>
      <c r="G1" s="30"/>
      <c r="H1" s="30"/>
    </row>
    <row r="2" spans="1:17" x14ac:dyDescent="0.25">
      <c r="E2" s="88" t="s">
        <v>162</v>
      </c>
      <c r="F2" s="89"/>
      <c r="G2" s="89"/>
      <c r="H2" s="30"/>
    </row>
    <row r="3" spans="1:17" x14ac:dyDescent="0.25">
      <c r="E3" s="88" t="s">
        <v>159</v>
      </c>
      <c r="F3" s="88"/>
      <c r="G3" s="88"/>
      <c r="H3" s="30"/>
    </row>
    <row r="4" spans="1:17" x14ac:dyDescent="0.25">
      <c r="E4" s="88" t="s">
        <v>160</v>
      </c>
      <c r="F4" s="88"/>
      <c r="G4" s="88"/>
      <c r="H4" s="30"/>
    </row>
    <row r="5" spans="1:17" x14ac:dyDescent="0.25">
      <c r="E5" s="80" t="s">
        <v>161</v>
      </c>
      <c r="F5" s="80"/>
      <c r="G5" s="79"/>
      <c r="H5" s="30"/>
    </row>
    <row r="6" spans="1:17" x14ac:dyDescent="0.25">
      <c r="F6" s="30" t="s">
        <v>110</v>
      </c>
      <c r="G6" s="30"/>
      <c r="H6" s="30"/>
    </row>
    <row r="7" spans="1:17" ht="17.45" customHeight="1" x14ac:dyDescent="0.25">
      <c r="A7" s="91" t="s">
        <v>68</v>
      </c>
      <c r="B7" s="91"/>
      <c r="C7" s="91"/>
      <c r="D7" s="91"/>
      <c r="E7" s="91"/>
      <c r="F7" s="91"/>
      <c r="G7" s="91"/>
      <c r="H7" s="5"/>
    </row>
    <row r="8" spans="1:17" ht="14.25" customHeight="1" x14ac:dyDescent="0.25">
      <c r="A8" s="91" t="s">
        <v>1</v>
      </c>
      <c r="B8" s="91"/>
      <c r="C8" s="91"/>
      <c r="D8" s="91"/>
      <c r="E8" s="91"/>
      <c r="F8" s="91"/>
      <c r="G8" s="91"/>
      <c r="H8" s="5"/>
    </row>
    <row r="9" spans="1:17" ht="7.5" hidden="1" customHeight="1" x14ac:dyDescent="0.25">
      <c r="A9" s="42"/>
      <c r="B9" s="42"/>
      <c r="C9" s="42"/>
      <c r="D9" s="42"/>
      <c r="E9" s="42"/>
      <c r="F9" s="42"/>
      <c r="G9" s="42"/>
    </row>
    <row r="10" spans="1:17" x14ac:dyDescent="0.25">
      <c r="A10" s="42"/>
      <c r="B10" s="42"/>
      <c r="C10" s="42"/>
      <c r="D10" s="42"/>
      <c r="E10" s="42"/>
      <c r="F10" s="42"/>
      <c r="G10" s="42"/>
    </row>
    <row r="11" spans="1:17" ht="6" customHeight="1" x14ac:dyDescent="0.25">
      <c r="A11" s="42"/>
      <c r="B11" s="42"/>
      <c r="C11" s="42"/>
      <c r="D11" s="42"/>
      <c r="E11" s="42"/>
      <c r="F11" s="42"/>
      <c r="G11" s="42"/>
    </row>
    <row r="12" spans="1:17" ht="15.75" customHeight="1" x14ac:dyDescent="0.25">
      <c r="A12" s="92" t="s">
        <v>0</v>
      </c>
      <c r="B12" s="90" t="s">
        <v>8</v>
      </c>
      <c r="C12" s="90" t="s">
        <v>7</v>
      </c>
      <c r="D12" s="90" t="s">
        <v>146</v>
      </c>
      <c r="E12" s="90"/>
      <c r="F12" s="90"/>
      <c r="G12" s="90"/>
      <c r="H12" s="7"/>
    </row>
    <row r="13" spans="1:17" ht="60.75" customHeight="1" x14ac:dyDescent="0.25">
      <c r="A13" s="92"/>
      <c r="B13" s="90"/>
      <c r="C13" s="90"/>
      <c r="D13" s="45" t="s">
        <v>3</v>
      </c>
      <c r="E13" s="45" t="s">
        <v>4</v>
      </c>
      <c r="F13" s="45" t="s">
        <v>5</v>
      </c>
      <c r="G13" s="77" t="s">
        <v>6</v>
      </c>
      <c r="H13" s="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45">
        <v>1</v>
      </c>
      <c r="B14" s="45">
        <v>2</v>
      </c>
      <c r="C14" s="45">
        <v>3</v>
      </c>
      <c r="D14" s="45">
        <v>4</v>
      </c>
      <c r="E14" s="45">
        <v>4</v>
      </c>
      <c r="F14" s="45">
        <v>5</v>
      </c>
      <c r="G14" s="45">
        <v>6</v>
      </c>
      <c r="H14" s="7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51.75" customHeight="1" x14ac:dyDescent="0.25">
      <c r="A15" s="45" t="s">
        <v>9</v>
      </c>
      <c r="B15" s="45" t="s">
        <v>152</v>
      </c>
      <c r="C15" s="47">
        <f>ROUND((C45+C47+C57),2)</f>
        <v>234520.4</v>
      </c>
      <c r="D15" s="47">
        <f>ROUND((SUM((D45*D46)+(D47*D51))/D59+D57),2)</f>
        <v>1358.2</v>
      </c>
      <c r="E15" s="47">
        <f>ROUND((SUM((E45*E46)+(E47*E51))/E59+E57),2)</f>
        <v>2455.5500000000002</v>
      </c>
      <c r="F15" s="47">
        <f>ROUND((SUM((F45*F46)+(F47*F51))/F59+F57),2)</f>
        <v>2461.3000000000002</v>
      </c>
      <c r="G15" s="47">
        <f>ROUND((SUM((G45*G46)+(G47*G51))/G59+G57),2)</f>
        <v>2484.4699999999998</v>
      </c>
      <c r="H15" s="9"/>
      <c r="I15" s="14"/>
      <c r="J15" s="17"/>
      <c r="K15" s="17"/>
      <c r="L15" s="17"/>
      <c r="M15" s="17"/>
      <c r="N15" s="18"/>
      <c r="O15" s="18"/>
      <c r="P15" s="18"/>
      <c r="Q15" s="18"/>
    </row>
    <row r="16" spans="1:17" ht="15" customHeight="1" x14ac:dyDescent="0.25">
      <c r="A16" s="45" t="s">
        <v>10</v>
      </c>
      <c r="B16" s="90" t="s">
        <v>156</v>
      </c>
      <c r="C16" s="90"/>
      <c r="D16" s="90"/>
      <c r="E16" s="90"/>
      <c r="F16" s="90"/>
      <c r="G16" s="90"/>
      <c r="H16" s="10"/>
      <c r="I16" s="18"/>
      <c r="J16" s="18"/>
      <c r="K16" s="18"/>
      <c r="L16" s="18"/>
      <c r="M16" s="18"/>
      <c r="N16" s="18"/>
      <c r="O16" s="18"/>
      <c r="P16" s="18"/>
      <c r="Q16" s="18"/>
    </row>
    <row r="17" spans="1:17" s="15" customFormat="1" ht="45.75" customHeight="1" x14ac:dyDescent="0.25">
      <c r="A17" s="45">
        <v>1</v>
      </c>
      <c r="B17" s="48" t="s">
        <v>69</v>
      </c>
      <c r="C17" s="48">
        <f>ROUND((C18+C23+C24+C28),2)</f>
        <v>207097</v>
      </c>
      <c r="D17" s="49">
        <f>ROUND((D18+D23+D24+D28),2)</f>
        <v>1264.18</v>
      </c>
      <c r="E17" s="48">
        <f>ROUND((E18+E23+E24+E28),2)</f>
        <v>2354.09</v>
      </c>
      <c r="F17" s="48">
        <f>ROUND((F18+F23+F24+F28),2)</f>
        <v>2354.25</v>
      </c>
      <c r="G17" s="48">
        <f>ROUND((G18+G23+G24+G28),2)</f>
        <v>2345.69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5" customFormat="1" x14ac:dyDescent="0.25">
      <c r="A18" s="50" t="s">
        <v>12</v>
      </c>
      <c r="B18" s="48" t="s">
        <v>34</v>
      </c>
      <c r="C18" s="48">
        <f>ROUND(SUM(C19:C22),2)</f>
        <v>179204.16</v>
      </c>
      <c r="D18" s="48">
        <f>ROUND(SUM(D19:D22),2)</f>
        <v>1069.79</v>
      </c>
      <c r="E18" s="48">
        <f>ROUND(SUM(E19:E22),2)</f>
        <v>2159.6999999999998</v>
      </c>
      <c r="F18" s="48">
        <f>ROUND(SUM(F19:F22),2)</f>
        <v>2159.86</v>
      </c>
      <c r="G18" s="48">
        <f>ROUND(SUM(G19:G22),2)</f>
        <v>2151.3000000000002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30" x14ac:dyDescent="0.25">
      <c r="A19" s="50" t="s">
        <v>13</v>
      </c>
      <c r="B19" s="48" t="s">
        <v>70</v>
      </c>
      <c r="C19" s="46">
        <f>'Теплова енергія'!C24</f>
        <v>177165.36</v>
      </c>
      <c r="D19" s="46">
        <f>ROUND(('Теплова енергія'!D24/Виробництво!D46*1000),2)</f>
        <v>1055.57</v>
      </c>
      <c r="E19" s="46">
        <f>ROUND(('Теплова енергія'!E24/Виробництво!E46*1000),2)</f>
        <v>2145.48</v>
      </c>
      <c r="F19" s="46">
        <f>ROUND(('Теплова енергія'!F24/Виробництво!F46*1000),2)</f>
        <v>2145.64</v>
      </c>
      <c r="G19" s="46">
        <f>ROUND(('Теплова енергія'!G24/Виробництво!G46*1000),2)</f>
        <v>2137.08</v>
      </c>
      <c r="H19" s="11"/>
      <c r="I19" s="1"/>
      <c r="J19" s="1"/>
      <c r="K19" s="1"/>
      <c r="L19" s="1"/>
      <c r="M19" s="1"/>
      <c r="N19" s="17"/>
      <c r="O19" s="17"/>
      <c r="P19" s="17"/>
      <c r="Q19" s="17"/>
    </row>
    <row r="20" spans="1:17" ht="31.5" customHeight="1" x14ac:dyDescent="0.25">
      <c r="A20" s="50" t="s">
        <v>14</v>
      </c>
      <c r="B20" s="48" t="s">
        <v>39</v>
      </c>
      <c r="C20" s="48">
        <v>1551.9</v>
      </c>
      <c r="D20" s="55">
        <f>ROUND((C20/C46*D46/D46*1000),2)</f>
        <v>10.82</v>
      </c>
      <c r="E20" s="55">
        <f>ROUND((C20/C46*E46/E46*1000),2)</f>
        <v>10.82</v>
      </c>
      <c r="F20" s="55">
        <f>ROUND((C20/C46*F46/F46*1000),2)</f>
        <v>10.82</v>
      </c>
      <c r="G20" s="55">
        <f>ROUND((C20/C46*G46/G46*1000),2)</f>
        <v>10.82</v>
      </c>
      <c r="H20" s="1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5">
      <c r="A21" s="50" t="s">
        <v>15</v>
      </c>
      <c r="B21" s="48" t="s">
        <v>40</v>
      </c>
      <c r="C21" s="48">
        <v>323.66000000000003</v>
      </c>
      <c r="D21" s="56">
        <f>ROUND((C21/C46*D46/D46*1000),2)</f>
        <v>2.2599999999999998</v>
      </c>
      <c r="E21" s="56">
        <f>ROUND((C21/C46*E46/E46*1000),2)</f>
        <v>2.2599999999999998</v>
      </c>
      <c r="F21" s="56">
        <f>ROUND((C21/C46*F46/F46*1000),2)</f>
        <v>2.2599999999999998</v>
      </c>
      <c r="G21" s="56">
        <f>ROUND((C21/C46*G46/G46*1000),2)</f>
        <v>2.2599999999999998</v>
      </c>
      <c r="H21" s="1"/>
      <c r="I21" s="17"/>
      <c r="J21" s="17"/>
      <c r="K21" s="17"/>
      <c r="L21" s="17"/>
      <c r="M21" s="17"/>
      <c r="N21" s="17"/>
      <c r="O21" s="17"/>
      <c r="P21" s="17"/>
      <c r="Q21" s="17"/>
    </row>
    <row r="22" spans="1:17" ht="46.5" customHeight="1" x14ac:dyDescent="0.25">
      <c r="A22" s="50" t="s">
        <v>16</v>
      </c>
      <c r="B22" s="48" t="s">
        <v>41</v>
      </c>
      <c r="C22" s="48">
        <v>163.24</v>
      </c>
      <c r="D22" s="49">
        <f>ROUND((C22/C46*D46/D46*1000),2)</f>
        <v>1.1399999999999999</v>
      </c>
      <c r="E22" s="49">
        <f>ROUND((C22/C46*E46/E46*1000),2)</f>
        <v>1.1399999999999999</v>
      </c>
      <c r="F22" s="49">
        <f>ROUND((C22/C46*F46/F46*1000),2)</f>
        <v>1.1399999999999999</v>
      </c>
      <c r="G22" s="49">
        <f>ROUND((C22/C46*G46/G46*1000),2)</f>
        <v>1.1399999999999999</v>
      </c>
      <c r="H22" s="1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50" t="s">
        <v>20</v>
      </c>
      <c r="B23" s="48" t="s">
        <v>42</v>
      </c>
      <c r="C23" s="48">
        <v>14349.37</v>
      </c>
      <c r="D23" s="51">
        <f>ROUND((C23/C46*D46/D46*1000),2)</f>
        <v>100</v>
      </c>
      <c r="E23" s="51">
        <f>ROUND((C23/C46*E46/E46*1000),2)</f>
        <v>100</v>
      </c>
      <c r="F23" s="51">
        <f>ROUND((C23/C46*F46/F46*1000),2)</f>
        <v>100</v>
      </c>
      <c r="G23" s="51">
        <f>ROUND((C23/C46*G46/G46*1000),2)</f>
        <v>100</v>
      </c>
      <c r="H23" s="1"/>
      <c r="I23" s="17"/>
      <c r="J23" s="17"/>
      <c r="K23" s="17"/>
      <c r="L23" s="17"/>
      <c r="M23" s="17"/>
      <c r="N23" s="17"/>
      <c r="O23" s="17"/>
      <c r="P23" s="17"/>
      <c r="Q23" s="17"/>
    </row>
    <row r="24" spans="1:17" s="15" customFormat="1" x14ac:dyDescent="0.25">
      <c r="A24" s="50" t="s">
        <v>21</v>
      </c>
      <c r="B24" s="48" t="s">
        <v>43</v>
      </c>
      <c r="C24" s="48">
        <f>ROUND(SUM(C25:C27),2)</f>
        <v>10518.74</v>
      </c>
      <c r="D24" s="48">
        <f>ROUND(SUM(D25:D27),2)</f>
        <v>73.3</v>
      </c>
      <c r="E24" s="48">
        <f>ROUND(SUM(E25:E27),2)</f>
        <v>73.3</v>
      </c>
      <c r="F24" s="48">
        <f>ROUND(SUM(F25:F27),2)</f>
        <v>73.3</v>
      </c>
      <c r="G24" s="48">
        <f>ROUND(SUM(G25:G27),2)</f>
        <v>73.3</v>
      </c>
      <c r="H24" s="19"/>
      <c r="I24" s="16"/>
      <c r="J24" s="16"/>
      <c r="K24" s="16"/>
      <c r="L24" s="16"/>
      <c r="M24" s="16"/>
      <c r="N24" s="19"/>
      <c r="O24" s="19"/>
      <c r="P24" s="19"/>
      <c r="Q24" s="19"/>
    </row>
    <row r="25" spans="1:17" x14ac:dyDescent="0.25">
      <c r="A25" s="50" t="s">
        <v>22</v>
      </c>
      <c r="B25" s="48" t="s">
        <v>44</v>
      </c>
      <c r="C25" s="48">
        <f>ROUND((C23*0.22),2)</f>
        <v>3156.86</v>
      </c>
      <c r="D25" s="51">
        <f>ROUND((C25/C46*D46/D46*1000),2)</f>
        <v>22</v>
      </c>
      <c r="E25" s="51">
        <f>ROUND((C25/C46*E46/E46*1000),2)</f>
        <v>22</v>
      </c>
      <c r="F25" s="51">
        <f>ROUND((C25/C46*F46/F46*1000),2)</f>
        <v>22</v>
      </c>
      <c r="G25" s="51">
        <f>ROUND((C25/C46*G46/G46*1000),2)</f>
        <v>22</v>
      </c>
      <c r="H25" s="1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28.5" customHeight="1" x14ac:dyDescent="0.25">
      <c r="A26" s="50" t="s">
        <v>23</v>
      </c>
      <c r="B26" s="48" t="s">
        <v>45</v>
      </c>
      <c r="C26" s="48">
        <v>2327.98</v>
      </c>
      <c r="D26" s="49">
        <f>ROUND((C26/C46*D46/D46*1000),2)</f>
        <v>16.22</v>
      </c>
      <c r="E26" s="49">
        <f>ROUND((C26/C46*E46/E46*1000),2)</f>
        <v>16.22</v>
      </c>
      <c r="F26" s="49">
        <f>ROUND((C26/C46*F46/F46*1000),2)</f>
        <v>16.22</v>
      </c>
      <c r="G26" s="49">
        <f>ROUND((C26/C46*G46/G46*1000),2)</f>
        <v>16.22</v>
      </c>
      <c r="H26" s="1"/>
      <c r="I26" s="17"/>
      <c r="J26" s="17"/>
      <c r="K26" s="17"/>
      <c r="L26" s="17"/>
      <c r="M26" s="17"/>
      <c r="N26" s="17"/>
      <c r="O26" s="17"/>
      <c r="P26" s="17"/>
      <c r="Q26" s="17"/>
    </row>
    <row r="27" spans="1:17" x14ac:dyDescent="0.25">
      <c r="A27" s="50" t="s">
        <v>24</v>
      </c>
      <c r="B27" s="48" t="s">
        <v>46</v>
      </c>
      <c r="C27" s="48">
        <v>5033.8999999999996</v>
      </c>
      <c r="D27" s="51">
        <f>ROUND((C27/C46*D46/D46*1000),2)</f>
        <v>35.08</v>
      </c>
      <c r="E27" s="51">
        <f>ROUND((C27/C46*E46/E46*1000),2)</f>
        <v>35.08</v>
      </c>
      <c r="F27" s="51">
        <f>ROUND((C27/C46*F46/F46*1000),2)</f>
        <v>35.08</v>
      </c>
      <c r="G27" s="51">
        <f>ROUND((C27/C46*G46/G46*1000),2)</f>
        <v>35.08</v>
      </c>
      <c r="H27" s="11"/>
      <c r="I27" s="17"/>
      <c r="J27" s="17"/>
      <c r="K27" s="17"/>
      <c r="L27" s="17"/>
      <c r="M27" s="17"/>
      <c r="N27" s="17"/>
      <c r="O27" s="17"/>
      <c r="P27" s="17"/>
      <c r="Q27" s="17"/>
    </row>
    <row r="28" spans="1:17" s="15" customFormat="1" x14ac:dyDescent="0.25">
      <c r="A28" s="50" t="s">
        <v>25</v>
      </c>
      <c r="B28" s="48" t="s">
        <v>47</v>
      </c>
      <c r="C28" s="48">
        <f>ROUND(SUM(C29:C32),2)</f>
        <v>3024.73</v>
      </c>
      <c r="D28" s="49">
        <f>ROUND(SUM(D29:D32),2)</f>
        <v>21.09</v>
      </c>
      <c r="E28" s="49">
        <f>ROUND(SUM(E29:E32),2)</f>
        <v>21.09</v>
      </c>
      <c r="F28" s="49">
        <f>ROUND(SUM(F29:F32),2)</f>
        <v>21.09</v>
      </c>
      <c r="G28" s="49">
        <f>ROUND(SUM(G29:G32),2)</f>
        <v>21.09</v>
      </c>
      <c r="H28" s="19"/>
      <c r="I28" s="16"/>
      <c r="J28" s="16"/>
      <c r="K28" s="16"/>
      <c r="L28" s="16"/>
      <c r="M28" s="16"/>
      <c r="N28" s="19"/>
      <c r="O28" s="19"/>
      <c r="P28" s="19"/>
      <c r="Q28" s="19"/>
    </row>
    <row r="29" spans="1:17" ht="24.75" customHeight="1" x14ac:dyDescent="0.25">
      <c r="A29" s="50" t="s">
        <v>26</v>
      </c>
      <c r="B29" s="48" t="s">
        <v>48</v>
      </c>
      <c r="C29" s="48">
        <v>2410.15</v>
      </c>
      <c r="D29" s="51">
        <f>ROUND((C29/C46*D46/D46*1000),2)</f>
        <v>16.8</v>
      </c>
      <c r="E29" s="51">
        <f>ROUND((C29/C46*E46/E46*1000),2)</f>
        <v>16.8</v>
      </c>
      <c r="F29" s="51">
        <f>ROUND((C29/C46*F46/F46*1000),2)</f>
        <v>16.8</v>
      </c>
      <c r="G29" s="51">
        <f>ROUND((C29/C46*G46/G46*1000),2)</f>
        <v>16.8</v>
      </c>
      <c r="H29" s="3"/>
      <c r="I29" s="17"/>
      <c r="J29" s="17"/>
      <c r="K29" s="17"/>
      <c r="L29" s="17"/>
      <c r="M29" s="17"/>
      <c r="N29" s="17"/>
      <c r="O29" s="17"/>
      <c r="P29" s="17"/>
      <c r="Q29" s="17"/>
    </row>
    <row r="30" spans="1:17" x14ac:dyDescent="0.25">
      <c r="A30" s="50" t="s">
        <v>27</v>
      </c>
      <c r="B30" s="48" t="s">
        <v>44</v>
      </c>
      <c r="C30" s="48">
        <f>ROUND((C29*0.22),2)</f>
        <v>530.23</v>
      </c>
      <c r="D30" s="51">
        <f>ROUND((C30/C46*D46/D46*1000),2)</f>
        <v>3.7</v>
      </c>
      <c r="E30" s="51">
        <f>ROUND((C30/C46*E46/E46*1000),2)</f>
        <v>3.7</v>
      </c>
      <c r="F30" s="51">
        <f>ROUND((C30/C46*F46/F46*1000),2)</f>
        <v>3.7</v>
      </c>
      <c r="G30" s="51">
        <f>ROUND((C30/C46*G46/G46*1000),2)</f>
        <v>3.7</v>
      </c>
      <c r="H30" s="3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50" t="s">
        <v>28</v>
      </c>
      <c r="B31" s="48" t="s">
        <v>45</v>
      </c>
      <c r="C31" s="48">
        <v>12.44</v>
      </c>
      <c r="D31" s="51">
        <f>ROUND((C31/C46*D46/D46*1000),2)</f>
        <v>0.09</v>
      </c>
      <c r="E31" s="51">
        <f>ROUND((C31/C46*E46/E46*1000),2)</f>
        <v>0.09</v>
      </c>
      <c r="F31" s="51">
        <f>ROUND((C31/C46*F46/F46*1000),2)</f>
        <v>0.09</v>
      </c>
      <c r="G31" s="51">
        <f>ROUND((C31/C46*G46/G46*1000),2)</f>
        <v>0.09</v>
      </c>
      <c r="H31" s="3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22.5" customHeight="1" x14ac:dyDescent="0.25">
      <c r="A32" s="50" t="s">
        <v>29</v>
      </c>
      <c r="B32" s="48" t="s">
        <v>49</v>
      </c>
      <c r="C32" s="48">
        <v>71.91</v>
      </c>
      <c r="D32" s="51">
        <f>ROUND((C32/C46*D46/D46*1000),2)</f>
        <v>0.5</v>
      </c>
      <c r="E32" s="51">
        <f>ROUND((C32/C46*E46/E46*1000),2)</f>
        <v>0.5</v>
      </c>
      <c r="F32" s="51">
        <f>ROUND((C32/C46*F46/F46*1000),2)</f>
        <v>0.5</v>
      </c>
      <c r="G32" s="51">
        <f>ROUND((C32/C46*G46/G46*1000),2)</f>
        <v>0.5</v>
      </c>
      <c r="H32" s="3"/>
      <c r="I32" s="17"/>
      <c r="J32" s="17"/>
      <c r="K32" s="17"/>
      <c r="L32" s="17"/>
      <c r="M32" s="17"/>
      <c r="N32" s="17"/>
      <c r="O32" s="17"/>
      <c r="P32" s="17"/>
      <c r="Q32" s="17"/>
    </row>
    <row r="33" spans="1:17" s="15" customFormat="1" ht="46.5" customHeight="1" x14ac:dyDescent="0.25">
      <c r="A33" s="50" t="s">
        <v>30</v>
      </c>
      <c r="B33" s="48" t="s">
        <v>71</v>
      </c>
      <c r="C33" s="49">
        <f>ROUND(SUM(C34:C37),2)</f>
        <v>6478.38</v>
      </c>
      <c r="D33" s="49">
        <f>ROUND(SUM(D34:D37),2)</f>
        <v>45.15</v>
      </c>
      <c r="E33" s="49">
        <f>ROUND(SUM(E34:E37),2)</f>
        <v>45.15</v>
      </c>
      <c r="F33" s="49">
        <f>ROUND(SUM(F34:F37),2)</f>
        <v>45.15</v>
      </c>
      <c r="G33" s="49">
        <f>ROUND(SUM(G34:G37),2)</f>
        <v>45.15</v>
      </c>
      <c r="H33" s="20"/>
      <c r="I33" s="16"/>
      <c r="J33" s="16"/>
      <c r="K33" s="16"/>
      <c r="L33" s="16"/>
      <c r="M33" s="16"/>
      <c r="N33" s="19"/>
      <c r="O33" s="19"/>
      <c r="P33" s="19"/>
      <c r="Q33" s="19"/>
    </row>
    <row r="34" spans="1:17" ht="21" customHeight="1" x14ac:dyDescent="0.25">
      <c r="A34" s="50" t="s">
        <v>31</v>
      </c>
      <c r="B34" s="48" t="s">
        <v>48</v>
      </c>
      <c r="C34" s="49">
        <v>4987.1899999999996</v>
      </c>
      <c r="D34" s="49">
        <f>ROUND((C34/C46*D46/D46*1000),2)</f>
        <v>34.76</v>
      </c>
      <c r="E34" s="49">
        <f>ROUND((C34/C46*E46/E46*1000),2)</f>
        <v>34.76</v>
      </c>
      <c r="F34" s="49">
        <f>ROUND((C34/C46*F46/F46*1000),2)</f>
        <v>34.76</v>
      </c>
      <c r="G34" s="49">
        <f>ROUND((C34/C46*G46/G46*1000),2)</f>
        <v>34.76</v>
      </c>
      <c r="H34" s="3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25">
      <c r="A35" s="50" t="s">
        <v>32</v>
      </c>
      <c r="B35" s="48" t="s">
        <v>44</v>
      </c>
      <c r="C35" s="48">
        <f>ROUND((C34*0.22),2)</f>
        <v>1097.18</v>
      </c>
      <c r="D35" s="51">
        <f>ROUND((C35/C46*D46/D46*1000),2)</f>
        <v>7.65</v>
      </c>
      <c r="E35" s="51">
        <f>ROUND((C35/C46*E46/E46*1000),2)</f>
        <v>7.65</v>
      </c>
      <c r="F35" s="51">
        <f>ROUND((C35/C46*F46/F46*1000),2)</f>
        <v>7.65</v>
      </c>
      <c r="G35" s="51">
        <f>ROUND((C35/C46*G46/G46*1000),2)</f>
        <v>7.65</v>
      </c>
      <c r="H35" s="3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25">
      <c r="A36" s="50" t="s">
        <v>33</v>
      </c>
      <c r="B36" s="48" t="s">
        <v>45</v>
      </c>
      <c r="C36" s="48">
        <v>34.67</v>
      </c>
      <c r="D36" s="51">
        <f>ROUND((C36/C46*D46/D46*1000),2)</f>
        <v>0.24</v>
      </c>
      <c r="E36" s="51">
        <f>ROUND((C36/C46*E46/E46*1000),2)</f>
        <v>0.24</v>
      </c>
      <c r="F36" s="51">
        <f>ROUND((C36/C46*F46/F46*1000),2)</f>
        <v>0.24</v>
      </c>
      <c r="G36" s="51">
        <f>ROUND((C36/C46*G46/G46*1000),2)</f>
        <v>0.24</v>
      </c>
      <c r="H36" s="3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50" t="s">
        <v>52</v>
      </c>
      <c r="B37" s="48" t="s">
        <v>49</v>
      </c>
      <c r="C37" s="48">
        <v>359.34</v>
      </c>
      <c r="D37" s="51">
        <f>ROUND((C37/C46*D46/D46*1000),2)</f>
        <v>2.5</v>
      </c>
      <c r="E37" s="51">
        <f>ROUND((C37/C46*E46/E46*1000),2)</f>
        <v>2.5</v>
      </c>
      <c r="F37" s="51">
        <f>ROUND((C37/C46*F46/F46*1000),2)</f>
        <v>2.5</v>
      </c>
      <c r="G37" s="51">
        <f>ROUND((C37/C46*G46/G46*1000),2)</f>
        <v>2.5</v>
      </c>
      <c r="H37" s="3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50" t="s">
        <v>53</v>
      </c>
      <c r="B38" s="48" t="s">
        <v>59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1"/>
      <c r="I38" s="17"/>
      <c r="J38" s="17"/>
      <c r="K38" s="17"/>
      <c r="L38" s="17"/>
      <c r="M38" s="17"/>
      <c r="N38" s="17"/>
      <c r="O38" s="17"/>
      <c r="P38" s="17"/>
      <c r="Q38" s="17"/>
    </row>
    <row r="39" spans="1:17" s="23" customFormat="1" x14ac:dyDescent="0.25">
      <c r="A39" s="50" t="s">
        <v>54</v>
      </c>
      <c r="B39" s="73" t="s">
        <v>60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3"/>
      <c r="I39" s="74"/>
      <c r="J39" s="74"/>
      <c r="K39" s="74"/>
      <c r="L39" s="74"/>
      <c r="M39" s="74"/>
      <c r="N39" s="74"/>
      <c r="O39" s="74"/>
      <c r="P39" s="74"/>
      <c r="Q39" s="74"/>
    </row>
    <row r="40" spans="1:17" s="15" customFormat="1" ht="30" x14ac:dyDescent="0.25">
      <c r="A40" s="50" t="s">
        <v>55</v>
      </c>
      <c r="B40" s="48" t="s">
        <v>120</v>
      </c>
      <c r="C40" s="49">
        <f>C17+C33+C39</f>
        <v>213575.38</v>
      </c>
      <c r="D40" s="49">
        <f>D17+D33+D39</f>
        <v>1309.3300000000002</v>
      </c>
      <c r="E40" s="49">
        <f>E17+E33+E39</f>
        <v>2399.2400000000002</v>
      </c>
      <c r="F40" s="49">
        <f>F17+F33+F39</f>
        <v>2399.4</v>
      </c>
      <c r="G40" s="49">
        <f>G17+G33+G39</f>
        <v>2390.84</v>
      </c>
      <c r="H40" s="19"/>
      <c r="I40" s="16"/>
      <c r="J40" s="16"/>
      <c r="K40" s="16"/>
      <c r="L40" s="16"/>
      <c r="M40" s="16"/>
      <c r="N40" s="16"/>
      <c r="O40" s="16"/>
      <c r="P40" s="16"/>
      <c r="Q40" s="16"/>
    </row>
    <row r="41" spans="1:17" s="35" customFormat="1" ht="30" x14ac:dyDescent="0.25">
      <c r="A41" s="50" t="s">
        <v>56</v>
      </c>
      <c r="B41" s="48" t="s">
        <v>72</v>
      </c>
      <c r="C41" s="49">
        <f>ROUND(SUM((C44*100/82)),2)</f>
        <v>10418.32</v>
      </c>
      <c r="D41" s="49">
        <f t="shared" ref="D41:G41" si="0">ROUND(SUM((D44*100/82)),2)</f>
        <v>63.87</v>
      </c>
      <c r="E41" s="49">
        <f t="shared" si="0"/>
        <v>117.04</v>
      </c>
      <c r="F41" s="49">
        <f t="shared" si="0"/>
        <v>117.05</v>
      </c>
      <c r="G41" s="49">
        <f t="shared" si="0"/>
        <v>116.62</v>
      </c>
      <c r="H41" s="32"/>
      <c r="I41" s="33"/>
      <c r="J41" s="33"/>
      <c r="K41" s="33"/>
      <c r="L41" s="33"/>
      <c r="M41" s="33"/>
      <c r="N41" s="34"/>
      <c r="O41" s="34"/>
      <c r="P41" s="34"/>
      <c r="Q41" s="34"/>
    </row>
    <row r="42" spans="1:17" s="38" customFormat="1" x14ac:dyDescent="0.25">
      <c r="A42" s="50" t="s">
        <v>121</v>
      </c>
      <c r="B42" s="48" t="s">
        <v>64</v>
      </c>
      <c r="C42" s="49">
        <f>ROUND((C41*0.18),2)</f>
        <v>1875.3</v>
      </c>
      <c r="D42" s="49">
        <f t="shared" ref="D42:G42" si="1">ROUND((D41*0.18),2)</f>
        <v>11.5</v>
      </c>
      <c r="E42" s="49">
        <f t="shared" si="1"/>
        <v>21.07</v>
      </c>
      <c r="F42" s="49">
        <f t="shared" si="1"/>
        <v>21.07</v>
      </c>
      <c r="G42" s="49">
        <f t="shared" si="1"/>
        <v>20.99</v>
      </c>
      <c r="H42" s="36"/>
      <c r="I42" s="37"/>
      <c r="J42" s="37"/>
      <c r="K42" s="37"/>
      <c r="L42" s="37"/>
      <c r="M42" s="37"/>
      <c r="N42" s="37"/>
      <c r="O42" s="37"/>
      <c r="P42" s="37"/>
      <c r="Q42" s="37"/>
    </row>
    <row r="43" spans="1:17" s="38" customFormat="1" ht="30" x14ac:dyDescent="0.25">
      <c r="A43" s="50" t="s">
        <v>122</v>
      </c>
      <c r="B43" s="48" t="s">
        <v>65</v>
      </c>
      <c r="C43" s="49">
        <f>'Теплова енергія'!C53</f>
        <v>0</v>
      </c>
      <c r="D43" s="49">
        <v>0</v>
      </c>
      <c r="E43" s="49">
        <f>C43/(E46+F46+G46)*1000</f>
        <v>0</v>
      </c>
      <c r="F43" s="49">
        <f>C43/(E46+F46+G46)*1000</f>
        <v>0</v>
      </c>
      <c r="G43" s="49">
        <f>C43/(E46+F46+G46)*1000</f>
        <v>0</v>
      </c>
      <c r="H43" s="36"/>
      <c r="I43" s="37"/>
      <c r="J43" s="37"/>
      <c r="K43" s="37"/>
      <c r="L43" s="37"/>
      <c r="M43" s="37"/>
      <c r="N43" s="37"/>
      <c r="O43" s="37"/>
      <c r="P43" s="37"/>
      <c r="Q43" s="37"/>
    </row>
    <row r="44" spans="1:17" s="38" customFormat="1" x14ac:dyDescent="0.25">
      <c r="A44" s="50" t="s">
        <v>123</v>
      </c>
      <c r="B44" s="48" t="s">
        <v>66</v>
      </c>
      <c r="C44" s="49">
        <f>ROUND((C40*4%),2)</f>
        <v>8543.02</v>
      </c>
      <c r="D44" s="49">
        <f t="shared" ref="D44:G44" si="2">ROUND((D40*4%),2)</f>
        <v>52.37</v>
      </c>
      <c r="E44" s="49">
        <f t="shared" si="2"/>
        <v>95.97</v>
      </c>
      <c r="F44" s="49">
        <f t="shared" si="2"/>
        <v>95.98</v>
      </c>
      <c r="G44" s="49">
        <f t="shared" si="2"/>
        <v>95.63</v>
      </c>
      <c r="H44" s="39"/>
      <c r="I44" s="37"/>
      <c r="J44" s="37"/>
      <c r="K44" s="37"/>
      <c r="L44" s="37"/>
      <c r="M44" s="37"/>
      <c r="N44" s="40"/>
      <c r="O44" s="40"/>
      <c r="P44" s="40"/>
      <c r="Q44" s="40"/>
    </row>
    <row r="45" spans="1:17" s="15" customFormat="1" ht="30" x14ac:dyDescent="0.25">
      <c r="A45" s="50" t="s">
        <v>57</v>
      </c>
      <c r="B45" s="48" t="s">
        <v>73</v>
      </c>
      <c r="C45" s="49">
        <f>ROUND((C17+C33+C38+C39+C41),2)</f>
        <v>223993.7</v>
      </c>
      <c r="D45" s="49">
        <f>ROUND((D17+D33+D38+D39+D41),2)</f>
        <v>1373.2</v>
      </c>
      <c r="E45" s="49">
        <f>ROUND((E17+E33+E38+E39+E41),2)</f>
        <v>2516.2800000000002</v>
      </c>
      <c r="F45" s="49">
        <f>ROUND((F17+F33+F38+F39+F41),2)</f>
        <v>2516.4499999999998</v>
      </c>
      <c r="G45" s="49">
        <f>ROUND((G17+G33+G38+G39+G41),2)</f>
        <v>2507.46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30" x14ac:dyDescent="0.25">
      <c r="A46" s="57">
        <v>8</v>
      </c>
      <c r="B46" s="46" t="s">
        <v>74</v>
      </c>
      <c r="C46" s="48">
        <f>D46+E46+F46+G46</f>
        <v>143487.18</v>
      </c>
      <c r="D46" s="48">
        <v>119902.76</v>
      </c>
      <c r="E46" s="48">
        <v>20117.79</v>
      </c>
      <c r="F46" s="48">
        <v>3444.38</v>
      </c>
      <c r="G46" s="48">
        <v>22.25</v>
      </c>
      <c r="H46" s="3"/>
      <c r="I46" s="21"/>
      <c r="J46" s="18"/>
      <c r="K46" s="18"/>
      <c r="L46" s="18"/>
      <c r="M46" s="18"/>
      <c r="N46" s="18"/>
      <c r="O46" s="18"/>
      <c r="P46" s="18"/>
      <c r="Q46" s="18"/>
    </row>
    <row r="47" spans="1:17" s="15" customFormat="1" ht="75" x14ac:dyDescent="0.25">
      <c r="A47" s="50" t="s">
        <v>82</v>
      </c>
      <c r="B47" s="48" t="s">
        <v>75</v>
      </c>
      <c r="C47" s="49">
        <f>ROUND(SUM(C48:C50),2)</f>
        <v>10526.7</v>
      </c>
      <c r="D47" s="48">
        <f>ROUND((D48+D49+D50),2)</f>
        <v>1138.21</v>
      </c>
      <c r="E47" s="48">
        <f>ROUND((E48+E49+E50),2)</f>
        <v>1138.21</v>
      </c>
      <c r="F47" s="48">
        <f>ROUND((F48+F49+F50),2)</f>
        <v>1138.21</v>
      </c>
      <c r="G47" s="48">
        <f>ROUND((G48+G49+G50),2)</f>
        <v>1138.21</v>
      </c>
      <c r="H47" s="25"/>
      <c r="I47" s="26"/>
      <c r="J47" s="26"/>
      <c r="K47" s="16"/>
      <c r="L47" s="16"/>
      <c r="M47" s="16"/>
      <c r="N47" s="17"/>
      <c r="O47" s="17"/>
      <c r="P47" s="17"/>
      <c r="Q47" s="17"/>
    </row>
    <row r="48" spans="1:17" ht="30" x14ac:dyDescent="0.25">
      <c r="A48" s="50" t="s">
        <v>163</v>
      </c>
      <c r="B48" s="48" t="s">
        <v>76</v>
      </c>
      <c r="C48" s="58">
        <f>SUM(D48:G48)</f>
        <v>0</v>
      </c>
      <c r="D48" s="58">
        <v>0</v>
      </c>
      <c r="E48" s="58">
        <v>0</v>
      </c>
      <c r="F48" s="58">
        <v>0</v>
      </c>
      <c r="G48" s="58">
        <v>0</v>
      </c>
      <c r="H48" s="27"/>
      <c r="I48" s="27"/>
      <c r="J48" s="27"/>
      <c r="K48" s="22"/>
      <c r="L48" s="22"/>
      <c r="M48" s="12"/>
      <c r="N48" s="22"/>
      <c r="O48" s="22"/>
      <c r="P48" s="22"/>
      <c r="Q48" s="22"/>
    </row>
    <row r="49" spans="1:17" ht="30" x14ac:dyDescent="0.25">
      <c r="A49" s="50" t="s">
        <v>164</v>
      </c>
      <c r="B49" s="48" t="s">
        <v>77</v>
      </c>
      <c r="C49" s="48">
        <f>'Теплова енергія'!C25</f>
        <v>10526.7</v>
      </c>
      <c r="D49" s="49">
        <f>(C49/C51*D51)/D51*1000</f>
        <v>1138.2123490963352</v>
      </c>
      <c r="E49" s="49">
        <f>(C49/C51*E51)/E51*1000</f>
        <v>1138.2123490963352</v>
      </c>
      <c r="F49" s="49">
        <f>(C49/C51*F51)/F51*1000</f>
        <v>1138.2123490963352</v>
      </c>
      <c r="G49" s="49">
        <f>(C49/C51*G51/G51)*1000</f>
        <v>1138.2123490963352</v>
      </c>
      <c r="H49" s="28"/>
      <c r="I49" s="29"/>
      <c r="J49" s="29"/>
      <c r="K49" s="18"/>
      <c r="L49" s="18"/>
      <c r="M49" s="18"/>
      <c r="N49" s="18"/>
      <c r="O49" s="18"/>
      <c r="P49" s="18"/>
      <c r="Q49" s="18"/>
    </row>
    <row r="50" spans="1:17" ht="45" x14ac:dyDescent="0.25">
      <c r="A50" s="50" t="s">
        <v>165</v>
      </c>
      <c r="B50" s="48" t="s">
        <v>78</v>
      </c>
      <c r="C50" s="58">
        <f>SUM(D50:G50)</f>
        <v>0</v>
      </c>
      <c r="D50" s="58">
        <v>0</v>
      </c>
      <c r="E50" s="58">
        <v>0</v>
      </c>
      <c r="F50" s="58">
        <v>0</v>
      </c>
      <c r="G50" s="58">
        <v>0</v>
      </c>
      <c r="H50" s="12"/>
      <c r="I50" s="18"/>
      <c r="J50" s="18"/>
      <c r="K50" s="18"/>
      <c r="L50" s="18"/>
      <c r="M50" s="18"/>
      <c r="N50" s="18"/>
      <c r="O50" s="18"/>
      <c r="P50" s="18"/>
      <c r="Q50" s="18"/>
    </row>
    <row r="51" spans="1:17" ht="60" x14ac:dyDescent="0.25">
      <c r="A51" s="50" t="s">
        <v>87</v>
      </c>
      <c r="B51" s="48" t="s">
        <v>83</v>
      </c>
      <c r="C51" s="59">
        <f>SUM(D51:G51)</f>
        <v>9248.4499999999989</v>
      </c>
      <c r="D51" s="59">
        <f>SUM(D52:D54)</f>
        <v>8177.11</v>
      </c>
      <c r="E51" s="59">
        <f>SUM(E52:E54)</f>
        <v>927.4</v>
      </c>
      <c r="F51" s="59">
        <f>SUM(F52:F54)</f>
        <v>143.56</v>
      </c>
      <c r="G51" s="59">
        <f>SUM(G52:G54)</f>
        <v>0.38</v>
      </c>
      <c r="H51" s="6"/>
      <c r="I51" s="18"/>
      <c r="J51" s="18"/>
      <c r="K51" s="18"/>
      <c r="L51" s="18"/>
      <c r="M51" s="18"/>
      <c r="N51" s="18"/>
      <c r="O51" s="18"/>
      <c r="P51" s="18"/>
      <c r="Q51" s="18"/>
    </row>
    <row r="52" spans="1:17" ht="30" x14ac:dyDescent="0.25">
      <c r="A52" s="50" t="s">
        <v>96</v>
      </c>
      <c r="B52" s="48" t="s">
        <v>84</v>
      </c>
      <c r="C52" s="48">
        <f>SUM(D52:G52)</f>
        <v>0</v>
      </c>
      <c r="D52" s="60">
        <v>0</v>
      </c>
      <c r="E52" s="60">
        <v>0</v>
      </c>
      <c r="F52" s="60">
        <v>0</v>
      </c>
      <c r="G52" s="60">
        <v>0</v>
      </c>
      <c r="H52" s="12"/>
      <c r="I52" s="18"/>
      <c r="J52" s="18"/>
      <c r="K52" s="18"/>
      <c r="L52" s="18"/>
      <c r="M52" s="18"/>
      <c r="N52" s="18"/>
      <c r="O52" s="18"/>
      <c r="P52" s="18"/>
      <c r="Q52" s="18"/>
    </row>
    <row r="53" spans="1:17" ht="30" x14ac:dyDescent="0.25">
      <c r="A53" s="50" t="s">
        <v>97</v>
      </c>
      <c r="B53" s="48" t="s">
        <v>85</v>
      </c>
      <c r="C53" s="48">
        <f t="shared" ref="C53:C58" si="3">SUM(D53:G53)</f>
        <v>9248.4499999999989</v>
      </c>
      <c r="D53" s="48">
        <v>8177.11</v>
      </c>
      <c r="E53" s="48">
        <v>927.4</v>
      </c>
      <c r="F53" s="48">
        <v>143.56</v>
      </c>
      <c r="G53" s="48">
        <v>0.38</v>
      </c>
      <c r="H53" s="13"/>
      <c r="I53" s="18"/>
      <c r="J53" s="18"/>
      <c r="K53" s="18"/>
      <c r="L53" s="18"/>
      <c r="M53" s="18"/>
      <c r="N53" s="18"/>
      <c r="O53" s="18"/>
      <c r="P53" s="18"/>
      <c r="Q53" s="18"/>
    </row>
    <row r="54" spans="1:17" ht="52.5" customHeight="1" x14ac:dyDescent="0.25">
      <c r="A54" s="50" t="s">
        <v>98</v>
      </c>
      <c r="B54" s="48" t="s">
        <v>86</v>
      </c>
      <c r="C54" s="48">
        <f t="shared" si="3"/>
        <v>0</v>
      </c>
      <c r="D54" s="60">
        <v>0</v>
      </c>
      <c r="E54" s="60">
        <v>0</v>
      </c>
      <c r="F54" s="60">
        <v>0</v>
      </c>
      <c r="G54" s="60">
        <v>0</v>
      </c>
      <c r="H54" s="12"/>
      <c r="I54" s="18"/>
      <c r="J54" s="18"/>
      <c r="K54" s="18"/>
      <c r="L54" s="18"/>
      <c r="M54" s="18"/>
      <c r="N54" s="18"/>
      <c r="O54" s="18"/>
      <c r="P54" s="18"/>
      <c r="Q54" s="18"/>
    </row>
    <row r="55" spans="1:17" ht="30" x14ac:dyDescent="0.25">
      <c r="A55" s="50" t="s">
        <v>88</v>
      </c>
      <c r="B55" s="48" t="s">
        <v>91</v>
      </c>
      <c r="C55" s="48">
        <f t="shared" si="3"/>
        <v>0</v>
      </c>
      <c r="D55" s="60">
        <v>0</v>
      </c>
      <c r="E55" s="60">
        <v>0</v>
      </c>
      <c r="F55" s="60">
        <v>0</v>
      </c>
      <c r="G55" s="60">
        <v>0</v>
      </c>
      <c r="H55" s="12"/>
      <c r="I55" s="18"/>
      <c r="J55" s="18"/>
      <c r="K55" s="18"/>
      <c r="L55" s="18"/>
      <c r="M55" s="18"/>
      <c r="N55" s="18"/>
      <c r="O55" s="18"/>
      <c r="P55" s="18"/>
      <c r="Q55" s="18"/>
    </row>
    <row r="56" spans="1:17" x14ac:dyDescent="0.25">
      <c r="A56" s="50" t="s">
        <v>89</v>
      </c>
      <c r="B56" s="48" t="s">
        <v>92</v>
      </c>
      <c r="C56" s="48">
        <f t="shared" si="3"/>
        <v>0</v>
      </c>
      <c r="D56" s="60">
        <v>0</v>
      </c>
      <c r="E56" s="60">
        <v>0</v>
      </c>
      <c r="F56" s="60">
        <v>0</v>
      </c>
      <c r="G56" s="60">
        <v>0</v>
      </c>
      <c r="H56" s="12"/>
      <c r="I56" s="18"/>
      <c r="J56" s="18"/>
      <c r="K56" s="18"/>
      <c r="L56" s="18"/>
      <c r="M56" s="18"/>
      <c r="N56" s="18"/>
      <c r="O56" s="18"/>
      <c r="P56" s="18"/>
      <c r="Q56" s="18"/>
    </row>
    <row r="57" spans="1:17" x14ac:dyDescent="0.25">
      <c r="A57" s="50" t="s">
        <v>90</v>
      </c>
      <c r="B57" s="48" t="s">
        <v>61</v>
      </c>
      <c r="C57" s="48">
        <f>'Теплова енергія'!C48*0.8166119</f>
        <v>0</v>
      </c>
      <c r="D57" s="60">
        <f>'Теплова енергія'!D48*0.8166119/D59*1000</f>
        <v>0</v>
      </c>
      <c r="E57" s="60">
        <f>'Теплова енергія'!E48*0.8166119/E59*1000</f>
        <v>0</v>
      </c>
      <c r="F57" s="60">
        <f>'Теплова енергія'!F48*0.8166119/F59*1000</f>
        <v>0</v>
      </c>
      <c r="G57" s="60">
        <f>'Теплова енергія'!G48*0.8166119/Виробництво!G59*1000</f>
        <v>0</v>
      </c>
      <c r="H57" s="12"/>
      <c r="I57" s="18"/>
      <c r="J57" s="18"/>
      <c r="K57" s="18"/>
      <c r="L57" s="18"/>
      <c r="M57" s="18"/>
      <c r="N57" s="18"/>
      <c r="O57" s="18"/>
      <c r="P57" s="18"/>
      <c r="Q57" s="18"/>
    </row>
    <row r="58" spans="1:17" x14ac:dyDescent="0.25">
      <c r="A58" s="50" t="s">
        <v>127</v>
      </c>
      <c r="B58" s="48" t="s">
        <v>62</v>
      </c>
      <c r="C58" s="48">
        <f t="shared" si="3"/>
        <v>0</v>
      </c>
      <c r="D58" s="60">
        <v>0</v>
      </c>
      <c r="E58" s="60">
        <v>0</v>
      </c>
      <c r="F58" s="60">
        <v>0</v>
      </c>
      <c r="G58" s="60">
        <v>0</v>
      </c>
      <c r="H58" s="12"/>
      <c r="I58" s="18"/>
      <c r="J58" s="18"/>
      <c r="K58" s="18"/>
      <c r="L58" s="18"/>
      <c r="M58" s="18"/>
      <c r="N58" s="18"/>
      <c r="O58" s="18"/>
      <c r="P58" s="18"/>
      <c r="Q58" s="18"/>
    </row>
    <row r="59" spans="1:17" ht="35.25" customHeight="1" x14ac:dyDescent="0.25">
      <c r="A59" s="53">
        <v>15</v>
      </c>
      <c r="B59" s="48" t="s">
        <v>93</v>
      </c>
      <c r="C59" s="48">
        <f>ROUND(SUM(D59:G59),2)</f>
        <v>152735.63</v>
      </c>
      <c r="D59" s="48">
        <f>ROUND((D46+D51),2)</f>
        <v>128079.87</v>
      </c>
      <c r="E59" s="48">
        <f>ROUND((E46+E51),2)</f>
        <v>21045.19</v>
      </c>
      <c r="F59" s="48">
        <f>ROUND((F46+F51),2)</f>
        <v>3587.94</v>
      </c>
      <c r="G59" s="48">
        <f>ROUND((G46+G51),2)</f>
        <v>22.63</v>
      </c>
      <c r="H59" s="12"/>
      <c r="I59" s="12"/>
      <c r="J59" s="12"/>
      <c r="K59" s="12"/>
      <c r="L59" s="12"/>
      <c r="M59" s="12"/>
      <c r="N59" s="18"/>
      <c r="O59" s="18"/>
      <c r="P59" s="18"/>
      <c r="Q59" s="18"/>
    </row>
    <row r="60" spans="1:17" ht="15.75" customHeight="1" x14ac:dyDescent="0.25">
      <c r="A60" s="54"/>
      <c r="B60" s="54"/>
      <c r="C60" s="54"/>
      <c r="D60" s="42"/>
      <c r="E60" s="42"/>
      <c r="F60" s="42"/>
      <c r="G60" s="42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ht="30" customHeight="1" x14ac:dyDescent="0.25">
      <c r="A61" s="54"/>
      <c r="B61" s="81" t="s">
        <v>111</v>
      </c>
      <c r="C61" s="30"/>
      <c r="D61" s="30"/>
      <c r="E61" s="30"/>
      <c r="F61" s="86" t="s">
        <v>112</v>
      </c>
      <c r="G61" s="86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1:17" x14ac:dyDescent="0.25">
      <c r="A62" s="42"/>
      <c r="B62" s="54"/>
      <c r="C62" s="42"/>
      <c r="D62" s="42"/>
      <c r="E62" s="42"/>
      <c r="F62" s="42"/>
      <c r="G62" s="42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ht="30" x14ac:dyDescent="0.25">
      <c r="A63" s="54"/>
      <c r="B63" s="62" t="s">
        <v>117</v>
      </c>
      <c r="C63" s="42"/>
      <c r="D63" s="42"/>
      <c r="E63" s="42"/>
      <c r="F63" s="42" t="s">
        <v>118</v>
      </c>
      <c r="G63" s="42"/>
    </row>
    <row r="64" spans="1:17" x14ac:dyDescent="0.25">
      <c r="A64" s="54"/>
      <c r="B64" s="54"/>
      <c r="C64" s="42"/>
      <c r="D64" s="42"/>
      <c r="E64" s="42"/>
      <c r="F64" s="42"/>
      <c r="G64" s="42"/>
    </row>
    <row r="65" spans="1:8" x14ac:dyDescent="0.25">
      <c r="A65" s="42"/>
      <c r="B65" s="42"/>
      <c r="C65" s="42"/>
      <c r="D65" s="42"/>
      <c r="E65" s="42"/>
      <c r="F65" s="42"/>
      <c r="G65" s="42"/>
    </row>
    <row r="66" spans="1:8" x14ac:dyDescent="0.25">
      <c r="A66" s="42"/>
      <c r="B66" s="42"/>
      <c r="C66" s="42"/>
      <c r="D66" s="42"/>
      <c r="E66" s="42"/>
      <c r="F66" s="42"/>
      <c r="G66" s="42"/>
    </row>
    <row r="67" spans="1:8" x14ac:dyDescent="0.25">
      <c r="A67" s="42"/>
      <c r="B67" s="72"/>
      <c r="C67" s="72"/>
      <c r="D67" s="72"/>
      <c r="E67" s="72"/>
      <c r="F67" s="72"/>
      <c r="G67" s="72"/>
      <c r="H67" s="43"/>
    </row>
    <row r="68" spans="1:8" ht="15.75" customHeight="1" x14ac:dyDescent="0.25">
      <c r="B68" s="43"/>
      <c r="C68" s="75">
        <f>C15</f>
        <v>234520.4</v>
      </c>
      <c r="D68" s="76"/>
      <c r="E68" s="76"/>
      <c r="F68" s="76"/>
      <c r="G68" s="76"/>
      <c r="H68" s="76"/>
    </row>
    <row r="69" spans="1:8" ht="10.5" customHeight="1" x14ac:dyDescent="0.25">
      <c r="B69" s="43"/>
      <c r="C69" s="76">
        <f>D69+E69+F69+G69</f>
        <v>204179.90930620002</v>
      </c>
      <c r="D69" s="76">
        <f>D15*'Теплова енергія'!D56/1000</f>
        <v>151659.776606</v>
      </c>
      <c r="E69" s="76">
        <f>E15*'Теплова енергія'!E56/1000</f>
        <v>44802.246415000001</v>
      </c>
      <c r="F69" s="76">
        <f>F15*'Теплова енергія'!F56/1000</f>
        <v>7669.0416050000003</v>
      </c>
      <c r="G69" s="76">
        <f>G15*'Теплова енергія'!G56/1000</f>
        <v>48.844680199999992</v>
      </c>
      <c r="H69" s="76"/>
    </row>
    <row r="70" spans="1:8" x14ac:dyDescent="0.25">
      <c r="B70" s="43"/>
      <c r="C70" s="76"/>
      <c r="D70" s="76"/>
      <c r="E70" s="76"/>
      <c r="F70" s="76"/>
      <c r="G70" s="76"/>
      <c r="H70" s="76"/>
    </row>
    <row r="71" spans="1:8" x14ac:dyDescent="0.25">
      <c r="B71" s="43"/>
      <c r="C71" s="76"/>
      <c r="D71" s="76"/>
      <c r="E71" s="76"/>
      <c r="F71" s="76"/>
      <c r="G71" s="76"/>
      <c r="H71" s="76"/>
    </row>
    <row r="72" spans="1:8" x14ac:dyDescent="0.25">
      <c r="B72" s="43"/>
      <c r="C72" s="76">
        <f>C15/C59*'Теплова енергія'!C56</f>
        <v>204283.24687603017</v>
      </c>
      <c r="D72" s="76">
        <f>C72/'Теплова енергія'!C56*'Теплова енергія'!D56/'Теплова енергія'!D56*1000</f>
        <v>1535.4662170182555</v>
      </c>
      <c r="E72" s="76">
        <f>C72/'Теплова енергія'!C56*'Теплова енергія'!E56/'Теплова енергія'!E56*1000</f>
        <v>1535.4662170182555</v>
      </c>
      <c r="F72" s="76">
        <f>C72/'Теплова енергія'!C56*'Теплова енергія'!F56/'Теплова енергія'!F56*1000</f>
        <v>1535.4662170182553</v>
      </c>
      <c r="G72" s="76">
        <f>C72/'Теплова енергія'!C56*'Теплова енергія'!G56/'Теплова енергія'!G56*1000</f>
        <v>1535.4662170182555</v>
      </c>
      <c r="H72" s="76"/>
    </row>
    <row r="73" spans="1:8" x14ac:dyDescent="0.25">
      <c r="B73" s="43"/>
      <c r="C73" s="76"/>
      <c r="D73" s="76"/>
      <c r="E73" s="76"/>
      <c r="F73" s="76"/>
      <c r="G73" s="76"/>
      <c r="H73" s="76"/>
    </row>
    <row r="74" spans="1:8" x14ac:dyDescent="0.25">
      <c r="B74" s="43"/>
      <c r="C74" s="76">
        <f>C68-C72</f>
        <v>30237.153123969823</v>
      </c>
      <c r="D74" s="76"/>
      <c r="E74" s="76"/>
      <c r="F74" s="76"/>
      <c r="G74" s="76"/>
      <c r="H74" s="76"/>
    </row>
    <row r="75" spans="1:8" x14ac:dyDescent="0.25">
      <c r="B75" s="43"/>
      <c r="C75" s="43"/>
      <c r="D75" s="43"/>
      <c r="E75" s="43"/>
      <c r="F75" s="43"/>
      <c r="G75" s="43"/>
      <c r="H75" s="43"/>
    </row>
    <row r="76" spans="1:8" x14ac:dyDescent="0.25">
      <c r="C76" s="23"/>
      <c r="D76" s="23"/>
      <c r="E76" s="23"/>
      <c r="F76" s="23"/>
      <c r="G76" s="23"/>
      <c r="H76" s="23"/>
    </row>
    <row r="77" spans="1:8" x14ac:dyDescent="0.25">
      <c r="C77" s="23"/>
      <c r="D77" s="23"/>
      <c r="E77" s="23"/>
      <c r="F77" s="23"/>
      <c r="G77" s="23"/>
      <c r="H77" s="23"/>
    </row>
  </sheetData>
  <mergeCells count="11">
    <mergeCell ref="E2:G2"/>
    <mergeCell ref="E3:G3"/>
    <mergeCell ref="E4:G4"/>
    <mergeCell ref="F61:G61"/>
    <mergeCell ref="B16:G16"/>
    <mergeCell ref="A7:G7"/>
    <mergeCell ref="A8:G8"/>
    <mergeCell ref="A12:A13"/>
    <mergeCell ref="B12:B13"/>
    <mergeCell ref="C12:C13"/>
    <mergeCell ref="D12:G12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1" workbookViewId="0">
      <selection activeCell="G39" sqref="G39"/>
    </sheetView>
  </sheetViews>
  <sheetFormatPr defaultRowHeight="15" x14ac:dyDescent="0.25"/>
  <cols>
    <col min="1" max="1" width="6.85546875" customWidth="1"/>
    <col min="2" max="2" width="39.85546875" customWidth="1"/>
    <col min="3" max="3" width="11.28515625" customWidth="1"/>
    <col min="4" max="4" width="10.7109375" hidden="1" customWidth="1"/>
    <col min="5" max="6" width="11" customWidth="1"/>
    <col min="7" max="7" width="11.28515625" customWidth="1"/>
    <col min="8" max="8" width="12" bestFit="1" customWidth="1"/>
  </cols>
  <sheetData>
    <row r="1" spans="1:8" x14ac:dyDescent="0.25">
      <c r="F1" s="30" t="s">
        <v>115</v>
      </c>
      <c r="G1" s="30"/>
      <c r="H1" s="30"/>
    </row>
    <row r="2" spans="1:8" x14ac:dyDescent="0.25">
      <c r="E2" s="88" t="s">
        <v>166</v>
      </c>
      <c r="F2" s="89"/>
      <c r="G2" s="89"/>
      <c r="H2" s="30"/>
    </row>
    <row r="3" spans="1:8" x14ac:dyDescent="0.25">
      <c r="E3" s="88" t="s">
        <v>159</v>
      </c>
      <c r="F3" s="88"/>
      <c r="G3" s="88"/>
      <c r="H3" s="30"/>
    </row>
    <row r="4" spans="1:8" x14ac:dyDescent="0.25">
      <c r="E4" s="88" t="s">
        <v>160</v>
      </c>
      <c r="F4" s="88"/>
      <c r="G4" s="88"/>
      <c r="H4" s="30"/>
    </row>
    <row r="5" spans="1:8" x14ac:dyDescent="0.25">
      <c r="E5" s="80" t="s">
        <v>161</v>
      </c>
      <c r="F5" s="80"/>
      <c r="G5" s="79"/>
      <c r="H5" s="30"/>
    </row>
    <row r="6" spans="1:8" ht="33" customHeight="1" x14ac:dyDescent="0.25">
      <c r="A6" s="91" t="s">
        <v>94</v>
      </c>
      <c r="B6" s="91"/>
      <c r="C6" s="91"/>
      <c r="D6" s="91"/>
      <c r="E6" s="91"/>
      <c r="F6" s="91"/>
      <c r="G6" s="91"/>
    </row>
    <row r="7" spans="1:8" ht="14.25" customHeight="1" x14ac:dyDescent="0.25">
      <c r="A7" s="91" t="s">
        <v>1</v>
      </c>
      <c r="B7" s="91"/>
      <c r="C7" s="91"/>
      <c r="D7" s="91"/>
      <c r="E7" s="91"/>
      <c r="F7" s="91"/>
      <c r="G7" s="91"/>
    </row>
    <row r="8" spans="1:8" ht="7.5" hidden="1" customHeight="1" x14ac:dyDescent="0.25">
      <c r="A8" s="42"/>
      <c r="B8" s="42"/>
      <c r="C8" s="42"/>
      <c r="D8" s="42"/>
      <c r="E8" s="42"/>
      <c r="F8" s="42"/>
      <c r="G8" s="42"/>
    </row>
    <row r="9" spans="1:8" ht="25.9" customHeight="1" x14ac:dyDescent="0.25">
      <c r="A9" s="42"/>
      <c r="B9" s="42"/>
      <c r="C9" s="42"/>
      <c r="D9" s="42"/>
      <c r="E9" s="42"/>
      <c r="F9" s="42"/>
      <c r="G9" s="42"/>
    </row>
    <row r="10" spans="1:8" ht="6" hidden="1" customHeight="1" thickBot="1" x14ac:dyDescent="0.3">
      <c r="A10" s="42"/>
      <c r="B10" s="42"/>
      <c r="C10" s="42"/>
      <c r="D10" s="42"/>
      <c r="E10" s="42"/>
      <c r="F10" s="42"/>
      <c r="G10" s="42"/>
    </row>
    <row r="11" spans="1:8" ht="15.75" customHeight="1" x14ac:dyDescent="0.25">
      <c r="A11" s="92" t="s">
        <v>0</v>
      </c>
      <c r="B11" s="90" t="s">
        <v>8</v>
      </c>
      <c r="C11" s="90" t="s">
        <v>7</v>
      </c>
      <c r="D11" s="90" t="s">
        <v>146</v>
      </c>
      <c r="E11" s="90"/>
      <c r="F11" s="90"/>
      <c r="G11" s="90"/>
    </row>
    <row r="12" spans="1:8" ht="60.75" customHeight="1" x14ac:dyDescent="0.25">
      <c r="A12" s="92"/>
      <c r="B12" s="90"/>
      <c r="C12" s="90"/>
      <c r="D12" s="45" t="s">
        <v>3</v>
      </c>
      <c r="E12" s="45" t="s">
        <v>4</v>
      </c>
      <c r="F12" s="45" t="s">
        <v>5</v>
      </c>
      <c r="G12" s="77" t="s">
        <v>6</v>
      </c>
    </row>
    <row r="13" spans="1:8" x14ac:dyDescent="0.25">
      <c r="A13" s="45">
        <v>1</v>
      </c>
      <c r="B13" s="45">
        <v>2</v>
      </c>
      <c r="C13" s="45">
        <v>3</v>
      </c>
      <c r="D13" s="45">
        <v>4</v>
      </c>
      <c r="E13" s="45">
        <v>4</v>
      </c>
      <c r="F13" s="45">
        <v>5</v>
      </c>
      <c r="G13" s="45">
        <v>6</v>
      </c>
    </row>
    <row r="14" spans="1:8" ht="51.75" customHeight="1" x14ac:dyDescent="0.25">
      <c r="A14" s="45" t="s">
        <v>9</v>
      </c>
      <c r="B14" s="45" t="s">
        <v>148</v>
      </c>
      <c r="C14" s="47">
        <f>ROUND((C37+C38+C39+C40+C41+C42+C44),2)</f>
        <v>60500.12</v>
      </c>
      <c r="D14" s="47">
        <f>ROUND((D37+D38+D39+D40+D41+D42+D44),2)</f>
        <v>448.89</v>
      </c>
      <c r="E14" s="47">
        <f>ROUND((E37+E38+E39+E40+E41+E42+E44),2)</f>
        <v>603.5</v>
      </c>
      <c r="F14" s="47">
        <f>ROUND((F37+F38+F39+F40+F41+F42+F44),2)</f>
        <v>599.6</v>
      </c>
      <c r="G14" s="47">
        <f>ROUND((G37+G38+G39+G40+G41+G42+G44),2)</f>
        <v>602.05999999999995</v>
      </c>
    </row>
    <row r="15" spans="1:8" x14ac:dyDescent="0.25">
      <c r="A15" s="45" t="s">
        <v>10</v>
      </c>
      <c r="B15" s="90" t="s">
        <v>157</v>
      </c>
      <c r="C15" s="90"/>
      <c r="D15" s="90"/>
      <c r="E15" s="90"/>
      <c r="F15" s="90"/>
      <c r="G15" s="90"/>
    </row>
    <row r="16" spans="1:8" ht="24.75" customHeight="1" x14ac:dyDescent="0.25">
      <c r="A16" s="45">
        <v>1</v>
      </c>
      <c r="B16" s="48" t="s">
        <v>11</v>
      </c>
      <c r="C16" s="49">
        <f>ROUND((C17+C21+C22+C26),2)</f>
        <v>27901.46</v>
      </c>
      <c r="D16" s="49">
        <f>ROUND((D17+D21+D22+D26),2)</f>
        <v>209.71</v>
      </c>
      <c r="E16" s="49">
        <f>ROUND((E17+E21+E22+E26),2)</f>
        <v>209.71</v>
      </c>
      <c r="F16" s="49">
        <f>ROUND((F17+F21+F22+F26),2)</f>
        <v>209.71</v>
      </c>
      <c r="G16" s="49">
        <f>ROUND((G17+G21+G22+G26),2)</f>
        <v>209.71</v>
      </c>
    </row>
    <row r="17" spans="1:7" x14ac:dyDescent="0.25">
      <c r="A17" s="50" t="s">
        <v>12</v>
      </c>
      <c r="B17" s="48" t="s">
        <v>34</v>
      </c>
      <c r="C17" s="48">
        <f>ROUND(SUM(C18:C20),2)</f>
        <v>7372.61</v>
      </c>
      <c r="D17" s="49">
        <f>ROUND(SUM(D18:D20),2)</f>
        <v>55.41</v>
      </c>
      <c r="E17" s="49">
        <f>ROUND(SUM(E18:E20),2)</f>
        <v>55.41</v>
      </c>
      <c r="F17" s="49">
        <f>ROUND(SUM(F18:F20),2)</f>
        <v>55.41</v>
      </c>
      <c r="G17" s="49">
        <f>ROUND(SUM(G18:G20),2)</f>
        <v>55.41</v>
      </c>
    </row>
    <row r="18" spans="1:7" ht="30" x14ac:dyDescent="0.25">
      <c r="A18" s="50" t="s">
        <v>13</v>
      </c>
      <c r="B18" s="48" t="s">
        <v>39</v>
      </c>
      <c r="C18" s="48">
        <v>6842.48</v>
      </c>
      <c r="D18" s="51">
        <f>ROUND((C18/C48*D48/D48*1000),2)</f>
        <v>51.43</v>
      </c>
      <c r="E18" s="51">
        <f>ROUND((C18/C48*E48/E48*1000),2)</f>
        <v>51.43</v>
      </c>
      <c r="F18" s="51">
        <f>ROUND((C18/C48*F48/F48*1000),2)</f>
        <v>51.43</v>
      </c>
      <c r="G18" s="51">
        <f>ROUND((C18/C48*G48/G48*1000),2)</f>
        <v>51.43</v>
      </c>
    </row>
    <row r="19" spans="1:7" ht="31.5" customHeight="1" x14ac:dyDescent="0.25">
      <c r="A19" s="50" t="s">
        <v>14</v>
      </c>
      <c r="B19" s="48" t="s">
        <v>40</v>
      </c>
      <c r="C19" s="49">
        <v>530.13</v>
      </c>
      <c r="D19" s="51">
        <f>ROUND((C19/C48*D48/D48*1000),2)</f>
        <v>3.98</v>
      </c>
      <c r="E19" s="51">
        <f>ROUND((C19/C48*E48/E48*1000),2)</f>
        <v>3.98</v>
      </c>
      <c r="F19" s="51">
        <f>ROUND((C19/C48*F48/F48*1000),2)</f>
        <v>3.98</v>
      </c>
      <c r="G19" s="51">
        <f>ROUND((C19/C48*G48/G48*1000),2)</f>
        <v>3.98</v>
      </c>
    </row>
    <row r="20" spans="1:7" ht="30" customHeight="1" x14ac:dyDescent="0.25">
      <c r="A20" s="50" t="s">
        <v>15</v>
      </c>
      <c r="B20" s="48" t="s">
        <v>41</v>
      </c>
      <c r="C20" s="48">
        <v>0</v>
      </c>
      <c r="D20" s="51">
        <f>C20/C48*D48/D48*1000</f>
        <v>0</v>
      </c>
      <c r="E20" s="51">
        <f>C20/C48*E48/E48*1000</f>
        <v>0</v>
      </c>
      <c r="F20" s="51">
        <f>C20/C48*F48/F48*1000</f>
        <v>0</v>
      </c>
      <c r="G20" s="51">
        <f>C20/C48*G48/G48*1000</f>
        <v>0</v>
      </c>
    </row>
    <row r="21" spans="1:7" x14ac:dyDescent="0.25">
      <c r="A21" s="50" t="s">
        <v>20</v>
      </c>
      <c r="B21" s="48" t="s">
        <v>42</v>
      </c>
      <c r="C21" s="48">
        <v>8938.39</v>
      </c>
      <c r="D21" s="51">
        <f>ROUND((C21/C48*D48/D48*1000),2)</f>
        <v>67.180000000000007</v>
      </c>
      <c r="E21" s="51">
        <f>ROUND((C21/C48*E48/E48*1000),2)</f>
        <v>67.180000000000007</v>
      </c>
      <c r="F21" s="51">
        <f>ROUND((C21/C48*F48/F48*1000),2)</f>
        <v>67.180000000000007</v>
      </c>
      <c r="G21" s="51">
        <f>ROUND((C21/C48*G48/G48*1000),2)</f>
        <v>67.180000000000007</v>
      </c>
    </row>
    <row r="22" spans="1:7" x14ac:dyDescent="0.25">
      <c r="A22" s="50" t="s">
        <v>21</v>
      </c>
      <c r="B22" s="48" t="s">
        <v>43</v>
      </c>
      <c r="C22" s="48">
        <f>ROUND(SUM(C23:C25),2)</f>
        <v>11192.09</v>
      </c>
      <c r="D22" s="48">
        <f>ROUND(SUM(D23:D25),2)</f>
        <v>84.13</v>
      </c>
      <c r="E22" s="48">
        <f>ROUND(SUM(E23:E25),2)</f>
        <v>84.13</v>
      </c>
      <c r="F22" s="48">
        <f>ROUND(SUM(F23:F25),2)</f>
        <v>84.13</v>
      </c>
      <c r="G22" s="48">
        <f>ROUND(SUM(G23:G25),2)</f>
        <v>84.13</v>
      </c>
    </row>
    <row r="23" spans="1:7" x14ac:dyDescent="0.25">
      <c r="A23" s="50" t="s">
        <v>22</v>
      </c>
      <c r="B23" s="48" t="s">
        <v>44</v>
      </c>
      <c r="C23" s="48">
        <f>ROUND((C21*0.22),2)</f>
        <v>1966.45</v>
      </c>
      <c r="D23" s="48">
        <f>ROUND((D21*0.22),2)</f>
        <v>14.78</v>
      </c>
      <c r="E23" s="48">
        <f>ROUND((E21*0.22),2)</f>
        <v>14.78</v>
      </c>
      <c r="F23" s="48">
        <f>ROUND((F21*0.22),2)</f>
        <v>14.78</v>
      </c>
      <c r="G23" s="48">
        <f>ROUND((G21*0.22),2)</f>
        <v>14.78</v>
      </c>
    </row>
    <row r="24" spans="1:7" ht="28.5" customHeight="1" x14ac:dyDescent="0.25">
      <c r="A24" s="50" t="s">
        <v>23</v>
      </c>
      <c r="B24" s="48" t="s">
        <v>45</v>
      </c>
      <c r="C24" s="48">
        <v>1664.05</v>
      </c>
      <c r="D24" s="51">
        <f>ROUND((C24/'Теплова енергія'!C56*'Теплова енергія'!D56/'Теплова енергія'!D56*1000),2)</f>
        <v>12.51</v>
      </c>
      <c r="E24" s="51">
        <f>ROUND((C24/'Теплова енергія'!C56*'Теплова енергія'!E56/'Теплова енергія'!E56*1000),2)</f>
        <v>12.51</v>
      </c>
      <c r="F24" s="51">
        <f>ROUND((C24/'Теплова енергія'!C56*'Теплова енергія'!F56/'Теплова енергія'!F56*1000),2)</f>
        <v>12.51</v>
      </c>
      <c r="G24" s="51">
        <f>ROUND((C24/'Теплова енергія'!C56*'Теплова енергія'!G56/'Теплова енергія'!G56*1000),2)</f>
        <v>12.51</v>
      </c>
    </row>
    <row r="25" spans="1:7" x14ac:dyDescent="0.25">
      <c r="A25" s="50" t="s">
        <v>24</v>
      </c>
      <c r="B25" s="48" t="s">
        <v>46</v>
      </c>
      <c r="C25" s="48">
        <v>7561.59</v>
      </c>
      <c r="D25" s="51">
        <f>ROUND((C25/'Теплова енергія'!C56*'Теплова енергія'!D56/'Теплова енергія'!D56*1000),2)</f>
        <v>56.84</v>
      </c>
      <c r="E25" s="51">
        <f>ROUND((C25/'Теплова енергія'!C56*'Теплова енергія'!E56/'Теплова енергія'!E56*1000),2)</f>
        <v>56.84</v>
      </c>
      <c r="F25" s="51">
        <f>ROUND((C25/'Теплова енергія'!C56*'Теплова енергія'!F56/'Теплова енергія'!F56*1000),2)</f>
        <v>56.84</v>
      </c>
      <c r="G25" s="51">
        <f>ROUND((C25/'Теплова енергія'!C56*'Теплова енергія'!G56/'Теплова енергія'!G56*1000),2)</f>
        <v>56.84</v>
      </c>
    </row>
    <row r="26" spans="1:7" s="15" customFormat="1" x14ac:dyDescent="0.25">
      <c r="A26" s="50" t="s">
        <v>25</v>
      </c>
      <c r="B26" s="48" t="s">
        <v>47</v>
      </c>
      <c r="C26" s="49">
        <f>ROUND(SUM(C27:C30),2)</f>
        <v>398.37</v>
      </c>
      <c r="D26" s="49">
        <f>ROUND(SUM(D27:D30),2)</f>
        <v>2.99</v>
      </c>
      <c r="E26" s="49">
        <f>ROUND(SUM(E27:E30),2)</f>
        <v>2.99</v>
      </c>
      <c r="F26" s="49">
        <f>ROUND(SUM(F27:F30),2)</f>
        <v>2.99</v>
      </c>
      <c r="G26" s="49">
        <f>ROUND(SUM(G27:G30),2)</f>
        <v>2.99</v>
      </c>
    </row>
    <row r="27" spans="1:7" ht="24.75" customHeight="1" x14ac:dyDescent="0.25">
      <c r="A27" s="50" t="s">
        <v>26</v>
      </c>
      <c r="B27" s="48" t="s">
        <v>48</v>
      </c>
      <c r="C27" s="48">
        <v>317.42</v>
      </c>
      <c r="D27" s="51">
        <f>ROUND((C27/'Теплова енергія'!C56*'Теплова енергія'!D56/'Теплова енергія'!D56*1000),2)</f>
        <v>2.39</v>
      </c>
      <c r="E27" s="51">
        <f>ROUND((C27/'Теплова енергія'!C56*'Теплова енергія'!E56/'Теплова енергія'!E56*1000),2)</f>
        <v>2.39</v>
      </c>
      <c r="F27" s="51">
        <f>ROUND((C27/'Теплова енергія'!C56*'Теплова енергія'!F56/'Теплова енергія'!F56*1000),2)</f>
        <v>2.39</v>
      </c>
      <c r="G27" s="51">
        <f>ROUND((C27/'Теплова енергія'!C56*'Теплова енергія'!G56/'Теплова енергія'!G56*1000),2)</f>
        <v>2.39</v>
      </c>
    </row>
    <row r="28" spans="1:7" x14ac:dyDescent="0.25">
      <c r="A28" s="50" t="s">
        <v>27</v>
      </c>
      <c r="B28" s="48" t="s">
        <v>44</v>
      </c>
      <c r="C28" s="48">
        <f>ROUND((C27*0.22),2)</f>
        <v>69.83</v>
      </c>
      <c r="D28" s="51">
        <f>ROUND((C28/'Теплова енергія'!C56*'Теплова енергія'!D56/'Теплова енергія'!D56*1000),2)</f>
        <v>0.52</v>
      </c>
      <c r="E28" s="51">
        <f>ROUND((C28/'Теплова енергія'!C56*'Теплова енергія'!E56/'Теплова енергія'!E56*1000),2)</f>
        <v>0.52</v>
      </c>
      <c r="F28" s="51">
        <f>ROUND((C28/'Теплова енергія'!C56*'Теплова енергія'!F56/'Теплова енергія'!F56*1000),2)</f>
        <v>0.52</v>
      </c>
      <c r="G28" s="51">
        <f>ROUND((C28/'Теплова енергія'!C56*'Теплова енергія'!G56/'Теплова енергія'!G56*1000),2)</f>
        <v>0.52</v>
      </c>
    </row>
    <row r="29" spans="1:7" x14ac:dyDescent="0.25">
      <c r="A29" s="50" t="s">
        <v>28</v>
      </c>
      <c r="B29" s="48" t="s">
        <v>45</v>
      </c>
      <c r="C29" s="48">
        <v>1.64</v>
      </c>
      <c r="D29" s="51">
        <f>ROUND((C29/'Теплова енергія'!C56*'Теплова енергія'!D56/'Теплова енергія'!D56*1000),2)</f>
        <v>0.01</v>
      </c>
      <c r="E29" s="51">
        <f>ROUND((C29/'Теплова енергія'!C56*'Теплова енергія'!E56/'Теплова енергія'!E56*1000),2)</f>
        <v>0.01</v>
      </c>
      <c r="F29" s="51">
        <f>ROUND((C29/'Теплова енергія'!C56*'Теплова енергія'!F56/'Теплова енергія'!F56*1000),2)</f>
        <v>0.01</v>
      </c>
      <c r="G29" s="51">
        <f>ROUND((C29/'Теплова енергія'!C56*'Теплова енергія'!G56/'Теплова енергія'!G56*1000),2)</f>
        <v>0.01</v>
      </c>
    </row>
    <row r="30" spans="1:7" ht="22.5" customHeight="1" x14ac:dyDescent="0.25">
      <c r="A30" s="50" t="s">
        <v>29</v>
      </c>
      <c r="B30" s="48" t="s">
        <v>49</v>
      </c>
      <c r="C30" s="48">
        <v>9.48</v>
      </c>
      <c r="D30" s="51">
        <f>ROUND((C30/'Теплова енергія'!C56*'Теплова енергія'!D56/'Теплова енергія'!D56*1000),2)</f>
        <v>7.0000000000000007E-2</v>
      </c>
      <c r="E30" s="51">
        <f>ROUND((C30/'Теплова енергія'!C56*'Теплова енергія'!E56/'Теплова енергія'!E56*1000),2)</f>
        <v>7.0000000000000007E-2</v>
      </c>
      <c r="F30" s="51">
        <f>ROUND((C30/'Теплова енергія'!C56*'Теплова енергія'!F56/'Теплова енергія'!F56*1000),2)</f>
        <v>7.0000000000000007E-2</v>
      </c>
      <c r="G30" s="51">
        <f>ROUND((C30/'Теплова енергія'!C56*'Теплова енергія'!G56/'Теплова енергія'!G56*1000),2)</f>
        <v>7.0000000000000007E-2</v>
      </c>
    </row>
    <row r="31" spans="1:7" s="15" customFormat="1" ht="24" customHeight="1" x14ac:dyDescent="0.25">
      <c r="A31" s="50" t="s">
        <v>30</v>
      </c>
      <c r="B31" s="48" t="s">
        <v>50</v>
      </c>
      <c r="C31" s="48">
        <f>ROUND(SUM(C32:C35),2)</f>
        <v>853.39</v>
      </c>
      <c r="D31" s="48">
        <f>ROUND(SUM(D32:D35),2)</f>
        <v>6.42</v>
      </c>
      <c r="E31" s="48">
        <f>ROUND(SUM(E32:E35),2)</f>
        <v>6.42</v>
      </c>
      <c r="F31" s="48">
        <f>ROUND(SUM(F32:F35),2)</f>
        <v>6.42</v>
      </c>
      <c r="G31" s="48">
        <f>ROUND(SUM(G32:G35),2)</f>
        <v>6.42</v>
      </c>
    </row>
    <row r="32" spans="1:7" ht="21" customHeight="1" x14ac:dyDescent="0.25">
      <c r="A32" s="50" t="s">
        <v>31</v>
      </c>
      <c r="B32" s="48" t="s">
        <v>48</v>
      </c>
      <c r="C32" s="48">
        <v>656.95</v>
      </c>
      <c r="D32" s="51">
        <f>ROUND((C32/'Теплова енергія'!C56*'Теплова енергія'!D56/'Теплова енергія'!D56*1000),2)</f>
        <v>4.9400000000000004</v>
      </c>
      <c r="E32" s="51">
        <f>ROUND((C32/'Теплова енергія'!C56*'Теплова енергія'!E56/'Теплова енергія'!E56*1000),2)</f>
        <v>4.9400000000000004</v>
      </c>
      <c r="F32" s="51">
        <f>ROUND((C32/'Теплова енергія'!C56*'Теплова енергія'!F56/'Теплова енергія'!F56*1000),2)</f>
        <v>4.9400000000000004</v>
      </c>
      <c r="G32" s="51">
        <f>ROUND((C32/'Теплова енергія'!C56*'Теплова енергія'!G56/'Теплова енергія'!G56*1000),2)</f>
        <v>4.9400000000000004</v>
      </c>
    </row>
    <row r="33" spans="1:7" x14ac:dyDescent="0.25">
      <c r="A33" s="50" t="s">
        <v>32</v>
      </c>
      <c r="B33" s="48" t="s">
        <v>44</v>
      </c>
      <c r="C33" s="48">
        <f>ROUND((C32*0.22),2)</f>
        <v>144.53</v>
      </c>
      <c r="D33" s="51">
        <f>ROUND((C33/'Теплова енергія'!C56*'Теплова енергія'!D56/'Теплова енергія'!D56*1000),2)</f>
        <v>1.0900000000000001</v>
      </c>
      <c r="E33" s="51">
        <f>ROUND((C33/'Теплова енергія'!C56*'Теплова енергія'!E56/'Теплова енергія'!E56*1000),2)</f>
        <v>1.0900000000000001</v>
      </c>
      <c r="F33" s="51">
        <f>ROUND((C33/'Теплова енергія'!C56*'Теплова енергія'!F56/'Теплова енергія'!F56*1000),2)</f>
        <v>1.0900000000000001</v>
      </c>
      <c r="G33" s="51">
        <f>ROUND((C33/'Теплова енергія'!C56*'Теплова енергія'!G56/'Теплова енергія'!G56*1000),2)</f>
        <v>1.0900000000000001</v>
      </c>
    </row>
    <row r="34" spans="1:7" x14ac:dyDescent="0.25">
      <c r="A34" s="50" t="s">
        <v>33</v>
      </c>
      <c r="B34" s="48" t="s">
        <v>45</v>
      </c>
      <c r="C34" s="48">
        <v>4.57</v>
      </c>
      <c r="D34" s="51">
        <f>ROUND((C34/'Теплова енергія'!C56*'Теплова енергія'!D56/'Теплова енергія'!D56*1000),2)</f>
        <v>0.03</v>
      </c>
      <c r="E34" s="51">
        <f>ROUND((C34/'Теплова енергія'!C56*'Теплова енергія'!E56/'Теплова енергія'!E56*1000),2)</f>
        <v>0.03</v>
      </c>
      <c r="F34" s="51">
        <f>ROUND((C34/'Теплова енергія'!C56*'Теплова енергія'!F56/'Теплова енергія'!F56*1000),2)</f>
        <v>0.03</v>
      </c>
      <c r="G34" s="51">
        <f>C34/'Теплова енергія'!C56*'Теплова енергія'!G56/'Теплова енергія'!G56*1000</f>
        <v>3.4349760536319274E-2</v>
      </c>
    </row>
    <row r="35" spans="1:7" x14ac:dyDescent="0.25">
      <c r="A35" s="50" t="s">
        <v>52</v>
      </c>
      <c r="B35" s="48" t="s">
        <v>49</v>
      </c>
      <c r="C35" s="48">
        <v>47.34</v>
      </c>
      <c r="D35" s="51">
        <f>C35/'Теплова енергія'!C56*'Теплова енергія'!D56/'Теплова енергія'!D56*1000</f>
        <v>0.35582443408957426</v>
      </c>
      <c r="E35" s="51">
        <f>C35/'Теплова енергія'!C56*'Теплова енергія'!E56/'Теплова енергія'!E56*1000</f>
        <v>0.35582443408957426</v>
      </c>
      <c r="F35" s="51">
        <f>ROUND((C35/'Теплова енергія'!C56*'Теплова енергія'!F56/'Теплова енергія'!F56*1000),2)</f>
        <v>0.36</v>
      </c>
      <c r="G35" s="51">
        <f>ROUND((C35/'Теплова енергія'!C56*'Теплова енергія'!G56/'Теплова енергія'!G56*1000),2)</f>
        <v>0.36</v>
      </c>
    </row>
    <row r="36" spans="1:7" x14ac:dyDescent="0.25">
      <c r="A36" s="50" t="s">
        <v>53</v>
      </c>
      <c r="B36" s="48" t="s">
        <v>59</v>
      </c>
      <c r="C36" s="48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ht="30" x14ac:dyDescent="0.25">
      <c r="A37" s="50" t="s">
        <v>54</v>
      </c>
      <c r="B37" s="48" t="s">
        <v>100</v>
      </c>
      <c r="C37" s="49">
        <f>ROUND((C16+C31),2)</f>
        <v>28754.85</v>
      </c>
      <c r="D37" s="49">
        <f>ROUND((D16+D31),2)</f>
        <v>216.13</v>
      </c>
      <c r="E37" s="49">
        <f>ROUND((E16+E31),2)</f>
        <v>216.13</v>
      </c>
      <c r="F37" s="49">
        <f>ROUND((F16+F31),2)</f>
        <v>216.13</v>
      </c>
      <c r="G37" s="49">
        <f>ROUND((G16+G31),2)</f>
        <v>216.13</v>
      </c>
    </row>
    <row r="38" spans="1:7" s="2" customFormat="1" ht="45" x14ac:dyDescent="0.25">
      <c r="A38" s="50" t="s">
        <v>55</v>
      </c>
      <c r="B38" s="48" t="s">
        <v>101</v>
      </c>
      <c r="C38" s="48">
        <v>30342.6</v>
      </c>
      <c r="D38" s="48">
        <f>ROUND((C38/C48*D48/D48*1000)-5.86,2)</f>
        <v>222.21</v>
      </c>
      <c r="E38" s="48">
        <v>376.82</v>
      </c>
      <c r="F38" s="48">
        <v>372.92</v>
      </c>
      <c r="G38" s="48">
        <v>375.38</v>
      </c>
    </row>
    <row r="39" spans="1:7" ht="60" x14ac:dyDescent="0.25">
      <c r="A39" s="50" t="s">
        <v>56</v>
      </c>
      <c r="B39" s="48" t="s">
        <v>102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</row>
    <row r="40" spans="1:7" x14ac:dyDescent="0.25">
      <c r="A40" s="50" t="s">
        <v>57</v>
      </c>
      <c r="B40" s="48" t="s">
        <v>60</v>
      </c>
      <c r="C40" s="48">
        <v>0</v>
      </c>
      <c r="D40" s="60">
        <v>0</v>
      </c>
      <c r="E40" s="60">
        <v>0</v>
      </c>
      <c r="F40" s="60">
        <v>0</v>
      </c>
      <c r="G40" s="60">
        <v>0</v>
      </c>
    </row>
    <row r="41" spans="1:7" x14ac:dyDescent="0.25">
      <c r="A41" s="50" t="s">
        <v>58</v>
      </c>
      <c r="B41" s="48" t="s">
        <v>61</v>
      </c>
      <c r="C41" s="48">
        <f>'Теплова енергія'!C48*0.179199</f>
        <v>0</v>
      </c>
      <c r="D41" s="48">
        <f>'Теплова енергія'!D48*0.179199/Транспортування!D48*1000</f>
        <v>0</v>
      </c>
      <c r="E41" s="48">
        <f>'Теплова енергія'!E48*0.179199/Транспортування!E48*1000</f>
        <v>0</v>
      </c>
      <c r="F41" s="48">
        <f>'Теплова енергія'!F48*0.179199/Транспортування!F48*1000</f>
        <v>0</v>
      </c>
      <c r="G41" s="48">
        <f>'Теплова енергія'!G48*0.179199/Транспортування!G48*1000</f>
        <v>0</v>
      </c>
    </row>
    <row r="42" spans="1:7" x14ac:dyDescent="0.25">
      <c r="A42" s="50" t="s">
        <v>82</v>
      </c>
      <c r="B42" s="48" t="s">
        <v>62</v>
      </c>
      <c r="C42" s="48">
        <v>0</v>
      </c>
      <c r="D42" s="60">
        <v>0</v>
      </c>
      <c r="E42" s="60">
        <v>0</v>
      </c>
      <c r="F42" s="60">
        <v>0</v>
      </c>
      <c r="G42" s="60">
        <v>0</v>
      </c>
    </row>
    <row r="43" spans="1:7" s="15" customFormat="1" x14ac:dyDescent="0.25">
      <c r="A43" s="50" t="s">
        <v>87</v>
      </c>
      <c r="B43" s="48" t="s">
        <v>119</v>
      </c>
      <c r="C43" s="49">
        <f>C16+C31</f>
        <v>28754.85</v>
      </c>
      <c r="D43" s="49">
        <f t="shared" ref="D43:G43" si="0">D16+D31</f>
        <v>216.13</v>
      </c>
      <c r="E43" s="49">
        <f t="shared" si="0"/>
        <v>216.13</v>
      </c>
      <c r="F43" s="49">
        <f t="shared" si="0"/>
        <v>216.13</v>
      </c>
      <c r="G43" s="49">
        <f t="shared" si="0"/>
        <v>216.13</v>
      </c>
    </row>
    <row r="44" spans="1:7" s="15" customFormat="1" ht="30" x14ac:dyDescent="0.25">
      <c r="A44" s="50" t="s">
        <v>88</v>
      </c>
      <c r="B44" s="48" t="s">
        <v>95</v>
      </c>
      <c r="C44" s="49">
        <f>ROUND((C47*100/82),2)</f>
        <v>1402.67</v>
      </c>
      <c r="D44" s="49">
        <f t="shared" ref="D44:G44" si="1">ROUND((D47*100/82),2)</f>
        <v>10.55</v>
      </c>
      <c r="E44" s="49">
        <f t="shared" si="1"/>
        <v>10.55</v>
      </c>
      <c r="F44" s="49">
        <f t="shared" si="1"/>
        <v>10.55</v>
      </c>
      <c r="G44" s="49">
        <f t="shared" si="1"/>
        <v>10.55</v>
      </c>
    </row>
    <row r="45" spans="1:7" x14ac:dyDescent="0.25">
      <c r="A45" s="50" t="s">
        <v>124</v>
      </c>
      <c r="B45" s="48" t="s">
        <v>64</v>
      </c>
      <c r="C45" s="49">
        <f>ROUND((C44*0.18),2)</f>
        <v>252.48</v>
      </c>
      <c r="D45" s="49">
        <f t="shared" ref="D45:G45" si="2">ROUND((D44*0.18),2)</f>
        <v>1.9</v>
      </c>
      <c r="E45" s="49">
        <f t="shared" si="2"/>
        <v>1.9</v>
      </c>
      <c r="F45" s="49">
        <f t="shared" si="2"/>
        <v>1.9</v>
      </c>
      <c r="G45" s="49">
        <f t="shared" si="2"/>
        <v>1.9</v>
      </c>
    </row>
    <row r="46" spans="1:7" ht="30" x14ac:dyDescent="0.25">
      <c r="A46" s="50" t="s">
        <v>125</v>
      </c>
      <c r="B46" s="48" t="s">
        <v>65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50" t="s">
        <v>126</v>
      </c>
      <c r="B47" s="48" t="s">
        <v>66</v>
      </c>
      <c r="C47" s="49">
        <f>ROUND((C43*4%),2)</f>
        <v>1150.19</v>
      </c>
      <c r="D47" s="49">
        <f t="shared" ref="D47:G47" si="3">ROUND((D43*4%),2)</f>
        <v>8.65</v>
      </c>
      <c r="E47" s="49">
        <f t="shared" si="3"/>
        <v>8.65</v>
      </c>
      <c r="F47" s="49">
        <f t="shared" si="3"/>
        <v>8.65</v>
      </c>
      <c r="G47" s="49">
        <f t="shared" si="3"/>
        <v>8.65</v>
      </c>
    </row>
    <row r="48" spans="1:7" ht="32.25" customHeight="1" x14ac:dyDescent="0.25">
      <c r="A48" s="57">
        <v>12</v>
      </c>
      <c r="B48" s="46" t="s">
        <v>99</v>
      </c>
      <c r="C48" s="46">
        <f>'Теплова енергія'!C56</f>
        <v>133043.14000000001</v>
      </c>
      <c r="D48" s="61">
        <v>111662.33</v>
      </c>
      <c r="E48" s="61">
        <v>18245.3</v>
      </c>
      <c r="F48" s="61">
        <v>3115.85</v>
      </c>
      <c r="G48" s="61">
        <v>19.66</v>
      </c>
    </row>
    <row r="49" spans="1:7" ht="15.75" customHeight="1" x14ac:dyDescent="0.25">
      <c r="A49" s="54"/>
      <c r="B49" s="54"/>
      <c r="C49" s="54"/>
      <c r="D49" s="42"/>
      <c r="E49" s="42"/>
      <c r="F49" s="42"/>
      <c r="G49" s="42"/>
    </row>
    <row r="50" spans="1:7" ht="17.25" hidden="1" customHeight="1" x14ac:dyDescent="0.25">
      <c r="A50" s="54"/>
      <c r="B50" s="54"/>
      <c r="C50" s="54"/>
      <c r="D50" s="42"/>
      <c r="E50" s="42"/>
      <c r="F50" s="42"/>
      <c r="G50" s="42"/>
    </row>
    <row r="51" spans="1:7" ht="30" x14ac:dyDescent="0.25">
      <c r="A51" s="42"/>
      <c r="B51" s="81" t="s">
        <v>111</v>
      </c>
      <c r="C51" s="30"/>
      <c r="D51" s="30"/>
      <c r="E51" s="30"/>
      <c r="F51" s="86" t="s">
        <v>112</v>
      </c>
      <c r="G51" s="86"/>
    </row>
    <row r="52" spans="1:7" x14ac:dyDescent="0.25">
      <c r="A52" s="42"/>
      <c r="B52" s="81"/>
      <c r="C52" s="30"/>
      <c r="D52" s="30"/>
      <c r="E52" s="30"/>
      <c r="F52" s="84"/>
      <c r="G52" s="84"/>
    </row>
    <row r="53" spans="1:7" ht="30" customHeight="1" x14ac:dyDescent="0.25">
      <c r="A53" s="54"/>
      <c r="B53" s="87" t="s">
        <v>117</v>
      </c>
      <c r="C53" s="87"/>
      <c r="D53" s="42"/>
      <c r="E53" s="42"/>
      <c r="F53" s="42" t="s">
        <v>118</v>
      </c>
      <c r="G53" s="42"/>
    </row>
    <row r="54" spans="1:7" x14ac:dyDescent="0.25">
      <c r="A54" s="42"/>
      <c r="B54" s="42"/>
      <c r="C54" s="93"/>
      <c r="D54" s="94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</sheetData>
  <mergeCells count="13">
    <mergeCell ref="E2:G2"/>
    <mergeCell ref="E3:G3"/>
    <mergeCell ref="E4:G4"/>
    <mergeCell ref="F51:G51"/>
    <mergeCell ref="C54:D54"/>
    <mergeCell ref="B15:G15"/>
    <mergeCell ref="B53:C53"/>
    <mergeCell ref="A11:A12"/>
    <mergeCell ref="B11:B12"/>
    <mergeCell ref="C11:C12"/>
    <mergeCell ref="A6:G6"/>
    <mergeCell ref="A7:G7"/>
    <mergeCell ref="D11:G11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3" workbookViewId="0">
      <selection activeCell="F48" sqref="F48:G48"/>
    </sheetView>
  </sheetViews>
  <sheetFormatPr defaultRowHeight="15" x14ac:dyDescent="0.25"/>
  <cols>
    <col min="1" max="1" width="6.85546875" customWidth="1"/>
    <col min="2" max="2" width="40.7109375" customWidth="1"/>
    <col min="3" max="3" width="11.5703125" customWidth="1"/>
    <col min="4" max="4" width="11.140625" hidden="1" customWidth="1"/>
    <col min="5" max="5" width="11.5703125" customWidth="1"/>
    <col min="6" max="6" width="10.7109375" customWidth="1"/>
    <col min="7" max="7" width="11.85546875" customWidth="1"/>
  </cols>
  <sheetData>
    <row r="1" spans="1:8" x14ac:dyDescent="0.25">
      <c r="F1" s="30" t="s">
        <v>116</v>
      </c>
      <c r="G1" s="30"/>
      <c r="H1" s="30"/>
    </row>
    <row r="2" spans="1:8" x14ac:dyDescent="0.25">
      <c r="E2" s="88" t="s">
        <v>167</v>
      </c>
      <c r="F2" s="89"/>
      <c r="G2" s="89"/>
      <c r="H2" s="30"/>
    </row>
    <row r="3" spans="1:8" x14ac:dyDescent="0.25">
      <c r="E3" s="88" t="s">
        <v>159</v>
      </c>
      <c r="F3" s="88"/>
      <c r="G3" s="88"/>
      <c r="H3" s="30"/>
    </row>
    <row r="4" spans="1:8" x14ac:dyDescent="0.25">
      <c r="E4" s="88" t="s">
        <v>160</v>
      </c>
      <c r="F4" s="88"/>
      <c r="G4" s="88"/>
      <c r="H4" s="30"/>
    </row>
    <row r="5" spans="1:8" x14ac:dyDescent="0.25">
      <c r="E5" s="80" t="s">
        <v>161</v>
      </c>
      <c r="F5" s="80"/>
      <c r="G5" s="79"/>
      <c r="H5" s="30"/>
    </row>
    <row r="6" spans="1:8" x14ac:dyDescent="0.25">
      <c r="F6" s="30" t="s">
        <v>110</v>
      </c>
      <c r="G6" s="30"/>
      <c r="H6" s="30"/>
    </row>
    <row r="7" spans="1:8" x14ac:dyDescent="0.25">
      <c r="A7" s="91" t="s">
        <v>103</v>
      </c>
      <c r="B7" s="91"/>
      <c r="C7" s="91"/>
      <c r="D7" s="91"/>
      <c r="E7" s="91"/>
      <c r="F7" s="91"/>
      <c r="G7" s="91"/>
    </row>
    <row r="8" spans="1:8" ht="14.25" customHeight="1" x14ac:dyDescent="0.25">
      <c r="A8" s="91" t="s">
        <v>1</v>
      </c>
      <c r="B8" s="91"/>
      <c r="C8" s="91"/>
      <c r="D8" s="91"/>
      <c r="E8" s="91"/>
      <c r="F8" s="91"/>
      <c r="G8" s="91"/>
    </row>
    <row r="9" spans="1:8" ht="7.5" hidden="1" customHeight="1" x14ac:dyDescent="0.25">
      <c r="A9" s="42"/>
      <c r="B9" s="42"/>
      <c r="C9" s="42"/>
      <c r="D9" s="42"/>
      <c r="E9" s="42"/>
      <c r="F9" s="42"/>
      <c r="G9" s="42"/>
    </row>
    <row r="10" spans="1:8" x14ac:dyDescent="0.25">
      <c r="A10" s="42"/>
      <c r="B10" s="42"/>
      <c r="C10" s="42"/>
      <c r="D10" s="42"/>
      <c r="E10" s="42"/>
      <c r="F10" s="42"/>
      <c r="G10" s="42"/>
    </row>
    <row r="11" spans="1:8" ht="6" customHeight="1" x14ac:dyDescent="0.25">
      <c r="A11" s="42"/>
      <c r="B11" s="42"/>
      <c r="C11" s="42"/>
      <c r="D11" s="42"/>
      <c r="E11" s="42"/>
      <c r="F11" s="42"/>
      <c r="G11" s="42"/>
    </row>
    <row r="12" spans="1:8" ht="15.75" customHeight="1" x14ac:dyDescent="0.25">
      <c r="A12" s="92" t="s">
        <v>0</v>
      </c>
      <c r="B12" s="90" t="s">
        <v>8</v>
      </c>
      <c r="C12" s="90" t="s">
        <v>7</v>
      </c>
      <c r="D12" s="90" t="s">
        <v>149</v>
      </c>
      <c r="E12" s="90"/>
      <c r="F12" s="90"/>
      <c r="G12" s="90"/>
    </row>
    <row r="13" spans="1:8" ht="60.75" customHeight="1" x14ac:dyDescent="0.25">
      <c r="A13" s="92"/>
      <c r="B13" s="90"/>
      <c r="C13" s="90"/>
      <c r="D13" s="45" t="s">
        <v>3</v>
      </c>
      <c r="E13" s="45" t="s">
        <v>4</v>
      </c>
      <c r="F13" s="45" t="s">
        <v>5</v>
      </c>
      <c r="G13" s="77" t="s">
        <v>6</v>
      </c>
    </row>
    <row r="14" spans="1:8" x14ac:dyDescent="0.25">
      <c r="A14" s="45">
        <v>1</v>
      </c>
      <c r="B14" s="45">
        <v>2</v>
      </c>
      <c r="C14" s="45">
        <v>3</v>
      </c>
      <c r="D14" s="45">
        <v>4</v>
      </c>
      <c r="E14" s="45">
        <v>4</v>
      </c>
      <c r="F14" s="45">
        <v>5</v>
      </c>
      <c r="G14" s="45">
        <v>6</v>
      </c>
    </row>
    <row r="15" spans="1:8" ht="51.75" customHeight="1" x14ac:dyDescent="0.25">
      <c r="A15" s="45" t="s">
        <v>9</v>
      </c>
      <c r="B15" s="45" t="s">
        <v>150</v>
      </c>
      <c r="C15" s="47">
        <f>ROUND((C17+C29+C34+C35+C36+C37+C39),2)</f>
        <v>876.31</v>
      </c>
      <c r="D15" s="47">
        <f>ROUND((D17+D29+D34+D35+D36+D37+D39),2)</f>
        <v>6.57</v>
      </c>
      <c r="E15" s="47">
        <f>ROUND((E17+E29+E34+E35+E36+E37+E39),2)</f>
        <v>6.57</v>
      </c>
      <c r="F15" s="47">
        <f>ROUND((F17+F29+F34+F35+F36+F37+F39),2)</f>
        <v>6.57</v>
      </c>
      <c r="G15" s="47">
        <f>ROUND((G17+G29+G34+G35+G36+G37+G39),2)</f>
        <v>6.57</v>
      </c>
    </row>
    <row r="16" spans="1:8" x14ac:dyDescent="0.25">
      <c r="A16" s="45" t="s">
        <v>10</v>
      </c>
      <c r="B16" s="90" t="s">
        <v>158</v>
      </c>
      <c r="C16" s="90"/>
      <c r="D16" s="90"/>
      <c r="E16" s="90"/>
      <c r="F16" s="90"/>
      <c r="G16" s="90"/>
    </row>
    <row r="17" spans="1:7" ht="24.75" customHeight="1" x14ac:dyDescent="0.25">
      <c r="A17" s="45">
        <v>1</v>
      </c>
      <c r="B17" s="48" t="s">
        <v>11</v>
      </c>
      <c r="C17" s="48">
        <f>ROUND((C18+C19+C20+C24),2)</f>
        <v>810.54</v>
      </c>
      <c r="D17" s="48">
        <f>ROUND((D18+D19+D20+D24),2)</f>
        <v>6.09</v>
      </c>
      <c r="E17" s="48">
        <f>ROUND((E18+E19+E20+E24),2)</f>
        <v>6.09</v>
      </c>
      <c r="F17" s="48">
        <f>ROUND((F18+F19+F20+F24),2)</f>
        <v>6.09</v>
      </c>
      <c r="G17" s="48">
        <f>ROUND((G18+G19+G20+G24),2)</f>
        <v>6.09</v>
      </c>
    </row>
    <row r="18" spans="1:7" x14ac:dyDescent="0.25">
      <c r="A18" s="50" t="s">
        <v>12</v>
      </c>
      <c r="B18" s="48" t="s">
        <v>104</v>
      </c>
      <c r="C18" s="48">
        <v>0.22</v>
      </c>
      <c r="D18" s="51">
        <f>ROUND((C18/C43*D43/D43*1000),2)</f>
        <v>0</v>
      </c>
      <c r="E18" s="51">
        <f>ROUND((D18/D43*E43/E43*1000),2)</f>
        <v>0</v>
      </c>
      <c r="F18" s="51">
        <f>ROUND((E18/E43*F43/F43*1000),2)</f>
        <v>0</v>
      </c>
      <c r="G18" s="51">
        <f>ROUND((F18/F43*G43/G43*1000),2)</f>
        <v>0</v>
      </c>
    </row>
    <row r="19" spans="1:7" x14ac:dyDescent="0.25">
      <c r="A19" s="50" t="s">
        <v>20</v>
      </c>
      <c r="B19" s="48" t="s">
        <v>42</v>
      </c>
      <c r="C19" s="48">
        <v>633.88</v>
      </c>
      <c r="D19" s="51">
        <f>ROUND((C19/C43*D43/D43*1000),2)</f>
        <v>4.76</v>
      </c>
      <c r="E19" s="51">
        <f>ROUND((C19/C43*E43/E43*1000),2)</f>
        <v>4.76</v>
      </c>
      <c r="F19" s="51">
        <f>ROUND((C19/C43*F43/F43*1000),2)</f>
        <v>4.76</v>
      </c>
      <c r="G19" s="51">
        <f>ROUND((C19/C43*G43/G43*1000),2)</f>
        <v>4.76</v>
      </c>
    </row>
    <row r="20" spans="1:7" x14ac:dyDescent="0.25">
      <c r="A20" s="50" t="s">
        <v>21</v>
      </c>
      <c r="B20" s="48" t="s">
        <v>43</v>
      </c>
      <c r="C20" s="48">
        <f>ROUND(SUM(C21:C23),2)</f>
        <v>164.87</v>
      </c>
      <c r="D20" s="48">
        <f>ROUND(SUM(D21:D23),2)</f>
        <v>1.24</v>
      </c>
      <c r="E20" s="48">
        <f>ROUND(SUM(E21:E23),2)</f>
        <v>1.24</v>
      </c>
      <c r="F20" s="48">
        <f>ROUND(SUM(F21:F23),2)</f>
        <v>1.24</v>
      </c>
      <c r="G20" s="48">
        <f>ROUND(SUM(G21:G23),2)</f>
        <v>1.24</v>
      </c>
    </row>
    <row r="21" spans="1:7" x14ac:dyDescent="0.25">
      <c r="A21" s="50" t="s">
        <v>22</v>
      </c>
      <c r="B21" s="48" t="s">
        <v>44</v>
      </c>
      <c r="C21" s="49">
        <f>ROUND((C19*0.22),2)</f>
        <v>139.44999999999999</v>
      </c>
      <c r="D21" s="48">
        <f>ROUND((D19*0.22),2)</f>
        <v>1.05</v>
      </c>
      <c r="E21" s="48">
        <f>ROUND((E19*0.22),2)</f>
        <v>1.05</v>
      </c>
      <c r="F21" s="48">
        <f>ROUND((F19*0.22),2)</f>
        <v>1.05</v>
      </c>
      <c r="G21" s="48">
        <f>ROUND((G19*0.22),2)</f>
        <v>1.05</v>
      </c>
    </row>
    <row r="22" spans="1:7" ht="28.5" customHeight="1" x14ac:dyDescent="0.25">
      <c r="A22" s="50" t="s">
        <v>23</v>
      </c>
      <c r="B22" s="48" t="s">
        <v>45</v>
      </c>
      <c r="C22" s="48">
        <v>2.33</v>
      </c>
      <c r="D22" s="51">
        <f>ROUND((C22/C43*D43/D43*1000),2)</f>
        <v>0.02</v>
      </c>
      <c r="E22" s="51">
        <f>ROUND((C22/C43*E43/E43*1000),2)</f>
        <v>0.02</v>
      </c>
      <c r="F22" s="51">
        <f>ROUND((C22/C43*F43/F43*1000),2)</f>
        <v>0.02</v>
      </c>
      <c r="G22" s="51">
        <f>ROUND((C22/C43*G43/G43*1000),2)</f>
        <v>0.02</v>
      </c>
    </row>
    <row r="23" spans="1:7" x14ac:dyDescent="0.25">
      <c r="A23" s="50" t="s">
        <v>24</v>
      </c>
      <c r="B23" s="48" t="s">
        <v>46</v>
      </c>
      <c r="C23" s="49">
        <v>23.09</v>
      </c>
      <c r="D23" s="51">
        <f>ROUND((C23/C43*D43/D43*1000),2)</f>
        <v>0.17</v>
      </c>
      <c r="E23" s="51">
        <f>ROUND((C23/C43*E43/E43*1000),2)</f>
        <v>0.17</v>
      </c>
      <c r="F23" s="51">
        <f>ROUND((C23/C43*F43/F43*1000),2)</f>
        <v>0.17</v>
      </c>
      <c r="G23" s="51">
        <f>ROUND((C23/C43*G43/G43*1000),2)</f>
        <v>0.17</v>
      </c>
    </row>
    <row r="24" spans="1:7" s="15" customFormat="1" x14ac:dyDescent="0.25">
      <c r="A24" s="50" t="s">
        <v>25</v>
      </c>
      <c r="B24" s="48" t="s">
        <v>47</v>
      </c>
      <c r="C24" s="48">
        <f>ROUND(SUM(C25:C28),2)</f>
        <v>11.57</v>
      </c>
      <c r="D24" s="48">
        <f>ROUND(SUM(D25:D28),2)</f>
        <v>0.09</v>
      </c>
      <c r="E24" s="48">
        <f>ROUND(SUM(E25:E28),2)</f>
        <v>0.09</v>
      </c>
      <c r="F24" s="48">
        <f>ROUND(SUM(F25:F28),2)</f>
        <v>0.09</v>
      </c>
      <c r="G24" s="48">
        <f>ROUND(SUM(G25:G28),2)</f>
        <v>0.09</v>
      </c>
    </row>
    <row r="25" spans="1:7" ht="24.75" customHeight="1" x14ac:dyDescent="0.25">
      <c r="A25" s="50" t="s">
        <v>26</v>
      </c>
      <c r="B25" s="48" t="s">
        <v>48</v>
      </c>
      <c r="C25" s="49">
        <v>9.2200000000000006</v>
      </c>
      <c r="D25" s="51">
        <f>ROUND((C25/C43*D43/D43*1000),2)</f>
        <v>7.0000000000000007E-2</v>
      </c>
      <c r="E25" s="51">
        <f>ROUND((C25/C43*E43/E43*1000),2)</f>
        <v>7.0000000000000007E-2</v>
      </c>
      <c r="F25" s="51">
        <f>ROUND((C25/C43*F43/F43*1000),2)</f>
        <v>7.0000000000000007E-2</v>
      </c>
      <c r="G25" s="51">
        <f>ROUND((C25/C43*G43/G43*1000),2)</f>
        <v>7.0000000000000007E-2</v>
      </c>
    </row>
    <row r="26" spans="1:7" x14ac:dyDescent="0.25">
      <c r="A26" s="50" t="s">
        <v>27</v>
      </c>
      <c r="B26" s="48" t="s">
        <v>44</v>
      </c>
      <c r="C26" s="48">
        <f>ROUND((C25*0.22),2)</f>
        <v>2.0299999999999998</v>
      </c>
      <c r="D26" s="51">
        <f>ROUND((C26/C43*D43/D43*1000),2)</f>
        <v>0.02</v>
      </c>
      <c r="E26" s="51">
        <f>ROUND((C26/C43*E43/E43*1000),2)</f>
        <v>0.02</v>
      </c>
      <c r="F26" s="51">
        <f>ROUND((C26/C43*F43/F43*1000),2)</f>
        <v>0.02</v>
      </c>
      <c r="G26" s="51">
        <f>ROUND((C26/C43*G43/G43*1000),2)</f>
        <v>0.02</v>
      </c>
    </row>
    <row r="27" spans="1:7" x14ac:dyDescent="0.25">
      <c r="A27" s="50" t="s">
        <v>28</v>
      </c>
      <c r="B27" s="48" t="s">
        <v>45</v>
      </c>
      <c r="C27" s="49">
        <v>0.05</v>
      </c>
      <c r="D27" s="51">
        <f>ROUND((C27/C43*D43/D43*1000),2)</f>
        <v>0</v>
      </c>
      <c r="E27" s="51">
        <f>ROUND((C27/C43*E43/E43*1000),2)</f>
        <v>0</v>
      </c>
      <c r="F27" s="51">
        <f>ROUND((C27/C43*F43/F43*1000),2)</f>
        <v>0</v>
      </c>
      <c r="G27" s="51">
        <f>ROUND((C27/C43*G43/G43*1000),2)</f>
        <v>0</v>
      </c>
    </row>
    <row r="28" spans="1:7" ht="22.5" customHeight="1" x14ac:dyDescent="0.25">
      <c r="A28" s="50" t="s">
        <v>29</v>
      </c>
      <c r="B28" s="48" t="s">
        <v>49</v>
      </c>
      <c r="C28" s="49">
        <v>0.27</v>
      </c>
      <c r="D28" s="51">
        <f>ROUND((C28/C43*D43/D43*1000),2)</f>
        <v>0</v>
      </c>
      <c r="E28" s="51">
        <f>ROUND((C28/C43*E43/E43*1000),2)</f>
        <v>0</v>
      </c>
      <c r="F28" s="51">
        <f>ROUND((C28/C43*F43/F43*1000),2)</f>
        <v>0</v>
      </c>
      <c r="G28" s="51">
        <f>ROUND((C28/C43*G43/G43*1000),2)</f>
        <v>0</v>
      </c>
    </row>
    <row r="29" spans="1:7" s="15" customFormat="1" ht="24" customHeight="1" x14ac:dyDescent="0.25">
      <c r="A29" s="50" t="s">
        <v>30</v>
      </c>
      <c r="B29" s="48" t="s">
        <v>50</v>
      </c>
      <c r="C29" s="48">
        <f>ROUND(SUM(C30:C33),2)</f>
        <v>25.01</v>
      </c>
      <c r="D29" s="48">
        <f>ROUND(SUM(D30:D33),2)</f>
        <v>0.18</v>
      </c>
      <c r="E29" s="48">
        <f>ROUND(SUM(E30:E33),2)</f>
        <v>0.18</v>
      </c>
      <c r="F29" s="48">
        <f>ROUND(SUM(F30:F33),2)</f>
        <v>0.18</v>
      </c>
      <c r="G29" s="48">
        <f>ROUND(SUM(G30:G33),2)</f>
        <v>0.18</v>
      </c>
    </row>
    <row r="30" spans="1:7" ht="21" customHeight="1" x14ac:dyDescent="0.25">
      <c r="A30" s="50" t="s">
        <v>31</v>
      </c>
      <c r="B30" s="48" t="s">
        <v>48</v>
      </c>
      <c r="C30" s="49">
        <v>19.260000000000002</v>
      </c>
      <c r="D30" s="51">
        <f>ROUND((C30/C43*D43/D43*1000),2)</f>
        <v>0.14000000000000001</v>
      </c>
      <c r="E30" s="51">
        <f>ROUND((C30/C43*E43/E43*1000),2)</f>
        <v>0.14000000000000001</v>
      </c>
      <c r="F30" s="51">
        <f>ROUND((C30/C43*F43/F43*1000),2)</f>
        <v>0.14000000000000001</v>
      </c>
      <c r="G30" s="51">
        <f>ROUND((C30/C43*G43/G43*1000),2)</f>
        <v>0.14000000000000001</v>
      </c>
    </row>
    <row r="31" spans="1:7" x14ac:dyDescent="0.25">
      <c r="A31" s="50" t="s">
        <v>32</v>
      </c>
      <c r="B31" s="48" t="s">
        <v>44</v>
      </c>
      <c r="C31" s="48">
        <f>ROUND((C30*0.22),2)</f>
        <v>4.24</v>
      </c>
      <c r="D31" s="51">
        <f>ROUND((C31/C43*D43/D43*1000),2)</f>
        <v>0.03</v>
      </c>
      <c r="E31" s="51">
        <f>ROUND((C31/C43*E43/E43*1000),2)</f>
        <v>0.03</v>
      </c>
      <c r="F31" s="51">
        <f>ROUND((C31/C43*F43/F43*1000),2)</f>
        <v>0.03</v>
      </c>
      <c r="G31" s="51">
        <f>ROUND((C31/C43*G43/G43*1000),2)</f>
        <v>0.03</v>
      </c>
    </row>
    <row r="32" spans="1:7" x14ac:dyDescent="0.25">
      <c r="A32" s="50" t="s">
        <v>33</v>
      </c>
      <c r="B32" s="48" t="s">
        <v>45</v>
      </c>
      <c r="C32" s="49">
        <v>0.13</v>
      </c>
      <c r="D32" s="51">
        <f>ROUND((C32/C43*D43/D43*1000),2)</f>
        <v>0</v>
      </c>
      <c r="E32" s="51">
        <f>ROUND((C32/C43*E43/E43*1000),2)</f>
        <v>0</v>
      </c>
      <c r="F32" s="51">
        <f>ROUND((C32/C43*F43/F43*1000),2)</f>
        <v>0</v>
      </c>
      <c r="G32" s="51">
        <f>ROUND((C32/C43*G43/G43*1000),2)</f>
        <v>0</v>
      </c>
    </row>
    <row r="33" spans="1:7" x14ac:dyDescent="0.25">
      <c r="A33" s="50" t="s">
        <v>52</v>
      </c>
      <c r="B33" s="48" t="s">
        <v>49</v>
      </c>
      <c r="C33" s="49">
        <v>1.38</v>
      </c>
      <c r="D33" s="51">
        <f>ROUND((C33/C43*D43/D43*1000),2)</f>
        <v>0.01</v>
      </c>
      <c r="E33" s="51">
        <f>ROUND((C33/C43*E43/E43*1000),2)</f>
        <v>0.01</v>
      </c>
      <c r="F33" s="51">
        <f>ROUND((C33/C43*F43/F43*1000),2)</f>
        <v>0.01</v>
      </c>
      <c r="G33" s="51">
        <f>ROUND((C33/C43*G43/G43*1000),2)</f>
        <v>0.01</v>
      </c>
    </row>
    <row r="34" spans="1:7" x14ac:dyDescent="0.25">
      <c r="A34" s="50" t="s">
        <v>53</v>
      </c>
      <c r="B34" s="48" t="s">
        <v>59</v>
      </c>
      <c r="C34" s="48"/>
      <c r="D34" s="60">
        <v>0</v>
      </c>
      <c r="E34" s="60">
        <v>0</v>
      </c>
      <c r="F34" s="60">
        <v>0</v>
      </c>
      <c r="G34" s="60">
        <v>0</v>
      </c>
    </row>
    <row r="35" spans="1:7" x14ac:dyDescent="0.25">
      <c r="A35" s="50" t="s">
        <v>54</v>
      </c>
      <c r="B35" s="48" t="s">
        <v>60</v>
      </c>
      <c r="C35" s="48"/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0" t="s">
        <v>55</v>
      </c>
      <c r="B36" s="48" t="s">
        <v>61</v>
      </c>
      <c r="C36" s="48">
        <f>'Теплова енергія'!C48-Виробництво!C57-Транспортування!C41</f>
        <v>0</v>
      </c>
      <c r="D36" s="60">
        <f>C36/C43*D43/D43*1000</f>
        <v>0</v>
      </c>
      <c r="E36" s="60">
        <f>C36/C43*E43/E43*1000</f>
        <v>0</v>
      </c>
      <c r="F36" s="60">
        <f>C36/C43*F43/F43*1000</f>
        <v>0</v>
      </c>
      <c r="G36" s="60">
        <f>C36/C43*G43/G43*1000</f>
        <v>0</v>
      </c>
    </row>
    <row r="37" spans="1:7" x14ac:dyDescent="0.25">
      <c r="A37" s="50" t="s">
        <v>56</v>
      </c>
      <c r="B37" s="48" t="s">
        <v>62</v>
      </c>
      <c r="C37" s="48"/>
      <c r="D37" s="60">
        <v>0</v>
      </c>
      <c r="E37" s="60">
        <v>0</v>
      </c>
      <c r="F37" s="60">
        <v>0</v>
      </c>
      <c r="G37" s="60">
        <v>0</v>
      </c>
    </row>
    <row r="38" spans="1:7" s="15" customFormat="1" x14ac:dyDescent="0.25">
      <c r="A38" s="50" t="s">
        <v>57</v>
      </c>
      <c r="B38" s="48" t="s">
        <v>119</v>
      </c>
      <c r="C38" s="48">
        <f>C17+C29</f>
        <v>835.55</v>
      </c>
      <c r="D38" s="48">
        <f t="shared" ref="D38:G38" si="0">D17+D29</f>
        <v>6.27</v>
      </c>
      <c r="E38" s="48">
        <f t="shared" si="0"/>
        <v>6.27</v>
      </c>
      <c r="F38" s="48">
        <f t="shared" si="0"/>
        <v>6.27</v>
      </c>
      <c r="G38" s="48">
        <f t="shared" si="0"/>
        <v>6.27</v>
      </c>
    </row>
    <row r="39" spans="1:7" s="15" customFormat="1" ht="30" x14ac:dyDescent="0.25">
      <c r="A39" s="50" t="s">
        <v>58</v>
      </c>
      <c r="B39" s="48" t="s">
        <v>95</v>
      </c>
      <c r="C39" s="49">
        <f>ROUND(((C42*100/82)),2)</f>
        <v>40.76</v>
      </c>
      <c r="D39" s="49">
        <f t="shared" ref="D39:G39" si="1">ROUND(((D42*100/82)),2)</f>
        <v>0.3</v>
      </c>
      <c r="E39" s="49">
        <f t="shared" si="1"/>
        <v>0.3</v>
      </c>
      <c r="F39" s="49">
        <f t="shared" si="1"/>
        <v>0.3</v>
      </c>
      <c r="G39" s="49">
        <f t="shared" si="1"/>
        <v>0.3</v>
      </c>
    </row>
    <row r="40" spans="1:7" x14ac:dyDescent="0.25">
      <c r="A40" s="50" t="s">
        <v>79</v>
      </c>
      <c r="B40" s="48" t="s">
        <v>64</v>
      </c>
      <c r="C40" s="49">
        <f>ROUND((C39*0.18),2)</f>
        <v>7.34</v>
      </c>
      <c r="D40" s="51">
        <f>ROUND((D39*18%),2)</f>
        <v>0.05</v>
      </c>
      <c r="E40" s="51">
        <f t="shared" ref="E40:G40" si="2">ROUND((E39*18%),2)</f>
        <v>0.05</v>
      </c>
      <c r="F40" s="51">
        <f t="shared" si="2"/>
        <v>0.05</v>
      </c>
      <c r="G40" s="51">
        <f t="shared" si="2"/>
        <v>0.05</v>
      </c>
    </row>
    <row r="41" spans="1:7" ht="30" x14ac:dyDescent="0.25">
      <c r="A41" s="50" t="s">
        <v>80</v>
      </c>
      <c r="B41" s="48" t="s">
        <v>65</v>
      </c>
      <c r="C41" s="49">
        <v>0</v>
      </c>
      <c r="D41" s="49">
        <f>C41/C43*D43/D43*1000</f>
        <v>0</v>
      </c>
      <c r="E41" s="49">
        <f>C41/C43*E43/E43*1000</f>
        <v>0</v>
      </c>
      <c r="F41" s="49">
        <f>C41/C43*F43/F43*1000</f>
        <v>0</v>
      </c>
      <c r="G41" s="49">
        <f>C41/C43*G43/G43*1000</f>
        <v>0</v>
      </c>
    </row>
    <row r="42" spans="1:7" x14ac:dyDescent="0.25">
      <c r="A42" s="50" t="s">
        <v>81</v>
      </c>
      <c r="B42" s="48" t="s">
        <v>66</v>
      </c>
      <c r="C42" s="49">
        <f>ROUND((C38*4%),2)</f>
        <v>33.42</v>
      </c>
      <c r="D42" s="49">
        <f t="shared" ref="D42:G42" si="3">ROUND((D38*4%),2)</f>
        <v>0.25</v>
      </c>
      <c r="E42" s="49">
        <f t="shared" si="3"/>
        <v>0.25</v>
      </c>
      <c r="F42" s="49">
        <f t="shared" si="3"/>
        <v>0.25</v>
      </c>
      <c r="G42" s="49">
        <f t="shared" si="3"/>
        <v>0.25</v>
      </c>
    </row>
    <row r="43" spans="1:7" ht="35.25" customHeight="1" x14ac:dyDescent="0.25">
      <c r="A43" s="57">
        <v>9</v>
      </c>
      <c r="B43" s="46" t="s">
        <v>99</v>
      </c>
      <c r="C43" s="46">
        <f>'Теплова енергія'!C56</f>
        <v>133043.14000000001</v>
      </c>
      <c r="D43" s="61">
        <v>111662.33</v>
      </c>
      <c r="E43" s="61">
        <v>18245.3</v>
      </c>
      <c r="F43" s="61">
        <v>3115.85</v>
      </c>
      <c r="G43" s="61">
        <v>19.66</v>
      </c>
    </row>
    <row r="44" spans="1:7" ht="15.75" customHeight="1" x14ac:dyDescent="0.25">
      <c r="A44" s="54"/>
      <c r="B44" s="54"/>
      <c r="C44" s="54"/>
      <c r="D44" s="42"/>
      <c r="E44" s="42"/>
      <c r="F44" s="42"/>
      <c r="G44" s="42"/>
    </row>
    <row r="45" spans="1:7" ht="49.5" hidden="1" customHeight="1" x14ac:dyDescent="0.25">
      <c r="A45" s="54"/>
      <c r="B45" s="54"/>
      <c r="C45" s="54"/>
      <c r="D45" s="42"/>
      <c r="E45" s="42"/>
      <c r="F45" s="42"/>
      <c r="G45" s="42"/>
    </row>
    <row r="46" spans="1:7" ht="29.25" customHeight="1" x14ac:dyDescent="0.25">
      <c r="A46" s="42"/>
      <c r="B46" s="81" t="s">
        <v>111</v>
      </c>
      <c r="C46" s="30"/>
      <c r="D46" s="30"/>
      <c r="E46" s="30"/>
      <c r="F46" s="86" t="s">
        <v>112</v>
      </c>
      <c r="G46" s="86"/>
    </row>
    <row r="47" spans="1:7" x14ac:dyDescent="0.25">
      <c r="A47" s="54"/>
      <c r="B47" s="54"/>
      <c r="C47" s="42"/>
      <c r="D47" s="42"/>
      <c r="E47" s="42"/>
      <c r="F47" s="42"/>
      <c r="G47" s="42"/>
    </row>
    <row r="48" spans="1:7" ht="30" customHeight="1" x14ac:dyDescent="0.25">
      <c r="A48" s="54"/>
      <c r="B48" s="87" t="s">
        <v>117</v>
      </c>
      <c r="C48" s="87"/>
      <c r="D48" s="42"/>
      <c r="E48" s="42"/>
      <c r="F48" s="42" t="s">
        <v>118</v>
      </c>
      <c r="G48" s="42"/>
    </row>
    <row r="49" spans="1:7" x14ac:dyDescent="0.25">
      <c r="A49" s="42"/>
      <c r="B49" s="42"/>
      <c r="C49" s="93"/>
      <c r="D49" s="94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</sheetData>
  <mergeCells count="13">
    <mergeCell ref="E2:G2"/>
    <mergeCell ref="E3:G3"/>
    <mergeCell ref="E4:G4"/>
    <mergeCell ref="F46:G46"/>
    <mergeCell ref="B16:G16"/>
    <mergeCell ref="C49:D49"/>
    <mergeCell ref="A7:G7"/>
    <mergeCell ref="A8:G8"/>
    <mergeCell ref="A12:A13"/>
    <mergeCell ref="B12:B13"/>
    <mergeCell ref="C12:C13"/>
    <mergeCell ref="D12:G12"/>
    <mergeCell ref="B48:C48"/>
  </mergeCells>
  <pageMargins left="1.1023622047244095" right="0.51181102362204722" top="0.35433070866141736" bottom="0.35433070866141736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topLeftCell="A13" workbookViewId="0">
      <selection activeCell="G20" sqref="G20"/>
    </sheetView>
  </sheetViews>
  <sheetFormatPr defaultRowHeight="15" x14ac:dyDescent="0.25"/>
  <cols>
    <col min="1" max="1" width="6.140625" customWidth="1"/>
    <col min="2" max="2" width="27.5703125" customWidth="1"/>
    <col min="3" max="3" width="11.42578125" customWidth="1"/>
    <col min="4" max="4" width="0.7109375" hidden="1" customWidth="1"/>
    <col min="5" max="5" width="11.140625" customWidth="1"/>
    <col min="6" max="6" width="10.85546875" customWidth="1"/>
    <col min="7" max="7" width="11.42578125" customWidth="1"/>
  </cols>
  <sheetData>
    <row r="2" spans="1:7" x14ac:dyDescent="0.25">
      <c r="E2" s="88" t="s">
        <v>168</v>
      </c>
      <c r="F2" s="89"/>
      <c r="G2" s="89"/>
    </row>
    <row r="3" spans="1:7" x14ac:dyDescent="0.25">
      <c r="E3" s="88" t="s">
        <v>159</v>
      </c>
      <c r="F3" s="88"/>
      <c r="G3" s="88"/>
    </row>
    <row r="4" spans="1:7" x14ac:dyDescent="0.25">
      <c r="E4" s="88" t="s">
        <v>160</v>
      </c>
      <c r="F4" s="88"/>
      <c r="G4" s="88"/>
    </row>
    <row r="5" spans="1:7" x14ac:dyDescent="0.25">
      <c r="E5" s="80" t="s">
        <v>161</v>
      </c>
      <c r="F5" s="80"/>
      <c r="G5" s="79"/>
    </row>
    <row r="7" spans="1:7" x14ac:dyDescent="0.25">
      <c r="A7" s="91" t="s">
        <v>169</v>
      </c>
      <c r="B7" s="91"/>
      <c r="C7" s="91"/>
      <c r="D7" s="91"/>
      <c r="E7" s="91"/>
      <c r="F7" s="91"/>
      <c r="G7" s="91"/>
    </row>
    <row r="8" spans="1:7" x14ac:dyDescent="0.25">
      <c r="A8" s="91" t="s">
        <v>1</v>
      </c>
      <c r="B8" s="91"/>
      <c r="C8" s="91"/>
      <c r="D8" s="91"/>
      <c r="E8" s="91"/>
      <c r="F8" s="91"/>
      <c r="G8" s="91"/>
    </row>
    <row r="9" spans="1:7" x14ac:dyDescent="0.25">
      <c r="A9" s="42"/>
      <c r="B9" s="42"/>
      <c r="C9" s="42"/>
      <c r="D9" s="44"/>
      <c r="E9" s="42"/>
      <c r="F9" s="42"/>
      <c r="G9" s="42"/>
    </row>
    <row r="10" spans="1:7" x14ac:dyDescent="0.25">
      <c r="A10" s="42"/>
      <c r="B10" s="42"/>
      <c r="C10" s="42"/>
      <c r="D10" s="42"/>
      <c r="E10" s="42"/>
      <c r="F10" s="42"/>
      <c r="G10" s="42"/>
    </row>
    <row r="11" spans="1:7" x14ac:dyDescent="0.25">
      <c r="A11" s="99" t="s">
        <v>0</v>
      </c>
      <c r="B11" s="101" t="s">
        <v>8</v>
      </c>
      <c r="C11" s="101" t="s">
        <v>128</v>
      </c>
      <c r="D11" s="103" t="s">
        <v>129</v>
      </c>
      <c r="E11" s="104"/>
      <c r="F11" s="104"/>
      <c r="G11" s="105"/>
    </row>
    <row r="12" spans="1:7" x14ac:dyDescent="0.25">
      <c r="A12" s="100"/>
      <c r="B12" s="100"/>
      <c r="C12" s="102"/>
      <c r="D12" s="90" t="s">
        <v>3</v>
      </c>
      <c r="E12" s="90" t="s">
        <v>4</v>
      </c>
      <c r="F12" s="90" t="s">
        <v>5</v>
      </c>
      <c r="G12" s="92" t="s">
        <v>6</v>
      </c>
    </row>
    <row r="13" spans="1:7" x14ac:dyDescent="0.25">
      <c r="A13" s="100"/>
      <c r="B13" s="100"/>
      <c r="C13" s="102"/>
      <c r="D13" s="90"/>
      <c r="E13" s="90"/>
      <c r="F13" s="90"/>
      <c r="G13" s="92"/>
    </row>
    <row r="14" spans="1:7" ht="37.9" customHeight="1" x14ac:dyDescent="0.25">
      <c r="A14" s="100"/>
      <c r="B14" s="100"/>
      <c r="C14" s="102"/>
      <c r="D14" s="90"/>
      <c r="E14" s="90"/>
      <c r="F14" s="90"/>
      <c r="G14" s="92"/>
    </row>
    <row r="15" spans="1:7" x14ac:dyDescent="0.25">
      <c r="A15" s="45">
        <v>1</v>
      </c>
      <c r="B15" s="45">
        <v>2</v>
      </c>
      <c r="C15" s="45">
        <v>3</v>
      </c>
      <c r="D15" s="45">
        <v>3</v>
      </c>
      <c r="E15" s="45">
        <v>4</v>
      </c>
      <c r="F15" s="45">
        <v>5</v>
      </c>
      <c r="G15" s="45">
        <v>6</v>
      </c>
    </row>
    <row r="16" spans="1:7" ht="46.15" customHeight="1" x14ac:dyDescent="0.25">
      <c r="A16" s="45" t="s">
        <v>9</v>
      </c>
      <c r="B16" s="63" t="s">
        <v>130</v>
      </c>
      <c r="C16" s="47" t="s">
        <v>131</v>
      </c>
      <c r="D16" s="47">
        <f>D25*1.2</f>
        <v>122.29199999999999</v>
      </c>
      <c r="E16" s="47">
        <f t="shared" ref="E16:G16" si="0">E25*1.2</f>
        <v>197.69999999999996</v>
      </c>
      <c r="F16" s="47">
        <f t="shared" si="0"/>
        <v>197.80799999999996</v>
      </c>
      <c r="G16" s="47">
        <f t="shared" si="0"/>
        <v>199.51199999999997</v>
      </c>
    </row>
    <row r="17" spans="1:8" ht="18.600000000000001" customHeight="1" x14ac:dyDescent="0.25">
      <c r="A17" s="45" t="s">
        <v>10</v>
      </c>
      <c r="B17" s="95" t="s">
        <v>132</v>
      </c>
      <c r="C17" s="96"/>
      <c r="D17" s="97"/>
      <c r="E17" s="97"/>
      <c r="F17" s="97"/>
      <c r="G17" s="98"/>
    </row>
    <row r="18" spans="1:8" ht="44.45" customHeight="1" x14ac:dyDescent="0.25">
      <c r="A18" s="45">
        <v>1</v>
      </c>
      <c r="B18" s="64" t="s">
        <v>133</v>
      </c>
      <c r="C18" s="47" t="s">
        <v>131</v>
      </c>
      <c r="D18" s="47">
        <f>D19+D20</f>
        <v>98.16</v>
      </c>
      <c r="E18" s="47">
        <f t="shared" ref="E18:G18" si="1">E19+E20</f>
        <v>158.33999999999997</v>
      </c>
      <c r="F18" s="47">
        <f t="shared" si="1"/>
        <v>158.42999999999998</v>
      </c>
      <c r="G18" s="47">
        <f t="shared" si="1"/>
        <v>159.85999999999999</v>
      </c>
    </row>
    <row r="19" spans="1:8" ht="29.45" customHeight="1" x14ac:dyDescent="0.25">
      <c r="A19" s="65" t="s">
        <v>134</v>
      </c>
      <c r="B19" s="64" t="s">
        <v>135</v>
      </c>
      <c r="C19" s="47" t="s">
        <v>131</v>
      </c>
      <c r="D19" s="47">
        <v>87.21</v>
      </c>
      <c r="E19" s="47">
        <v>147.38999999999999</v>
      </c>
      <c r="F19" s="47">
        <v>147.47999999999999</v>
      </c>
      <c r="G19" s="47">
        <v>148.91</v>
      </c>
    </row>
    <row r="20" spans="1:8" ht="49.15" customHeight="1" x14ac:dyDescent="0.25">
      <c r="A20" s="45" t="s">
        <v>136</v>
      </c>
      <c r="B20" s="64" t="s">
        <v>137</v>
      </c>
      <c r="C20" s="47" t="s">
        <v>131</v>
      </c>
      <c r="D20" s="47">
        <v>10.95</v>
      </c>
      <c r="E20" s="47">
        <f>D20</f>
        <v>10.95</v>
      </c>
      <c r="F20" s="47">
        <f>D20</f>
        <v>10.95</v>
      </c>
      <c r="G20" s="47">
        <f>D20</f>
        <v>10.95</v>
      </c>
    </row>
    <row r="21" spans="1:8" ht="43.9" customHeight="1" x14ac:dyDescent="0.25">
      <c r="A21" s="45">
        <v>2</v>
      </c>
      <c r="B21" s="63" t="s">
        <v>138</v>
      </c>
      <c r="C21" s="47" t="s">
        <v>131</v>
      </c>
      <c r="D21" s="47">
        <f>D22+D23+D24</f>
        <v>3.75</v>
      </c>
      <c r="E21" s="47">
        <f t="shared" ref="E21:G21" si="2">E22+E23+E24</f>
        <v>6.41</v>
      </c>
      <c r="F21" s="47">
        <f t="shared" si="2"/>
        <v>6.41</v>
      </c>
      <c r="G21" s="47">
        <f t="shared" si="2"/>
        <v>6.3999999999999995</v>
      </c>
    </row>
    <row r="22" spans="1:8" ht="19.149999999999999" customHeight="1" x14ac:dyDescent="0.25">
      <c r="A22" s="53" t="s">
        <v>139</v>
      </c>
      <c r="B22" s="63" t="s">
        <v>64</v>
      </c>
      <c r="C22" s="47" t="s">
        <v>131</v>
      </c>
      <c r="D22" s="66">
        <v>0.67</v>
      </c>
      <c r="E22" s="66">
        <v>1.1499999999999999</v>
      </c>
      <c r="F22" s="66">
        <v>1.1499999999999999</v>
      </c>
      <c r="G22" s="66">
        <v>1.0900000000000001</v>
      </c>
    </row>
    <row r="23" spans="1:8" ht="42" customHeight="1" x14ac:dyDescent="0.25">
      <c r="A23" s="53" t="s">
        <v>140</v>
      </c>
      <c r="B23" s="63" t="s">
        <v>65</v>
      </c>
      <c r="C23" s="47" t="s">
        <v>131</v>
      </c>
      <c r="D23" s="66">
        <v>0</v>
      </c>
      <c r="E23" s="66">
        <v>0</v>
      </c>
      <c r="F23" s="66">
        <v>0</v>
      </c>
      <c r="G23" s="66">
        <v>0</v>
      </c>
    </row>
    <row r="24" spans="1:8" x14ac:dyDescent="0.25">
      <c r="A24" s="53" t="s">
        <v>141</v>
      </c>
      <c r="B24" s="67" t="s">
        <v>66</v>
      </c>
      <c r="C24" s="47" t="s">
        <v>131</v>
      </c>
      <c r="D24" s="66">
        <v>3.08</v>
      </c>
      <c r="E24" s="66">
        <v>5.26</v>
      </c>
      <c r="F24" s="66">
        <v>5.26</v>
      </c>
      <c r="G24" s="66">
        <v>5.31</v>
      </c>
    </row>
    <row r="25" spans="1:8" ht="33.6" customHeight="1" x14ac:dyDescent="0.25">
      <c r="A25" s="68">
        <v>3</v>
      </c>
      <c r="B25" s="69" t="s">
        <v>142</v>
      </c>
      <c r="C25" s="70" t="s">
        <v>131</v>
      </c>
      <c r="D25" s="71">
        <f>D18+D21</f>
        <v>101.91</v>
      </c>
      <c r="E25" s="71">
        <f t="shared" ref="E25:G25" si="3">E18+E21</f>
        <v>164.74999999999997</v>
      </c>
      <c r="F25" s="71">
        <f t="shared" si="3"/>
        <v>164.83999999999997</v>
      </c>
      <c r="G25" s="71">
        <f t="shared" si="3"/>
        <v>166.26</v>
      </c>
    </row>
    <row r="26" spans="1:8" x14ac:dyDescent="0.25">
      <c r="A26" s="42"/>
      <c r="B26" s="72"/>
      <c r="C26" s="72"/>
      <c r="D26" s="72"/>
      <c r="E26" s="72"/>
      <c r="F26" s="72"/>
      <c r="G26" s="72"/>
    </row>
    <row r="27" spans="1:8" ht="15" customHeight="1" x14ac:dyDescent="0.25">
      <c r="A27" s="78"/>
      <c r="B27" s="86" t="s">
        <v>111</v>
      </c>
      <c r="C27" s="86"/>
      <c r="D27" s="42"/>
      <c r="E27" s="42"/>
      <c r="F27" s="42"/>
      <c r="G27" s="86" t="s">
        <v>112</v>
      </c>
      <c r="H27" s="86"/>
    </row>
    <row r="28" spans="1:8" x14ac:dyDescent="0.25">
      <c r="A28" s="42"/>
      <c r="B28" s="42"/>
      <c r="C28" s="42"/>
      <c r="D28" s="42"/>
      <c r="E28" s="42"/>
      <c r="F28" s="42"/>
      <c r="G28" s="42"/>
    </row>
    <row r="29" spans="1:8" ht="28.5" customHeight="1" x14ac:dyDescent="0.25">
      <c r="A29" s="42"/>
      <c r="B29" s="87" t="s">
        <v>117</v>
      </c>
      <c r="C29" s="87"/>
      <c r="D29" s="87"/>
      <c r="E29" s="87"/>
      <c r="F29" s="42"/>
      <c r="G29" s="42" t="s">
        <v>118</v>
      </c>
      <c r="H29" s="42"/>
    </row>
    <row r="30" spans="1:8" x14ac:dyDescent="0.25">
      <c r="A30" s="42"/>
      <c r="B30" s="42"/>
      <c r="C30" s="42"/>
      <c r="D30" s="42"/>
      <c r="E30" s="42"/>
      <c r="F30" s="42"/>
      <c r="G30" s="42"/>
    </row>
    <row r="31" spans="1:8" x14ac:dyDescent="0.25">
      <c r="A31" s="42"/>
      <c r="B31" s="42"/>
      <c r="C31" s="42"/>
      <c r="D31" s="42"/>
      <c r="E31" s="42"/>
      <c r="F31" s="42"/>
      <c r="G31" s="42"/>
    </row>
    <row r="32" spans="1:8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42"/>
      <c r="B33" s="42"/>
      <c r="C33" s="42"/>
      <c r="D33" s="42"/>
      <c r="E33" s="42"/>
      <c r="F33" s="42"/>
      <c r="G33" s="42"/>
    </row>
    <row r="34" spans="1:7" x14ac:dyDescent="0.25">
      <c r="A34" s="42"/>
      <c r="B34" s="42"/>
      <c r="C34" s="42"/>
      <c r="D34" s="42"/>
      <c r="E34" s="42"/>
      <c r="F34" s="42"/>
      <c r="G34" s="42"/>
    </row>
    <row r="35" spans="1:7" x14ac:dyDescent="0.25">
      <c r="A35" s="42"/>
      <c r="B35" s="42"/>
      <c r="C35" s="42"/>
      <c r="D35" s="42"/>
      <c r="E35" s="42"/>
      <c r="F35" s="42"/>
      <c r="G35" s="42"/>
    </row>
  </sheetData>
  <mergeCells count="17">
    <mergeCell ref="E2:G2"/>
    <mergeCell ref="E3:G3"/>
    <mergeCell ref="E4:G4"/>
    <mergeCell ref="B17:G17"/>
    <mergeCell ref="A7:G7"/>
    <mergeCell ref="A8:G8"/>
    <mergeCell ref="A11:A14"/>
    <mergeCell ref="B11:B14"/>
    <mergeCell ref="C11:C14"/>
    <mergeCell ref="D11:G11"/>
    <mergeCell ref="D12:D14"/>
    <mergeCell ref="E12:E14"/>
    <mergeCell ref="F12:F14"/>
    <mergeCell ref="G12:G14"/>
    <mergeCell ref="B27:C27"/>
    <mergeCell ref="B29:E29"/>
    <mergeCell ref="G27:H27"/>
  </mergeCells>
  <pageMargins left="1.1023622047244095" right="0.5118110236220472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V-Inna</dc:creator>
  <cp:lastModifiedBy>ПЕВ</cp:lastModifiedBy>
  <cp:lastPrinted>2021-08-27T07:42:29Z</cp:lastPrinted>
  <dcterms:created xsi:type="dcterms:W3CDTF">2019-11-08T11:55:19Z</dcterms:created>
  <dcterms:modified xsi:type="dcterms:W3CDTF">2021-08-30T13:38:34Z</dcterms:modified>
</cp:coreProperties>
</file>