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d\zagvid\Рішення 2021\26.08.2021\0013 додатки\"/>
    </mc:Choice>
  </mc:AlternateContent>
  <bookViews>
    <workbookView xWindow="0" yWindow="0" windowWidth="28800" windowHeight="12435"/>
  </bookViews>
  <sheets>
    <sheet name="d2" sheetId="1" r:id="rId1"/>
  </sheets>
  <definedNames>
    <definedName name="_xlnm.Print_Titles" localSheetId="0">'d2'!$12:$15</definedName>
    <definedName name="_xlnm.Print_Area" localSheetId="0">'d2'!$B$1:$N$191</definedName>
    <definedName name="С16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8" i="1" l="1"/>
  <c r="I44" i="1" l="1"/>
  <c r="N46" i="1"/>
  <c r="K46" i="1"/>
  <c r="G173" i="1"/>
  <c r="F173" i="1"/>
  <c r="E173" i="1"/>
  <c r="N180" i="1"/>
  <c r="K180" i="1"/>
  <c r="H180" i="1"/>
  <c r="E21" i="1"/>
  <c r="E44" i="1" l="1"/>
  <c r="E171" i="1" l="1"/>
  <c r="N146" i="1"/>
  <c r="G144" i="1"/>
  <c r="F144" i="1"/>
  <c r="E144" i="1"/>
  <c r="H150" i="1"/>
  <c r="H143" i="1"/>
  <c r="K137" i="1"/>
  <c r="N137" i="1"/>
  <c r="N134" i="1"/>
  <c r="K134" i="1"/>
  <c r="J132" i="1"/>
  <c r="I132" i="1"/>
  <c r="H122" i="1" l="1"/>
  <c r="K88" i="1" l="1"/>
  <c r="I87" i="1"/>
  <c r="J87" i="1"/>
  <c r="K87" i="1" s="1"/>
  <c r="K80" i="1"/>
  <c r="K79" i="1"/>
  <c r="E55" i="1"/>
  <c r="G55" i="1"/>
  <c r="N48" i="1"/>
  <c r="K48" i="1"/>
  <c r="H48" i="1"/>
  <c r="K41" i="1"/>
  <c r="E37" i="1"/>
  <c r="G37" i="1"/>
  <c r="I37" i="1"/>
  <c r="J37" i="1"/>
  <c r="N31" i="1"/>
  <c r="K31" i="1"/>
  <c r="E23" i="1"/>
  <c r="E16" i="1"/>
  <c r="K20" i="1"/>
  <c r="G19" i="1"/>
  <c r="J18" i="1"/>
  <c r="I18" i="1"/>
  <c r="K75" i="1" l="1"/>
  <c r="I184" i="1" l="1"/>
  <c r="K186" i="1"/>
  <c r="K185" i="1"/>
  <c r="K167" i="1" l="1"/>
  <c r="K166" i="1"/>
  <c r="K165" i="1"/>
  <c r="K164" i="1"/>
  <c r="K155" i="1"/>
  <c r="K152" i="1"/>
  <c r="K151" i="1"/>
  <c r="K150" i="1"/>
  <c r="K145" i="1"/>
  <c r="K143" i="1"/>
  <c r="J142" i="1"/>
  <c r="I142" i="1"/>
  <c r="G142" i="1"/>
  <c r="F142" i="1"/>
  <c r="E142" i="1"/>
  <c r="H142" i="1" l="1"/>
  <c r="K142" i="1"/>
  <c r="N142" i="1"/>
  <c r="K138" i="1"/>
  <c r="K136" i="1"/>
  <c r="K135" i="1"/>
  <c r="K133" i="1"/>
  <c r="K131" i="1"/>
  <c r="K129" i="1"/>
  <c r="K125" i="1"/>
  <c r="K123" i="1"/>
  <c r="K120" i="1"/>
  <c r="K117" i="1"/>
  <c r="K108" i="1"/>
  <c r="K107" i="1"/>
  <c r="K98" i="1"/>
  <c r="K96" i="1"/>
  <c r="K95" i="1"/>
  <c r="K94" i="1"/>
  <c r="K91" i="1"/>
  <c r="K90" i="1"/>
  <c r="K74" i="1"/>
  <c r="K64" i="1"/>
  <c r="K60" i="1"/>
  <c r="K47" i="1"/>
  <c r="K45" i="1"/>
  <c r="K38" i="1"/>
  <c r="K35" i="1"/>
  <c r="K33" i="1"/>
  <c r="K32" i="1"/>
  <c r="K25" i="1"/>
  <c r="K24" i="1"/>
  <c r="K22" i="1"/>
  <c r="K18" i="1"/>
  <c r="K17" i="1"/>
  <c r="N186" i="1" l="1"/>
  <c r="N185" i="1"/>
  <c r="J184" i="1"/>
  <c r="J183" i="1" s="1"/>
  <c r="J182" i="1" s="1"/>
  <c r="G184" i="1"/>
  <c r="G183" i="1" s="1"/>
  <c r="G182" i="1" s="1"/>
  <c r="F184" i="1"/>
  <c r="F183" i="1" s="1"/>
  <c r="F182" i="1" s="1"/>
  <c r="E184" i="1"/>
  <c r="E183" i="1" s="1"/>
  <c r="E182" i="1" s="1"/>
  <c r="N182" i="1" l="1"/>
  <c r="I183" i="1"/>
  <c r="N183" i="1"/>
  <c r="N184" i="1"/>
  <c r="I182" i="1" l="1"/>
  <c r="M187" i="1"/>
  <c r="L187" i="1"/>
  <c r="M181" i="1"/>
  <c r="L181" i="1"/>
  <c r="N178" i="1"/>
  <c r="N177" i="1"/>
  <c r="N175" i="1"/>
  <c r="N179" i="1"/>
  <c r="H178" i="1"/>
  <c r="H177" i="1"/>
  <c r="H175" i="1"/>
  <c r="J174" i="1"/>
  <c r="I174" i="1"/>
  <c r="G174" i="1"/>
  <c r="F174" i="1"/>
  <c r="E174" i="1"/>
  <c r="J176" i="1"/>
  <c r="J173" i="1" s="1"/>
  <c r="I176" i="1"/>
  <c r="I173" i="1" s="1"/>
  <c r="K173" i="1" s="1"/>
  <c r="G176" i="1"/>
  <c r="F176" i="1"/>
  <c r="E176" i="1"/>
  <c r="N172" i="1"/>
  <c r="N170" i="1"/>
  <c r="N169" i="1"/>
  <c r="N161" i="1"/>
  <c r="N160" i="1"/>
  <c r="H170" i="1"/>
  <c r="J171" i="1"/>
  <c r="I171" i="1"/>
  <c r="G171" i="1"/>
  <c r="F171" i="1"/>
  <c r="H169" i="1"/>
  <c r="E168" i="1"/>
  <c r="N174" i="1" l="1"/>
  <c r="N176" i="1"/>
  <c r="H176" i="1"/>
  <c r="H174" i="1"/>
  <c r="N171" i="1"/>
  <c r="J168" i="1"/>
  <c r="I168" i="1"/>
  <c r="G168" i="1"/>
  <c r="F168" i="1"/>
  <c r="N167" i="1"/>
  <c r="N165" i="1"/>
  <c r="I163" i="1"/>
  <c r="G163" i="1"/>
  <c r="F163" i="1"/>
  <c r="F162" i="1" s="1"/>
  <c r="E163" i="1"/>
  <c r="E162" i="1" s="1"/>
  <c r="H161" i="1"/>
  <c r="J159" i="1"/>
  <c r="I159" i="1"/>
  <c r="G159" i="1"/>
  <c r="F159" i="1"/>
  <c r="E159" i="1"/>
  <c r="N157" i="1"/>
  <c r="N155" i="1"/>
  <c r="N153" i="1"/>
  <c r="N152" i="1"/>
  <c r="N151" i="1"/>
  <c r="N150" i="1"/>
  <c r="N149" i="1"/>
  <c r="N148" i="1"/>
  <c r="N145" i="1"/>
  <c r="N143" i="1"/>
  <c r="N141" i="1"/>
  <c r="N138" i="1"/>
  <c r="N136" i="1"/>
  <c r="N135" i="1"/>
  <c r="N133" i="1"/>
  <c r="N131" i="1"/>
  <c r="N129" i="1"/>
  <c r="J154" i="1"/>
  <c r="J147" i="1" s="1"/>
  <c r="G154" i="1"/>
  <c r="G147" i="1" s="1"/>
  <c r="F154" i="1"/>
  <c r="F147" i="1" s="1"/>
  <c r="E154" i="1"/>
  <c r="E147" i="1" s="1"/>
  <c r="H157" i="1"/>
  <c r="I157" i="1"/>
  <c r="H153" i="1"/>
  <c r="H149" i="1"/>
  <c r="H148" i="1"/>
  <c r="H145" i="1"/>
  <c r="J144" i="1"/>
  <c r="I144" i="1"/>
  <c r="N173" i="1" l="1"/>
  <c r="O173" i="1" s="1"/>
  <c r="I154" i="1"/>
  <c r="I147" i="1" s="1"/>
  <c r="K147" i="1" s="1"/>
  <c r="K157" i="1"/>
  <c r="E158" i="1"/>
  <c r="H144" i="1"/>
  <c r="I162" i="1"/>
  <c r="I158" i="1" s="1"/>
  <c r="K144" i="1"/>
  <c r="N147" i="1"/>
  <c r="F158" i="1"/>
  <c r="N166" i="1"/>
  <c r="H173" i="1"/>
  <c r="N144" i="1"/>
  <c r="H154" i="1"/>
  <c r="G162" i="1"/>
  <c r="N154" i="1"/>
  <c r="J163" i="1"/>
  <c r="J162" i="1" s="1"/>
  <c r="J158" i="1" s="1"/>
  <c r="N164" i="1"/>
  <c r="N159" i="1"/>
  <c r="N168" i="1"/>
  <c r="H168" i="1"/>
  <c r="G158" i="1"/>
  <c r="H159" i="1"/>
  <c r="H147" i="1"/>
  <c r="H141" i="1"/>
  <c r="J139" i="1"/>
  <c r="I139" i="1"/>
  <c r="G140" i="1"/>
  <c r="G139" i="1" s="1"/>
  <c r="F140" i="1"/>
  <c r="F139" i="1" s="1"/>
  <c r="E140" i="1"/>
  <c r="E139" i="1" s="1"/>
  <c r="E127" i="1" s="1"/>
  <c r="J128" i="1"/>
  <c r="I128" i="1"/>
  <c r="N126" i="1"/>
  <c r="N125" i="1"/>
  <c r="N123" i="1"/>
  <c r="N122" i="1"/>
  <c r="N121" i="1"/>
  <c r="N120" i="1"/>
  <c r="N119" i="1"/>
  <c r="N118" i="1"/>
  <c r="N117" i="1"/>
  <c r="J124" i="1"/>
  <c r="I124" i="1"/>
  <c r="G124" i="1"/>
  <c r="F124" i="1"/>
  <c r="E124" i="1"/>
  <c r="H123" i="1"/>
  <c r="H121" i="1"/>
  <c r="H119" i="1"/>
  <c r="H118" i="1"/>
  <c r="H117" i="1"/>
  <c r="N114" i="1"/>
  <c r="N113" i="1"/>
  <c r="N112" i="1"/>
  <c r="N110" i="1"/>
  <c r="N108" i="1"/>
  <c r="N105" i="1"/>
  <c r="N103" i="1"/>
  <c r="N102" i="1"/>
  <c r="H114" i="1"/>
  <c r="H113" i="1"/>
  <c r="H112" i="1"/>
  <c r="J109" i="1"/>
  <c r="G109" i="1"/>
  <c r="F109" i="1"/>
  <c r="E109" i="1"/>
  <c r="H108" i="1"/>
  <c r="H107" i="1"/>
  <c r="H105" i="1"/>
  <c r="H103" i="1"/>
  <c r="H102" i="1"/>
  <c r="N99" i="1"/>
  <c r="N93" i="1"/>
  <c r="H99" i="1"/>
  <c r="H98" i="1"/>
  <c r="H96" i="1"/>
  <c r="H95" i="1"/>
  <c r="H94" i="1"/>
  <c r="H93" i="1"/>
  <c r="H33" i="1"/>
  <c r="N33" i="1"/>
  <c r="E33" i="1"/>
  <c r="N91" i="1"/>
  <c r="N88" i="1"/>
  <c r="N86" i="1"/>
  <c r="N84" i="1"/>
  <c r="N83" i="1"/>
  <c r="N81" i="1"/>
  <c r="N80" i="1"/>
  <c r="N77" i="1"/>
  <c r="N75" i="1"/>
  <c r="N72" i="1"/>
  <c r="N70" i="1"/>
  <c r="N69" i="1"/>
  <c r="N68" i="1"/>
  <c r="N67" i="1"/>
  <c r="N66" i="1"/>
  <c r="N65" i="1"/>
  <c r="N64" i="1"/>
  <c r="H91" i="1"/>
  <c r="H90" i="1"/>
  <c r="H88" i="1"/>
  <c r="H86" i="1"/>
  <c r="H84" i="1"/>
  <c r="H83" i="1"/>
  <c r="H81" i="1"/>
  <c r="H80" i="1"/>
  <c r="H79" i="1"/>
  <c r="H77" i="1"/>
  <c r="N79" i="1"/>
  <c r="I78" i="1"/>
  <c r="F78" i="1"/>
  <c r="G76" i="1"/>
  <c r="E76" i="1"/>
  <c r="F76" i="1"/>
  <c r="H75" i="1"/>
  <c r="H74" i="1"/>
  <c r="H72" i="1"/>
  <c r="H69" i="1"/>
  <c r="H68" i="1"/>
  <c r="H66" i="1"/>
  <c r="H65" i="1"/>
  <c r="H64" i="1"/>
  <c r="K154" i="1" l="1"/>
  <c r="K139" i="1"/>
  <c r="K128" i="1"/>
  <c r="I109" i="1"/>
  <c r="K109" i="1" s="1"/>
  <c r="K110" i="1"/>
  <c r="K163" i="1"/>
  <c r="K162" i="1"/>
  <c r="K158" i="1"/>
  <c r="J130" i="1"/>
  <c r="J127" i="1" s="1"/>
  <c r="K132" i="1"/>
  <c r="K124" i="1"/>
  <c r="H158" i="1"/>
  <c r="N162" i="1"/>
  <c r="N124" i="1"/>
  <c r="N163" i="1"/>
  <c r="I130" i="1"/>
  <c r="N158" i="1"/>
  <c r="O158" i="1" s="1"/>
  <c r="N132" i="1"/>
  <c r="N128" i="1"/>
  <c r="N140" i="1"/>
  <c r="F127" i="1"/>
  <c r="H140" i="1"/>
  <c r="N139" i="1"/>
  <c r="N109" i="1"/>
  <c r="N76" i="1"/>
  <c r="J78" i="1"/>
  <c r="K78" i="1" s="1"/>
  <c r="H76" i="1"/>
  <c r="G78" i="1"/>
  <c r="E78" i="1"/>
  <c r="N61" i="1"/>
  <c r="N60" i="1"/>
  <c r="N58" i="1"/>
  <c r="N56" i="1"/>
  <c r="N54" i="1"/>
  <c r="H61" i="1"/>
  <c r="H60" i="1"/>
  <c r="K130" i="1" l="1"/>
  <c r="N130" i="1"/>
  <c r="I127" i="1"/>
  <c r="K127" i="1" s="1"/>
  <c r="H139" i="1"/>
  <c r="G127" i="1"/>
  <c r="N127" i="1" s="1"/>
  <c r="O127" i="1" s="1"/>
  <c r="H78" i="1"/>
  <c r="N78" i="1"/>
  <c r="H58" i="1"/>
  <c r="H56" i="1"/>
  <c r="H54" i="1"/>
  <c r="N53" i="1"/>
  <c r="N52" i="1"/>
  <c r="N51" i="1"/>
  <c r="N50" i="1"/>
  <c r="N47" i="1"/>
  <c r="N45" i="1"/>
  <c r="N43" i="1"/>
  <c r="N42" i="1"/>
  <c r="N41" i="1"/>
  <c r="N39" i="1"/>
  <c r="N36" i="1"/>
  <c r="H53" i="1"/>
  <c r="H52" i="1"/>
  <c r="H51" i="1"/>
  <c r="H50" i="1"/>
  <c r="H47" i="1"/>
  <c r="H42" i="1"/>
  <c r="H41" i="1"/>
  <c r="H39" i="1"/>
  <c r="H38" i="1"/>
  <c r="H36" i="1"/>
  <c r="H35" i="1"/>
  <c r="H32" i="1"/>
  <c r="N30" i="1"/>
  <c r="I28" i="1"/>
  <c r="N27" i="1"/>
  <c r="G23" i="1"/>
  <c r="H27" i="1"/>
  <c r="H25" i="1"/>
  <c r="H24" i="1"/>
  <c r="N20" i="1"/>
  <c r="N19" i="1"/>
  <c r="N18" i="1"/>
  <c r="N17" i="1"/>
  <c r="H22" i="1"/>
  <c r="H20" i="1"/>
  <c r="H19" i="1"/>
  <c r="H18" i="1"/>
  <c r="H17" i="1"/>
  <c r="I121" i="1"/>
  <c r="K121" i="1" s="1"/>
  <c r="E116" i="1"/>
  <c r="E115" i="1" s="1"/>
  <c r="J116" i="1"/>
  <c r="G116" i="1"/>
  <c r="G115" i="1" s="1"/>
  <c r="F116" i="1"/>
  <c r="F115" i="1" s="1"/>
  <c r="I114" i="1"/>
  <c r="K114" i="1" s="1"/>
  <c r="E114" i="1"/>
  <c r="J111" i="1"/>
  <c r="G111" i="1"/>
  <c r="F111" i="1"/>
  <c r="N107" i="1"/>
  <c r="G106" i="1"/>
  <c r="E106" i="1"/>
  <c r="F106" i="1"/>
  <c r="E105" i="1"/>
  <c r="E104" i="1" s="1"/>
  <c r="G104" i="1"/>
  <c r="F104" i="1"/>
  <c r="G101" i="1"/>
  <c r="F101" i="1"/>
  <c r="E99" i="1"/>
  <c r="G97" i="1"/>
  <c r="I97" i="1"/>
  <c r="F97" i="1"/>
  <c r="N96" i="1"/>
  <c r="N95" i="1"/>
  <c r="E95" i="1"/>
  <c r="N94" i="1"/>
  <c r="G89" i="1"/>
  <c r="F89" i="1"/>
  <c r="G87" i="1"/>
  <c r="F87" i="1"/>
  <c r="E87" i="1"/>
  <c r="E86" i="1"/>
  <c r="E85" i="1" s="1"/>
  <c r="G85" i="1"/>
  <c r="F85" i="1"/>
  <c r="G82" i="1"/>
  <c r="F82" i="1"/>
  <c r="E82" i="1"/>
  <c r="F73" i="1"/>
  <c r="N74" i="1"/>
  <c r="E73" i="1"/>
  <c r="E68" i="1"/>
  <c r="J63" i="1"/>
  <c r="I63" i="1"/>
  <c r="G63" i="1"/>
  <c r="F63" i="1"/>
  <c r="E61" i="1"/>
  <c r="G59" i="1"/>
  <c r="F59" i="1"/>
  <c r="E60" i="1"/>
  <c r="J59" i="1"/>
  <c r="I59" i="1"/>
  <c r="E57" i="1"/>
  <c r="G57" i="1"/>
  <c r="F57" i="1"/>
  <c r="F55" i="1"/>
  <c r="E47" i="1"/>
  <c r="E45" i="1"/>
  <c r="J44" i="1"/>
  <c r="G44" i="1"/>
  <c r="F44" i="1"/>
  <c r="G40" i="1"/>
  <c r="J40" i="1"/>
  <c r="I40" i="1"/>
  <c r="N38" i="1"/>
  <c r="F37" i="1"/>
  <c r="K37" i="1"/>
  <c r="N35" i="1"/>
  <c r="G34" i="1"/>
  <c r="F34" i="1"/>
  <c r="E34" i="1"/>
  <c r="N32" i="1"/>
  <c r="J28" i="1"/>
  <c r="G28" i="1"/>
  <c r="F28" i="1"/>
  <c r="E28" i="1"/>
  <c r="J26" i="1"/>
  <c r="I26" i="1"/>
  <c r="G26" i="1"/>
  <c r="F26" i="1"/>
  <c r="E26" i="1"/>
  <c r="N25" i="1"/>
  <c r="N24" i="1"/>
  <c r="G16" i="1"/>
  <c r="J16" i="1"/>
  <c r="G21" i="1" l="1"/>
  <c r="K63" i="1"/>
  <c r="K44" i="1"/>
  <c r="K59" i="1"/>
  <c r="H127" i="1"/>
  <c r="J115" i="1"/>
  <c r="N87" i="1"/>
  <c r="N101" i="1"/>
  <c r="N116" i="1"/>
  <c r="H116" i="1"/>
  <c r="N104" i="1"/>
  <c r="H104" i="1"/>
  <c r="F62" i="1"/>
  <c r="H97" i="1"/>
  <c r="H106" i="1"/>
  <c r="H101" i="1"/>
  <c r="G100" i="1"/>
  <c r="N111" i="1"/>
  <c r="F100" i="1"/>
  <c r="H111" i="1"/>
  <c r="J97" i="1"/>
  <c r="N97" i="1" s="1"/>
  <c r="N98" i="1"/>
  <c r="N22" i="1"/>
  <c r="N82" i="1"/>
  <c r="J89" i="1"/>
  <c r="N89" i="1" s="1"/>
  <c r="N90" i="1"/>
  <c r="N63" i="1"/>
  <c r="H85" i="1"/>
  <c r="N85" i="1"/>
  <c r="H89" i="1"/>
  <c r="H87" i="1"/>
  <c r="H82" i="1"/>
  <c r="N26" i="1"/>
  <c r="N40" i="1"/>
  <c r="N16" i="1"/>
  <c r="O16" i="1" s="1"/>
  <c r="N55" i="1"/>
  <c r="H63" i="1"/>
  <c r="H55" i="1"/>
  <c r="N44" i="1"/>
  <c r="H57" i="1"/>
  <c r="N57" i="1"/>
  <c r="N59" i="1"/>
  <c r="H34" i="1"/>
  <c r="H59" i="1"/>
  <c r="N28" i="1"/>
  <c r="H37" i="1"/>
  <c r="H26" i="1"/>
  <c r="I34" i="1"/>
  <c r="J49" i="1"/>
  <c r="F40" i="1"/>
  <c r="H40" i="1" s="1"/>
  <c r="I89" i="1"/>
  <c r="I23" i="1"/>
  <c r="I21" i="1" s="1"/>
  <c r="E59" i="1"/>
  <c r="E49" i="1" s="1"/>
  <c r="I106" i="1"/>
  <c r="F23" i="1"/>
  <c r="F21" i="1" s="1"/>
  <c r="E89" i="1"/>
  <c r="E40" i="1"/>
  <c r="I49" i="1"/>
  <c r="F92" i="1"/>
  <c r="N37" i="1"/>
  <c r="F49" i="1"/>
  <c r="E97" i="1"/>
  <c r="E92" i="1" s="1"/>
  <c r="F16" i="1"/>
  <c r="G92" i="1"/>
  <c r="I116" i="1"/>
  <c r="I115" i="1" s="1"/>
  <c r="G49" i="1"/>
  <c r="I111" i="1"/>
  <c r="K111" i="1" s="1"/>
  <c r="G73" i="1"/>
  <c r="G62" i="1" s="1"/>
  <c r="J23" i="1"/>
  <c r="J34" i="1"/>
  <c r="N34" i="1" s="1"/>
  <c r="E111" i="1"/>
  <c r="E63" i="1"/>
  <c r="E62" i="1" s="1"/>
  <c r="I73" i="1"/>
  <c r="I16" i="1"/>
  <c r="J73" i="1"/>
  <c r="I92" i="1"/>
  <c r="E101" i="1"/>
  <c r="J106" i="1"/>
  <c r="J100" i="1" s="1"/>
  <c r="N23" i="1" l="1"/>
  <c r="J21" i="1"/>
  <c r="K116" i="1"/>
  <c r="J62" i="1"/>
  <c r="N62" i="1" s="1"/>
  <c r="O62" i="1" s="1"/>
  <c r="K89" i="1"/>
  <c r="K23" i="1"/>
  <c r="G181" i="1"/>
  <c r="G187" i="1" s="1"/>
  <c r="K106" i="1"/>
  <c r="K97" i="1"/>
  <c r="I62" i="1"/>
  <c r="K73" i="1"/>
  <c r="K34" i="1"/>
  <c r="F181" i="1"/>
  <c r="F187" i="1" s="1"/>
  <c r="K16" i="1"/>
  <c r="N115" i="1"/>
  <c r="O115" i="1" s="1"/>
  <c r="J92" i="1"/>
  <c r="K92" i="1" s="1"/>
  <c r="K115" i="1"/>
  <c r="N100" i="1"/>
  <c r="O100" i="1" s="1"/>
  <c r="H115" i="1"/>
  <c r="I100" i="1"/>
  <c r="K100" i="1" s="1"/>
  <c r="N106" i="1"/>
  <c r="E100" i="1"/>
  <c r="H100" i="1"/>
  <c r="H92" i="1"/>
  <c r="K49" i="1"/>
  <c r="N73" i="1"/>
  <c r="N49" i="1"/>
  <c r="O49" i="1" s="1"/>
  <c r="H73" i="1"/>
  <c r="H62" i="1"/>
  <c r="H49" i="1"/>
  <c r="H23" i="1"/>
  <c r="H16" i="1"/>
  <c r="K62" i="1" l="1"/>
  <c r="H21" i="1"/>
  <c r="H187" i="1"/>
  <c r="I181" i="1"/>
  <c r="E211" i="1" s="1"/>
  <c r="N92" i="1"/>
  <c r="O92" i="1" s="1"/>
  <c r="J181" i="1"/>
  <c r="J187" i="1" s="1"/>
  <c r="N21" i="1"/>
  <c r="O21" i="1" s="1"/>
  <c r="H181" i="1"/>
  <c r="E181" i="1"/>
  <c r="K21" i="1"/>
  <c r="E187" i="1" l="1"/>
  <c r="E210" i="1"/>
  <c r="I187" i="1"/>
  <c r="K187" i="1" s="1"/>
  <c r="K181" i="1"/>
  <c r="N181" i="1"/>
  <c r="N187" i="1" s="1"/>
  <c r="O187" i="1" s="1"/>
  <c r="O181" i="1" l="1"/>
</calcChain>
</file>

<file path=xl/sharedStrings.xml><?xml version="1.0" encoding="utf-8"?>
<sst xmlns="http://schemas.openxmlformats.org/spreadsheetml/2006/main" count="606" uniqueCount="497">
  <si>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</si>
  <si>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</si>
  <si>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</si>
  <si>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</si>
  <si>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</si>
  <si>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Загальний фонд</t>
  </si>
  <si>
    <t>Спеціальний фонд</t>
  </si>
  <si>
    <t>1</t>
  </si>
  <si>
    <t>2</t>
  </si>
  <si>
    <t>3</t>
  </si>
  <si>
    <t>4</t>
  </si>
  <si>
    <t>5</t>
  </si>
  <si>
    <t>6</t>
  </si>
  <si>
    <t>11</t>
  </si>
  <si>
    <t>12</t>
  </si>
  <si>
    <t>13</t>
  </si>
  <si>
    <t>16</t>
  </si>
  <si>
    <t>0210100</t>
  </si>
  <si>
    <t>0100</t>
  </si>
  <si>
    <t>Державне управління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</si>
  <si>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</si>
  <si>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</si>
  <si>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</si>
  <si>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</si>
  <si>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</si>
  <si>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</si>
  <si>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</si>
  <si>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</si>
  <si>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</si>
  <si>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</si>
  <si>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</si>
  <si>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</si>
  <si>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</si>
  <si>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</si>
  <si>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</si>
  <si>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7000</t>
  </si>
  <si>
    <t>7500</t>
  </si>
  <si>
    <t>Зв'язок, телекомунікації та інформатика</t>
  </si>
  <si>
    <t>7520</t>
  </si>
  <si>
    <t>Реалізація Національної програми інформатизації</t>
  </si>
  <si>
    <t>7600</t>
  </si>
  <si>
    <t>Інші програми та заходи, пов'язані з економічною діяльністю</t>
  </si>
  <si>
    <t>7680</t>
  </si>
  <si>
    <t>0490</t>
  </si>
  <si>
    <t>Членські внески до асоціацій органів місцевого самоврядування</t>
  </si>
  <si>
    <t>7690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</si>
  <si>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</si>
  <si>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</si>
  <si>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</si>
  <si>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7693</t>
  </si>
  <si>
    <t>Інші заходи, пов'язані з економічною діяльністю</t>
  </si>
  <si>
    <t>8000</t>
  </si>
  <si>
    <t>Інша діяльність</t>
  </si>
  <si>
    <t>8400</t>
  </si>
  <si>
    <t>Засоби масової інформації</t>
  </si>
  <si>
    <t>8410</t>
  </si>
  <si>
    <t>0830</t>
  </si>
  <si>
    <t>Фінансова підтримка засобів масової інформації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</si>
  <si>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</si>
  <si>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</si>
  <si>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</si>
  <si>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</si>
  <si>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</si>
  <si>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</si>
  <si>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</si>
  <si>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</si>
  <si>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</si>
  <si>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</si>
  <si>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0611000</t>
  </si>
  <si>
    <t>1000</t>
  </si>
  <si>
    <t>Освіта</t>
  </si>
  <si>
    <t>0611010</t>
  </si>
  <si>
    <t>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</si>
  <si>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</si>
  <si>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</si>
  <si>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</si>
  <si>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</si>
  <si>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</si>
  <si>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</si>
  <si>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</si>
  <si>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</si>
  <si>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</si>
  <si>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</si>
  <si>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</si>
  <si>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</si>
  <si>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</si>
  <si>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</si>
  <si>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</si>
  <si>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</si>
  <si>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</si>
  <si>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</si>
  <si>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0611060</t>
  </si>
  <si>
    <t>1060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</si>
  <si>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</si>
  <si>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</si>
  <si>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>0611061</t>
  </si>
  <si>
    <t>1061</t>
  </si>
  <si>
    <t xml:space="preserve"> 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</si>
  <si>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</si>
  <si>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</si>
  <si>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</si>
  <si>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</si>
  <si>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</si>
  <si>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</si>
  <si>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</si>
  <si>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</si>
  <si>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</si>
  <si>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</si>
  <si>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</si>
  <si>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</si>
  <si>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</si>
  <si>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</si>
  <si>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0611140</t>
  </si>
  <si>
    <t>1140</t>
  </si>
  <si>
    <t>Інші програми, заклади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</si>
  <si>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</si>
  <si>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</si>
  <si>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</si>
  <si>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</si>
  <si>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</si>
  <si>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</si>
  <si>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</si>
  <si>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</si>
  <si>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</si>
  <si>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</si>
  <si>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</si>
  <si>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</si>
  <si>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</si>
  <si>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</si>
  <si>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</si>
  <si>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</si>
  <si>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</si>
  <si>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</si>
  <si>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</si>
  <si>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</si>
  <si>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</si>
  <si>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</si>
  <si>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</si>
  <si>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</si>
  <si>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</si>
  <si>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</si>
  <si>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</si>
  <si>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</si>
  <si>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</si>
  <si>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</si>
  <si>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3000</t>
  </si>
  <si>
    <t>Соціальний захист та соціальне забезпечення</t>
  </si>
  <si>
    <t>1040</t>
  </si>
  <si>
    <t>0712000</t>
  </si>
  <si>
    <t>2000</t>
  </si>
  <si>
    <t>Охорона здоров’я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</si>
  <si>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</si>
  <si>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</si>
  <si>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</si>
  <si>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</si>
  <si>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</si>
  <si>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</si>
  <si>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</si>
  <si>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</si>
  <si>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</si>
  <si>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</si>
  <si>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</si>
  <si>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</si>
  <si>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</si>
  <si>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</si>
  <si>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</si>
  <si>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</si>
  <si>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0712100</t>
  </si>
  <si>
    <t>2100</t>
  </si>
  <si>
    <t>0722</t>
  </si>
  <si>
    <t>Стоматологічна допомога населенню</t>
  </si>
  <si>
    <t>0712110</t>
  </si>
  <si>
    <t>2110</t>
  </si>
  <si>
    <t>Первинна медична допомога населенню</t>
  </si>
  <si>
    <t>0712111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</si>
  <si>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</si>
  <si>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</si>
  <si>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</si>
  <si>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</si>
  <si>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</si>
  <si>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здоров’я</t>
  </si>
  <si>
    <t>0712144</t>
  </si>
  <si>
    <t>2144</t>
  </si>
  <si>
    <t>0763</t>
  </si>
  <si>
    <t>Централізовані заходи з лікування хворих на цукровий та нецукровий діабет</t>
  </si>
  <si>
    <t>0712150</t>
  </si>
  <si>
    <t>2150</t>
  </si>
  <si>
    <t>Інші програми, заклади та заходи у сфері охорони здоров’я</t>
  </si>
  <si>
    <t>0712151</t>
  </si>
  <si>
    <t>2151</t>
  </si>
  <si>
    <t>Забезпечення діяльності інших закладів у сфері охорони здоров’я</t>
  </si>
  <si>
    <t>0712152</t>
  </si>
  <si>
    <t>2152</t>
  </si>
  <si>
    <t>Інші програми та заходи у сфері охорони здоров’я</t>
  </si>
  <si>
    <t>7670</t>
  </si>
  <si>
    <t>Внески до статутного капіталу суб’єктів господарювання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</si>
  <si>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</si>
  <si>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</si>
  <si>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</si>
  <si>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</si>
  <si>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</si>
  <si>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</si>
  <si>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</si>
  <si>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</si>
  <si>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</si>
  <si>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</si>
  <si>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</si>
  <si>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</si>
  <si>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</si>
  <si>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</si>
  <si>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</si>
  <si>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</si>
  <si>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0813036</t>
  </si>
  <si>
    <t>3036</t>
  </si>
  <si>
    <t>Компенсаційні виплати на пільговий проїзд електротранспортом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</si>
  <si>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</si>
  <si>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</si>
  <si>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</si>
  <si>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0813060</t>
  </si>
  <si>
    <t>3060</t>
  </si>
  <si>
    <t>Оздоровлення громадян,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</si>
  <si>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</si>
  <si>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</si>
  <si>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</si>
  <si>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</si>
  <si>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</si>
  <si>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</si>
  <si>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</si>
  <si>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</si>
  <si>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</si>
  <si>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</si>
  <si>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</si>
  <si>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</si>
  <si>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</si>
  <si>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</si>
  <si>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</si>
  <si>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</si>
  <si>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</si>
  <si>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</si>
  <si>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</si>
  <si>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</si>
  <si>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</si>
  <si>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</si>
  <si>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</si>
  <si>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</si>
  <si>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</si>
  <si>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3190</t>
  </si>
  <si>
    <t>Соціальний захист ветеранів війни та праці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</si>
  <si>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</si>
  <si>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</si>
  <si>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</si>
  <si>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0813200</t>
  </si>
  <si>
    <t>3200</t>
  </si>
  <si>
    <t>Забезпечення обробки інформації з нарахування та виплати допомог і компенсацій</t>
  </si>
  <si>
    <t>0813210</t>
  </si>
  <si>
    <t>3210</t>
  </si>
  <si>
    <t>1050</t>
  </si>
  <si>
    <t>Організація та проведення громадських робіт</t>
  </si>
  <si>
    <t>0813240</t>
  </si>
  <si>
    <t>3240</t>
  </si>
  <si>
    <t xml:space="preserve"> Інші заклади та заходи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</si>
  <si>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</si>
  <si>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</si>
  <si>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</si>
  <si>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</si>
  <si>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</si>
  <si>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</si>
  <si>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</si>
  <si>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</si>
  <si>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6080</t>
  </si>
  <si>
    <t>6082</t>
  </si>
  <si>
    <t>0610</t>
  </si>
  <si>
    <t>7300</t>
  </si>
  <si>
    <t>Будівництво та регіональний розвиток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</si>
  <si>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</si>
  <si>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</si>
  <si>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0443</t>
  </si>
  <si>
    <t>1080</t>
  </si>
  <si>
    <t>Надання спеціальної освіти мистецькими школами</t>
  </si>
  <si>
    <t>1014000</t>
  </si>
  <si>
    <t>4000</t>
  </si>
  <si>
    <t>Культура i мистецтво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</si>
  <si>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</si>
  <si>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</si>
  <si>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</si>
  <si>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</si>
  <si>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</si>
  <si>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</si>
  <si>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</si>
  <si>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</si>
  <si>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</si>
  <si>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</si>
  <si>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</si>
  <si>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</si>
  <si>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</si>
  <si>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</si>
  <si>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</si>
  <si>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</si>
  <si>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</si>
  <si>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</si>
  <si>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</si>
  <si>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</si>
  <si>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</si>
  <si>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</si>
  <si>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</si>
  <si>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</si>
  <si>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</si>
  <si>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</si>
  <si>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</si>
  <si>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</si>
  <si>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</si>
  <si>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3130</t>
  </si>
  <si>
    <t>Реалізація державної політики у молодіжній сфері</t>
  </si>
  <si>
    <t>3132</t>
  </si>
  <si>
    <t>Утримання клубів для підлітків за місцем проживання</t>
  </si>
  <si>
    <t>3133</t>
  </si>
  <si>
    <t>Інші заходи та заклади молодіжної політики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</si>
  <si>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</si>
  <si>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</si>
  <si>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</si>
  <si>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</si>
  <si>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</si>
  <si>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</si>
  <si>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</si>
  <si>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</si>
  <si>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</si>
  <si>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</si>
  <si>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</si>
  <si>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</si>
  <si>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</si>
  <si>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</si>
  <si>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</si>
  <si>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</si>
  <si>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</si>
  <si>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</si>
  <si>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</si>
  <si>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1115030</t>
  </si>
  <si>
    <t>5030</t>
  </si>
  <si>
    <t xml:space="preserve"> Розвиток дитячо-юнацького та резервного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</si>
  <si>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</si>
  <si>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</si>
  <si>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</si>
  <si>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</si>
  <si>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</si>
  <si>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</si>
  <si>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1115060</t>
  </si>
  <si>
    <t>5060</t>
  </si>
  <si>
    <t>Інші заходи з розвитку фізичної культури та спорту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</si>
  <si>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</si>
  <si>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</si>
  <si>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</si>
  <si>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</si>
  <si>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</si>
  <si>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</si>
  <si>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</si>
  <si>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</si>
  <si>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</si>
  <si>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</si>
  <si>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</si>
  <si>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</si>
  <si>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</si>
  <si>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</si>
  <si>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</si>
  <si>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1216011</t>
  </si>
  <si>
    <t>6011</t>
  </si>
  <si>
    <t>Експлуатація та технічне обслуговування житлового фонду</t>
  </si>
  <si>
    <t>1216015</t>
  </si>
  <si>
    <t>6015</t>
  </si>
  <si>
    <t>0620</t>
  </si>
  <si>
    <t>Забезпечення надійної та безперебійної експлуатації ліфтів</t>
  </si>
  <si>
    <t>1216017</t>
  </si>
  <si>
    <t>6017</t>
  </si>
  <si>
    <t>Інша діяльність, пов’язана з експлуатацією об’єктів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</si>
  <si>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</si>
  <si>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</si>
  <si>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</si>
  <si>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</si>
  <si>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</si>
  <si>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</si>
  <si>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1217000</t>
  </si>
  <si>
    <t>Економічна діяльність</t>
  </si>
  <si>
    <t>7640</t>
  </si>
  <si>
    <t>0470</t>
  </si>
  <si>
    <t>Заходи з енергозбереження</t>
  </si>
  <si>
    <t xml:space="preserve"> Інша економічна діяльність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</si>
  <si>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</si>
  <si>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</si>
  <si>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</si>
  <si>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</si>
  <si>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7310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</si>
  <si>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</si>
  <si>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t>7400</t>
  </si>
  <si>
    <t>Транспорт та транспортна інфраструктура, дорожнє господарство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</si>
  <si>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</si>
  <si>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</si>
  <si>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</si>
  <si>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</si>
  <si>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</si>
  <si>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</si>
  <si>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0320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</si>
  <si>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</si>
  <si>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</si>
  <si>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</si>
  <si>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5040</t>
  </si>
  <si>
    <t>Підтримка і розвиток спортивної інфраструктури</t>
  </si>
  <si>
    <t>5043</t>
  </si>
  <si>
    <t>Створення нових, будівельно-ремонтні роботи існуючих палаців спорту та завершення розпочатих у попередньому періоді робіт з будівництва/реконструкції палаців спорту</t>
  </si>
  <si>
    <t>7321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</si>
  <si>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</si>
  <si>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t>7324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</si>
  <si>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</si>
  <si>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t>7330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</si>
  <si>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</si>
  <si>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7370</t>
  </si>
  <si>
    <t>Реалізація інших заходів щодо соціально-економічного розвитку територій</t>
  </si>
  <si>
    <t>7420</t>
  </si>
  <si>
    <t>Забезпечення надання послуг з перевезення пасажирів електротранспортом</t>
  </si>
  <si>
    <t>7426</t>
  </si>
  <si>
    <t>0453</t>
  </si>
  <si>
    <t>Інші заходи у сфері електротранспорту</t>
  </si>
  <si>
    <t>7610</t>
  </si>
  <si>
    <t>0411</t>
  </si>
  <si>
    <t>Сприяння розвитку малого та середнього підприємництва</t>
  </si>
  <si>
    <t>7630</t>
  </si>
  <si>
    <t>Реалізація програм і заходів в галузі зовнішньоекономічної діяльності</t>
  </si>
  <si>
    <t>8300</t>
  </si>
  <si>
    <t>Охорона навколишнього природного середовища</t>
  </si>
  <si>
    <t>8310</t>
  </si>
  <si>
    <t xml:space="preserve"> Запобігання та ліквідація забруднення навколишнього природного середовища</t>
  </si>
  <si>
    <t>8311</t>
  </si>
  <si>
    <t>0511</t>
  </si>
  <si>
    <t>Охорона та раціональне використання природних ресурсів</t>
  </si>
  <si>
    <t>8312</t>
  </si>
  <si>
    <t>0512</t>
  </si>
  <si>
    <t>Утилізація відходів</t>
  </si>
  <si>
    <t>8320</t>
  </si>
  <si>
    <t>0520</t>
  </si>
  <si>
    <t>Збереження природно-заповідного фонду</t>
  </si>
  <si>
    <t>8330</t>
  </si>
  <si>
    <t>0540</t>
  </si>
  <si>
    <t>Інша діяльність у сфері екології та охорони природних ресурсів</t>
  </si>
  <si>
    <t>7100</t>
  </si>
  <si>
    <t>Сільське, лісове, рибне господарство та мисливство</t>
  </si>
  <si>
    <t>7130</t>
  </si>
  <si>
    <t>0421</t>
  </si>
  <si>
    <t>Здійснення заходів із землеустрою</t>
  </si>
  <si>
    <t>7650</t>
  </si>
  <si>
    <t>Проведення експертної грошової оцінки земельної ділянки чи права на неї</t>
  </si>
  <si>
    <t>Обслуговування місцевого боргу</t>
  </si>
  <si>
    <t>Резервний фонд</t>
  </si>
  <si>
    <t>Резервний фонд місцевого бюджету</t>
  </si>
  <si>
    <t>9100</t>
  </si>
  <si>
    <t>Дотації з місцевого бюджету іншим бюджетам</t>
  </si>
  <si>
    <t>Реверсна дотація</t>
  </si>
  <si>
    <t>Х</t>
  </si>
  <si>
    <t>УСЬОГО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</si>
  <si>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</si>
  <si>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</si>
  <si>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>Додаток 2</t>
  </si>
  <si>
    <t xml:space="preserve">до рішення  №    від        .2021 року </t>
  </si>
  <si>
    <t>Звіт про виконання видатків загального та спеціального фондів бюджету Хмельницької міської територіальної громади</t>
  </si>
  <si>
    <t>Найменування бюджетної програми згідно з Типовою програмною класифікацією видатків та кредитування місцевого бюджету</t>
  </si>
  <si>
    <t>Затверджено на 2021 рік з урахуванням змін</t>
  </si>
  <si>
    <t>% виконання</t>
  </si>
  <si>
    <t>Відсоток вручну</t>
  </si>
  <si>
    <t xml:space="preserve"> Реалізація державних та місцевих житлових програм</t>
  </si>
  <si>
    <t xml:space="preserve"> Придбання житла для окремих категорій населення відповідно до законодавства</t>
  </si>
  <si>
    <t>Всього</t>
  </si>
  <si>
    <t>8821</t>
  </si>
  <si>
    <t>8822</t>
  </si>
  <si>
    <t>8800</t>
  </si>
  <si>
    <t>8820</t>
  </si>
  <si>
    <t xml:space="preserve"> Інша діяльність</t>
  </si>
  <si>
    <t>Кредитування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</si>
  <si>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</si>
  <si>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</si>
  <si>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</si>
  <si>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Керуючий справами виконавчого комітету</t>
  </si>
  <si>
    <t>Ю. САБІЙ</t>
  </si>
  <si>
    <t>7460</t>
  </si>
  <si>
    <t>Утримання та розвиток автомобільних доріг та дорожньої інфраструктури</t>
  </si>
  <si>
    <t>за І півріччя 2021 року</t>
  </si>
  <si>
    <t>Затверджено на І півріччя 2021 року з урахуванням змін</t>
  </si>
  <si>
    <t>Виконано за І півріччя 2021 року</t>
  </si>
  <si>
    <t>Виконано за І півріччя 2021 року разом по загальному та спеціальному фондах</t>
  </si>
  <si>
    <t>7323</t>
  </si>
  <si>
    <t>Будівництво установ та закладів соціальної сфери</t>
  </si>
  <si>
    <t>7350</t>
  </si>
  <si>
    <t>Розроблення схем планування та забудови територій(містобудівної документації)</t>
  </si>
  <si>
    <t>7540</t>
  </si>
  <si>
    <t>Реалізація заходів, спрямованих на підвищення  доступності широкосмугового доступу до Інтернету в сільській місцевості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</si>
  <si>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</si>
  <si>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</si>
  <si>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місцевого бюджету  державному бюджету на виконання програм соціально-економічного розвитку регіонів</t>
  </si>
  <si>
    <t xml:space="preserve">Заступник начальника фінансового управління </t>
  </si>
  <si>
    <t xml:space="preserve">П. МОТ </t>
  </si>
  <si>
    <t>додаток 2 до рішення № 806 від 26.08.2021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</si>
</sst>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rgb="FFFF0000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sz val="36"/>
      <color indexed="8"/>
      <name val="Times New Roman"/>
      <family val="1"/>
      <charset val="204"/>
    </font>
    <font>
      <sz val="36"/>
      <name val="Arial Cyr"/>
      <charset val="204"/>
    </font>
    <font>
      <b/>
      <sz val="10"/>
      <name val="Arial Cyr"/>
      <charset val="204"/>
    </font>
    <font>
      <sz val="36"/>
      <color rgb="FFFF0000"/>
      <name val="Times New Roman"/>
      <family val="1"/>
      <charset val="204"/>
    </font>
    <font>
      <sz val="10"/>
      <name val="MS Sans Serif"/>
      <family val="2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b/>
      <i/>
      <sz val="10"/>
      <name val="Arial Cyr"/>
      <charset val="204"/>
    </font>
    <font>
      <sz val="37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7"/>
      <name val="Times New Roman"/>
      <family val="1"/>
      <charset val="204"/>
    </font>
    <font>
      <i/>
      <sz val="10"/>
      <name val="Arial Cyr"/>
      <charset val="204"/>
    </font>
    <font>
      <b/>
      <i/>
      <sz val="36"/>
      <color theme="1"/>
      <name val="Times New Roman"/>
      <family val="1"/>
      <charset val="204"/>
    </font>
    <font>
      <i/>
      <sz val="36"/>
      <color theme="1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i/>
      <sz val="36"/>
      <name val="Times New Roman"/>
      <family val="1"/>
      <charset val="204"/>
    </font>
    <font>
      <sz val="28"/>
      <name val="Arial Cyr"/>
      <charset val="204"/>
    </font>
    <font>
      <b/>
      <sz val="36"/>
      <color rgb="FFFF0000"/>
      <name val="Arial Cyr"/>
      <charset val="204"/>
    </font>
    <font>
      <b/>
      <sz val="37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b/>
      <vertAlign val="superscript"/>
      <sz val="36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48"/>
      <name val="Times New Roman"/>
      <family val="1"/>
      <charset val="204"/>
    </font>
    <font>
      <b/>
      <sz val="37"/>
      <color rgb="FF00B050"/>
      <name val="Times New Roman"/>
      <family val="1"/>
      <charset val="204"/>
    </font>
    <font>
      <i/>
      <sz val="37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rgb="FFFFFFCC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</fills>
  <borders count="5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</borders>
  <cellStyleXfs count="5">
    <xf numFmtId="0" fontId="0" fillId="0" borderId="0"/>
    <xf numFmtId="0" fontId="12" fillId="0" borderId="0" applyNumberFormat="0" applyFont="0" applyFill="0" applyBorder="0" applyAlignment="0" applyProtection="0">
      <alignment vertical="top"/>
    </xf>
    <xf numFmtId="0" fontId="40" fillId="0" borderId="0" applyNumberFormat="0" applyFont="0" applyFill="0" applyBorder="0" applyAlignment="0" applyProtection="0">
      <alignment vertical="top"/>
    </xf>
    <xf numFmtId="0" fontId="41" fillId="0" borderId="0"/>
    <xf numFmtId="0" fontId="41" fillId="0" borderId="0"/>
  </cellStyleXfs>
  <cellXfs count="19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Alignment="1">
      <alignment horizontal="left" vertical="center"/>
    </xf>
    <xf numFmtId="4" fontId="13" fillId="0" borderId="0" xfId="0" applyNumberFormat="1" applyFont="1" applyAlignment="1">
      <alignment horizontal="left" vertical="center"/>
    </xf>
    <xf numFmtId="0" fontId="15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4" fontId="18" fillId="0" borderId="0" xfId="0" applyNumberFormat="1" applyFont="1" applyAlignment="1">
      <alignment horizontal="left" vertical="center"/>
    </xf>
    <xf numFmtId="49" fontId="19" fillId="0" borderId="1" xfId="0" applyNumberFormat="1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23" fillId="0" borderId="0" xfId="0" applyFont="1"/>
    <xf numFmtId="49" fontId="24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left" vertical="center"/>
    </xf>
    <xf numFmtId="0" fontId="27" fillId="0" borderId="0" xfId="0" applyFont="1"/>
    <xf numFmtId="4" fontId="28" fillId="0" borderId="0" xfId="0" applyNumberFormat="1" applyFont="1"/>
    <xf numFmtId="49" fontId="29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/>
    </xf>
    <xf numFmtId="4" fontId="30" fillId="0" borderId="0" xfId="0" applyNumberFormat="1" applyFont="1"/>
    <xf numFmtId="49" fontId="29" fillId="0" borderId="0" xfId="0" applyNumberFormat="1" applyFont="1" applyAlignment="1">
      <alignment horizontal="center" wrapText="1"/>
    </xf>
    <xf numFmtId="49" fontId="29" fillId="0" borderId="3" xfId="0" applyNumberFormat="1" applyFont="1" applyBorder="1" applyAlignment="1">
      <alignment horizontal="center" vertical="top" wrapText="1"/>
    </xf>
    <xf numFmtId="4" fontId="31" fillId="0" borderId="0" xfId="0" applyNumberFormat="1" applyFont="1" applyAlignment="1">
      <alignment horizontal="left" vertical="center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1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" fontId="33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left" vertical="center" wrapText="1"/>
    </xf>
    <xf numFmtId="4" fontId="16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2" fillId="0" borderId="0" xfId="0" applyNumberFormat="1" applyFont="1" applyAlignment="1">
      <alignment horizontal="left" vertical="center" wrapText="1"/>
    </xf>
    <xf numFmtId="4" fontId="34" fillId="0" borderId="0" xfId="0" applyNumberFormat="1" applyFont="1" applyAlignment="1">
      <alignment horizontal="left" vertical="center" wrapText="1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29" fillId="0" borderId="1" xfId="1" applyFont="1" applyFill="1" applyBorder="1" applyAlignment="1" applyProtection="1">
      <alignment horizontal="center" vertical="center" wrapText="1"/>
      <protection locked="0"/>
    </xf>
    <xf numFmtId="4" fontId="26" fillId="0" borderId="0" xfId="0" applyNumberFormat="1" applyFont="1" applyAlignment="1">
      <alignment horizontal="left" vertical="center" wrapText="1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3" fillId="0" borderId="3" xfId="1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/>
    <xf numFmtId="4" fontId="14" fillId="3" borderId="0" xfId="0" applyNumberFormat="1" applyFont="1" applyFill="1" applyAlignment="1">
      <alignment horizontal="left" vertical="center" wrapText="1"/>
    </xf>
    <xf numFmtId="0" fontId="0" fillId="3" borderId="0" xfId="0" applyFill="1"/>
    <xf numFmtId="4" fontId="22" fillId="0" borderId="0" xfId="0" applyNumberFormat="1" applyFont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top" wrapText="1"/>
      <protection locked="0"/>
    </xf>
    <xf numFmtId="0" fontId="0" fillId="4" borderId="0" xfId="0" applyFill="1"/>
    <xf numFmtId="0" fontId="5" fillId="4" borderId="0" xfId="0" applyFont="1" applyFill="1"/>
    <xf numFmtId="0" fontId="1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4" fontId="14" fillId="5" borderId="1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" fillId="0" borderId="0" xfId="3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28" fillId="0" borderId="0" xfId="0" applyFont="1"/>
    <xf numFmtId="0" fontId="4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2" fillId="4" borderId="0" xfId="0" applyNumberFormat="1" applyFont="1" applyFill="1" applyAlignment="1">
      <alignment horizontal="left" vertical="center" wrapText="1"/>
    </xf>
    <xf numFmtId="49" fontId="43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49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4" fontId="44" fillId="5" borderId="1" xfId="0" applyNumberFormat="1" applyFont="1" applyFill="1" applyBorder="1" applyAlignment="1">
      <alignment horizontal="center" vertical="center"/>
    </xf>
    <xf numFmtId="4" fontId="33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3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3" fillId="0" borderId="1" xfId="1" applyNumberFormat="1" applyFont="1" applyFill="1" applyBorder="1" applyAlignment="1">
      <alignment horizontal="center" vertical="center" wrapText="1"/>
    </xf>
    <xf numFmtId="4" fontId="32" fillId="3" borderId="1" xfId="1" applyNumberFormat="1" applyFont="1" applyFill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center"/>
    </xf>
    <xf numFmtId="4" fontId="33" fillId="0" borderId="1" xfId="0" applyNumberFormat="1" applyFont="1" applyFill="1" applyBorder="1" applyAlignment="1">
      <alignment horizontal="center" vertical="center" wrapText="1"/>
    </xf>
    <xf numFmtId="4" fontId="32" fillId="0" borderId="1" xfId="1" applyNumberFormat="1" applyFont="1" applyFill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164" fontId="4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5" fillId="3" borderId="1" xfId="0" applyNumberFormat="1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/>
    </xf>
    <xf numFmtId="4" fontId="33" fillId="3" borderId="1" xfId="1" applyNumberFormat="1" applyFont="1" applyFill="1" applyBorder="1" applyAlignment="1">
      <alignment horizontal="center" vertical="center" wrapText="1"/>
    </xf>
    <xf numFmtId="4" fontId="4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5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3" fillId="4" borderId="1" xfId="0" applyNumberFormat="1" applyFont="1" applyFill="1" applyBorder="1" applyAlignment="1">
      <alignment horizontal="center" vertical="center" wrapText="1"/>
    </xf>
    <xf numFmtId="4" fontId="33" fillId="4" borderId="1" xfId="0" applyNumberFormat="1" applyFont="1" applyFill="1" applyBorder="1" applyAlignment="1">
      <alignment horizontal="center" vertical="center"/>
    </xf>
    <xf numFmtId="4" fontId="32" fillId="0" borderId="1" xfId="0" applyNumberFormat="1" applyFont="1" applyFill="1" applyBorder="1" applyAlignment="1">
      <alignment horizontal="center" vertical="center" wrapText="1"/>
    </xf>
    <xf numFmtId="4" fontId="3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4" fillId="0" borderId="1" xfId="0" applyNumberFormat="1" applyFont="1" applyFill="1" applyBorder="1" applyAlignment="1">
      <alignment horizontal="center" vertical="center" wrapText="1"/>
    </xf>
    <xf numFmtId="164" fontId="3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4" fillId="3" borderId="1" xfId="0" applyNumberFormat="1" applyFont="1" applyFill="1" applyBorder="1" applyAlignment="1">
      <alignment horizontal="center" vertical="center" wrapText="1"/>
    </xf>
    <xf numFmtId="4" fontId="3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2" fillId="4" borderId="1" xfId="1" applyNumberFormat="1" applyFont="1" applyFill="1" applyBorder="1" applyAlignment="1" applyProtection="1">
      <alignment horizontal="center" vertical="center" wrapText="1"/>
      <protection locked="0"/>
    </xf>
    <xf numFmtId="4" fontId="3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4" fillId="4" borderId="1" xfId="0" applyNumberFormat="1" applyFont="1" applyFill="1" applyBorder="1" applyAlignment="1">
      <alignment horizontal="center" vertical="center" wrapText="1"/>
    </xf>
    <xf numFmtId="4" fontId="34" fillId="3" borderId="1" xfId="0" applyNumberFormat="1" applyFont="1" applyFill="1" applyBorder="1" applyAlignment="1">
      <alignment horizontal="center" vertical="center"/>
    </xf>
    <xf numFmtId="4" fontId="32" fillId="5" borderId="1" xfId="0" applyNumberFormat="1" applyFont="1" applyFill="1" applyBorder="1" applyAlignment="1">
      <alignment horizontal="center" vertical="center"/>
    </xf>
    <xf numFmtId="4" fontId="32" fillId="0" borderId="1" xfId="0" applyNumberFormat="1" applyFont="1" applyFill="1" applyBorder="1" applyAlignment="1">
      <alignment horizontal="center" vertical="center"/>
    </xf>
    <xf numFmtId="164" fontId="32" fillId="0" borderId="1" xfId="0" applyNumberFormat="1" applyFont="1" applyFill="1" applyBorder="1" applyAlignment="1">
      <alignment horizontal="center" vertical="center"/>
    </xf>
    <xf numFmtId="4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6" fillId="0" borderId="1" xfId="1" applyNumberFormat="1" applyFont="1" applyFill="1" applyBorder="1" applyAlignment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6" fillId="0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Fill="1" applyBorder="1" applyAlignment="1">
      <alignment horizontal="center" vertical="center" wrapText="1"/>
    </xf>
    <xf numFmtId="164" fontId="26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3" borderId="1" xfId="0" applyNumberFormat="1" applyFon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4" fontId="2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9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6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164" fontId="2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2" fillId="3" borderId="1" xfId="0" applyNumberFormat="1" applyFont="1" applyFill="1" applyBorder="1" applyAlignment="1">
      <alignment horizontal="center" vertical="center" wrapText="1"/>
    </xf>
    <xf numFmtId="4" fontId="2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2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4" borderId="1" xfId="1" applyNumberFormat="1" applyFont="1" applyFill="1" applyBorder="1" applyAlignment="1" applyProtection="1">
      <alignment horizontal="center" vertical="center" wrapText="1"/>
      <protection locked="0"/>
    </xf>
    <xf numFmtId="4" fontId="16" fillId="4" borderId="1" xfId="1" applyNumberFormat="1" applyFont="1" applyFill="1" applyBorder="1" applyAlignment="1" applyProtection="1">
      <alignment horizontal="center" vertical="center" wrapText="1"/>
      <protection locked="0"/>
    </xf>
    <xf numFmtId="4" fontId="16" fillId="4" borderId="1" xfId="0" applyNumberFormat="1" applyFont="1" applyFill="1" applyBorder="1" applyAlignment="1">
      <alignment horizontal="center" vertical="center"/>
    </xf>
    <xf numFmtId="4" fontId="26" fillId="4" borderId="1" xfId="1" applyNumberFormat="1" applyFont="1" applyFill="1" applyBorder="1" applyAlignment="1" applyProtection="1">
      <alignment horizontal="center" vertical="center" wrapText="1"/>
      <protection locked="0"/>
    </xf>
    <xf numFmtId="4" fontId="22" fillId="4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/>
    </xf>
    <xf numFmtId="49" fontId="4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4" fontId="16" fillId="4" borderId="2" xfId="0" applyNumberFormat="1" applyFont="1" applyFill="1" applyBorder="1" applyAlignment="1">
      <alignment horizontal="center" vertical="center"/>
    </xf>
    <xf numFmtId="4" fontId="16" fillId="4" borderId="3" xfId="0" applyNumberFormat="1" applyFont="1" applyFill="1" applyBorder="1" applyAlignment="1">
      <alignment horizontal="center" vertical="center"/>
    </xf>
    <xf numFmtId="4" fontId="45" fillId="3" borderId="2" xfId="0" applyNumberFormat="1" applyFont="1" applyFill="1" applyBorder="1" applyAlignment="1">
      <alignment horizontal="center" vertical="center" wrapText="1"/>
    </xf>
    <xf numFmtId="4" fontId="4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29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</cellXfs>
  <cellStyles count="5">
    <cellStyle name="Звичайний" xfId="0" builtinId="0"/>
    <cellStyle name="Обычный 3" xfId="4"/>
    <cellStyle name="Обычный_Plan_kapbud_2006 уточн." xfId="2"/>
    <cellStyle name="Обычный_Додаток 2 до бюджету 2000 року" xfId="1"/>
    <cellStyle name="Обычный_Додаток №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2"/>
  <sheetViews>
    <sheetView tabSelected="1" view="pageBreakPreview" topLeftCell="B4" zoomScale="20" zoomScaleNormal="20" zoomScaleSheetLayoutView="20" zoomScalePageLayoutView="10" workbookViewId="0">
      <pane xSplit="2" ySplit="12" topLeftCell="D192" activePane="bottomRight" state="frozen"/>
      <selection activeCell="B4" sqref="B4"/>
      <selection pane="topRight" activeCell="D4" sqref="D4"/>
      <selection pane="bottomLeft" activeCell="B16" sqref="B16"/>
      <selection pane="bottomRight" activeCell="M4" sqref="M4:N4"/>
    </sheetView>
  </sheetViews>
  <sheetFormatPr defaultColWidth="9.140625" defaultRowHeight="12.75" x14ac:dyDescent="0.2"/>
  <cols>
    <col min="1" max="1" width="48" style="1" hidden="1" customWidth="1"/>
    <col min="2" max="2" width="52.5703125" style="1" customWidth="1"/>
    <col min="3" max="3" width="65.7109375" style="1" hidden="1" customWidth="1"/>
    <col min="4" max="4" width="106.28515625" style="1" customWidth="1"/>
    <col min="5" max="5" width="62.5703125" style="1" customWidth="1"/>
    <col min="6" max="6" width="59.7109375" style="1" customWidth="1"/>
    <col min="7" max="7" width="63.28515625" style="1" customWidth="1"/>
    <col min="8" max="8" width="41.85546875" style="1" customWidth="1"/>
    <col min="9" max="9" width="52.5703125" style="70" customWidth="1"/>
    <col min="10" max="10" width="56.140625" style="1" customWidth="1"/>
    <col min="11" max="11" width="44.140625" style="1" customWidth="1"/>
    <col min="12" max="12" width="45.28515625" style="1" hidden="1" customWidth="1"/>
    <col min="13" max="13" width="56.140625" style="1" hidden="1" customWidth="1"/>
    <col min="14" max="14" width="86.28515625" style="70" customWidth="1"/>
    <col min="15" max="15" width="52.140625" style="5" customWidth="1"/>
    <col min="16" max="16" width="44.7109375" style="5" customWidth="1"/>
    <col min="17" max="17" width="25.85546875" bestFit="1" customWidth="1"/>
    <col min="18" max="18" width="43.5703125" bestFit="1" customWidth="1"/>
  </cols>
  <sheetData>
    <row r="2" spans="1:16" ht="45.75" x14ac:dyDescent="0.2">
      <c r="D2" s="2"/>
      <c r="E2" s="4"/>
      <c r="F2" s="3"/>
      <c r="G2" s="3"/>
      <c r="H2" s="3"/>
      <c r="I2" s="3"/>
      <c r="J2" s="4"/>
      <c r="K2" s="187" t="s">
        <v>458</v>
      </c>
      <c r="L2" s="191"/>
      <c r="M2" s="191"/>
      <c r="N2" s="191"/>
      <c r="O2" s="71"/>
    </row>
    <row r="3" spans="1:16" ht="45.75" x14ac:dyDescent="0.2">
      <c r="A3" s="2"/>
      <c r="B3" s="2"/>
      <c r="C3" s="2"/>
      <c r="D3" s="2"/>
      <c r="E3" s="4"/>
      <c r="F3" s="3"/>
      <c r="G3" s="3"/>
      <c r="H3" s="3"/>
      <c r="I3" s="3"/>
      <c r="J3" s="192" t="s">
        <v>459</v>
      </c>
      <c r="K3" s="193"/>
      <c r="L3" s="193"/>
      <c r="M3" s="193"/>
      <c r="N3" s="193"/>
      <c r="O3" s="72"/>
    </row>
    <row r="4" spans="1:16" ht="40.700000000000003" customHeight="1" x14ac:dyDescent="0.2">
      <c r="A4" s="2"/>
      <c r="B4" s="2"/>
      <c r="C4" s="2"/>
      <c r="D4" s="2"/>
      <c r="E4" s="4"/>
      <c r="F4" s="3"/>
      <c r="G4" s="3"/>
      <c r="H4" s="3"/>
      <c r="I4" s="3"/>
      <c r="J4" s="3"/>
      <c r="K4" s="3"/>
      <c r="L4" s="3"/>
      <c r="M4" s="187" t="s">
        <v>496</v>
      </c>
      <c r="N4" s="187"/>
    </row>
    <row r="5" spans="1:16" ht="45.75" hidden="1" x14ac:dyDescent="0.2">
      <c r="A5" s="2"/>
      <c r="B5" s="2"/>
      <c r="C5" s="2"/>
      <c r="D5" s="2"/>
      <c r="E5" s="4"/>
      <c r="F5" s="3"/>
      <c r="G5" s="3"/>
      <c r="H5" s="3"/>
      <c r="I5" s="3"/>
      <c r="J5" s="3"/>
      <c r="K5" s="3"/>
      <c r="L5" s="3"/>
      <c r="M5" s="2"/>
      <c r="N5" s="4"/>
    </row>
    <row r="6" spans="1:16" ht="45" x14ac:dyDescent="0.2">
      <c r="A6" s="188" t="s">
        <v>460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6" ht="45" x14ac:dyDescent="0.2">
      <c r="A7" s="188" t="s">
        <v>481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</row>
    <row r="8" spans="1:16" ht="4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33.75" customHeight="1" x14ac:dyDescent="0.65">
      <c r="A9" s="189">
        <v>22564000000</v>
      </c>
      <c r="B9" s="190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6" ht="45.75" hidden="1" x14ac:dyDescent="0.2">
      <c r="A10" s="184" t="s">
        <v>0</v>
      </c>
      <c r="B10" s="18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6" ht="53.45" customHeight="1" thickBot="1" x14ac:dyDescent="0.25">
      <c r="A11" s="3"/>
      <c r="B11" s="3"/>
      <c r="C11" s="3"/>
      <c r="D11" s="3"/>
      <c r="E11" s="4"/>
      <c r="F11" s="3"/>
      <c r="G11" s="3"/>
      <c r="H11" s="3"/>
      <c r="I11" s="3"/>
      <c r="J11" s="3"/>
      <c r="K11" s="3"/>
      <c r="L11" s="3"/>
      <c r="M11" s="3"/>
      <c r="N11" s="6" t="s">
        <v>1</v>
      </c>
    </row>
    <row r="12" spans="1:16" ht="62.45" customHeight="1" thickTop="1" thickBot="1" x14ac:dyDescent="0.25">
      <c r="A12" s="170" t="s">
        <v>2</v>
      </c>
      <c r="B12" s="170" t="s">
        <v>3</v>
      </c>
      <c r="C12" s="170" t="s">
        <v>4</v>
      </c>
      <c r="D12" s="170" t="s">
        <v>461</v>
      </c>
      <c r="E12" s="182" t="s">
        <v>5</v>
      </c>
      <c r="F12" s="182"/>
      <c r="G12" s="182"/>
      <c r="H12" s="182"/>
      <c r="I12" s="182" t="s">
        <v>6</v>
      </c>
      <c r="J12" s="182"/>
      <c r="K12" s="182"/>
      <c r="L12" s="182"/>
      <c r="M12" s="183"/>
      <c r="N12" s="170" t="s">
        <v>484</v>
      </c>
    </row>
    <row r="13" spans="1:16" ht="96" customHeight="1" thickTop="1" thickBot="1" x14ac:dyDescent="0.25">
      <c r="A13" s="182"/>
      <c r="B13" s="186"/>
      <c r="C13" s="186"/>
      <c r="D13" s="182"/>
      <c r="E13" s="170" t="s">
        <v>462</v>
      </c>
      <c r="F13" s="170" t="s">
        <v>482</v>
      </c>
      <c r="G13" s="170" t="s">
        <v>483</v>
      </c>
      <c r="H13" s="171" t="s">
        <v>463</v>
      </c>
      <c r="I13" s="170" t="s">
        <v>462</v>
      </c>
      <c r="J13" s="170" t="s">
        <v>483</v>
      </c>
      <c r="K13" s="171" t="s">
        <v>463</v>
      </c>
      <c r="L13" s="7"/>
      <c r="M13" s="171"/>
      <c r="N13" s="170"/>
    </row>
    <row r="14" spans="1:16" ht="208.5" customHeight="1" thickTop="1" thickBot="1" x14ac:dyDescent="0.25">
      <c r="A14" s="186"/>
      <c r="B14" s="186"/>
      <c r="C14" s="186"/>
      <c r="D14" s="186"/>
      <c r="E14" s="170"/>
      <c r="F14" s="170"/>
      <c r="G14" s="170"/>
      <c r="H14" s="172"/>
      <c r="I14" s="170"/>
      <c r="J14" s="170"/>
      <c r="K14" s="172"/>
      <c r="L14" s="7"/>
      <c r="M14" s="172"/>
      <c r="N14" s="170"/>
    </row>
    <row r="15" spans="1:16" s="11" customFormat="1" ht="47.25" thickTop="1" thickBot="1" x14ac:dyDescent="0.25">
      <c r="A15" s="8" t="s">
        <v>7</v>
      </c>
      <c r="B15" s="8" t="s">
        <v>7</v>
      </c>
      <c r="C15" s="8" t="s">
        <v>9</v>
      </c>
      <c r="D15" s="8" t="s">
        <v>8</v>
      </c>
      <c r="E15" s="8" t="s">
        <v>9</v>
      </c>
      <c r="F15" s="8" t="s">
        <v>10</v>
      </c>
      <c r="G15" s="8" t="s">
        <v>11</v>
      </c>
      <c r="H15" s="8" t="s">
        <v>12</v>
      </c>
      <c r="I15" s="8" t="s">
        <v>13</v>
      </c>
      <c r="J15" s="8" t="s">
        <v>14</v>
      </c>
      <c r="K15" s="8" t="s">
        <v>15</v>
      </c>
      <c r="L15" s="8"/>
      <c r="M15" s="8"/>
      <c r="N15" s="8" t="s">
        <v>16</v>
      </c>
      <c r="O15" s="9"/>
      <c r="P15" s="10"/>
    </row>
    <row r="16" spans="1:16" s="16" customFormat="1" ht="88.5" customHeight="1" thickTop="1" thickBot="1" x14ac:dyDescent="0.25">
      <c r="A16" s="8" t="s">
        <v>17</v>
      </c>
      <c r="B16" s="12" t="s">
        <v>18</v>
      </c>
      <c r="C16" s="12"/>
      <c r="D16" s="13" t="s">
        <v>19</v>
      </c>
      <c r="E16" s="121">
        <f>SUM(E17:E20)</f>
        <v>217241234</v>
      </c>
      <c r="F16" s="121">
        <f t="shared" ref="F16:J16" si="0">SUM(F17:F20)</f>
        <v>109568580</v>
      </c>
      <c r="G16" s="121">
        <f t="shared" si="0"/>
        <v>103613530.07000001</v>
      </c>
      <c r="H16" s="122">
        <f t="shared" ref="H16:H27" si="1">G16/F16</f>
        <v>0.94565002184020275</v>
      </c>
      <c r="I16" s="121">
        <f t="shared" si="0"/>
        <v>4745155.120000001</v>
      </c>
      <c r="J16" s="121">
        <f t="shared" si="0"/>
        <v>1795746.08</v>
      </c>
      <c r="K16" s="122">
        <f>J16/I16</f>
        <v>0.37843780331463633</v>
      </c>
      <c r="L16" s="121"/>
      <c r="M16" s="121"/>
      <c r="N16" s="123">
        <f t="shared" ref="N16:N27" si="2">G16+J16</f>
        <v>105409276.15000001</v>
      </c>
      <c r="O16" s="15" t="b">
        <f>N16=N17+N18+N19+N20</f>
        <v>1</v>
      </c>
      <c r="P16" s="15"/>
    </row>
    <row r="17" spans="1:18" ht="321.75" thickTop="1" thickBot="1" x14ac:dyDescent="0.25">
      <c r="A17" s="17" t="s">
        <v>20</v>
      </c>
      <c r="B17" s="17" t="s">
        <v>21</v>
      </c>
      <c r="C17" s="17" t="s">
        <v>22</v>
      </c>
      <c r="D17" s="17" t="s">
        <v>23</v>
      </c>
      <c r="E17" s="117">
        <v>102504000</v>
      </c>
      <c r="F17" s="117">
        <v>51671880</v>
      </c>
      <c r="G17" s="117">
        <v>50687138.560000002</v>
      </c>
      <c r="H17" s="119">
        <f t="shared" si="1"/>
        <v>0.9809424112302475</v>
      </c>
      <c r="I17" s="117">
        <v>2874406.47</v>
      </c>
      <c r="J17" s="118">
        <v>716493.7</v>
      </c>
      <c r="K17" s="119">
        <f t="shared" ref="K17:K20" si="3">J17/I17</f>
        <v>0.24926665990979344</v>
      </c>
      <c r="L17" s="90"/>
      <c r="M17" s="91"/>
      <c r="N17" s="120">
        <f t="shared" si="2"/>
        <v>51403632.260000005</v>
      </c>
      <c r="O17" s="18"/>
      <c r="P17" s="19"/>
    </row>
    <row r="18" spans="1:18" ht="230.25" thickTop="1" thickBot="1" x14ac:dyDescent="0.25">
      <c r="A18" s="17" t="s">
        <v>24</v>
      </c>
      <c r="B18" s="17" t="s">
        <v>25</v>
      </c>
      <c r="C18" s="17" t="s">
        <v>22</v>
      </c>
      <c r="D18" s="17" t="s">
        <v>26</v>
      </c>
      <c r="E18" s="117">
        <v>111217404</v>
      </c>
      <c r="F18" s="117">
        <v>56245140</v>
      </c>
      <c r="G18" s="117">
        <v>51902044.520000003</v>
      </c>
      <c r="H18" s="119">
        <f t="shared" si="1"/>
        <v>0.92278274211780797</v>
      </c>
      <c r="I18" s="117">
        <f>1161000+163248+144000+140000+36000+64000+100000</f>
        <v>1808248</v>
      </c>
      <c r="J18" s="118">
        <f>727128.38+34158+49506+139000+15200+62410</f>
        <v>1027402.38</v>
      </c>
      <c r="K18" s="119">
        <f t="shared" si="3"/>
        <v>0.5681755931708482</v>
      </c>
      <c r="L18" s="90"/>
      <c r="M18" s="91"/>
      <c r="N18" s="120">
        <f t="shared" si="2"/>
        <v>52929446.900000006</v>
      </c>
      <c r="O18" s="18"/>
      <c r="P18" s="19"/>
    </row>
    <row r="19" spans="1:18" ht="184.5" thickTop="1" thickBot="1" x14ac:dyDescent="0.25">
      <c r="A19" s="20" t="s">
        <v>27</v>
      </c>
      <c r="B19" s="20" t="s">
        <v>28</v>
      </c>
      <c r="C19" s="20" t="s">
        <v>29</v>
      </c>
      <c r="D19" s="20" t="s">
        <v>30</v>
      </c>
      <c r="E19" s="117">
        <v>104080</v>
      </c>
      <c r="F19" s="117">
        <v>62140</v>
      </c>
      <c r="G19" s="117">
        <f>14704+2100+3380+3380</f>
        <v>23564</v>
      </c>
      <c r="H19" s="119">
        <f t="shared" si="1"/>
        <v>0.3792082394592855</v>
      </c>
      <c r="I19" s="87"/>
      <c r="J19" s="89"/>
      <c r="K19" s="93"/>
      <c r="L19" s="90"/>
      <c r="M19" s="91"/>
      <c r="N19" s="120">
        <f t="shared" si="2"/>
        <v>23564</v>
      </c>
      <c r="O19" s="18"/>
      <c r="P19" s="21"/>
    </row>
    <row r="20" spans="1:18" ht="111" customHeight="1" thickTop="1" thickBot="1" x14ac:dyDescent="0.25">
      <c r="A20" s="20" t="s">
        <v>31</v>
      </c>
      <c r="B20" s="20" t="s">
        <v>32</v>
      </c>
      <c r="C20" s="20" t="s">
        <v>33</v>
      </c>
      <c r="D20" s="20" t="s">
        <v>34</v>
      </c>
      <c r="E20" s="120">
        <v>3415750</v>
      </c>
      <c r="F20" s="120">
        <v>1589420</v>
      </c>
      <c r="G20" s="120">
        <v>1000782.99</v>
      </c>
      <c r="H20" s="119">
        <f t="shared" si="1"/>
        <v>0.62965294887443213</v>
      </c>
      <c r="I20" s="120">
        <v>62500.65</v>
      </c>
      <c r="J20" s="120">
        <v>51850</v>
      </c>
      <c r="K20" s="119">
        <f t="shared" si="3"/>
        <v>0.82959137224972856</v>
      </c>
      <c r="L20" s="94"/>
      <c r="M20" s="91"/>
      <c r="N20" s="120">
        <f t="shared" si="2"/>
        <v>1052632.99</v>
      </c>
      <c r="O20" s="18"/>
      <c r="P20" s="21"/>
    </row>
    <row r="21" spans="1:18" ht="83.25" customHeight="1" thickTop="1" thickBot="1" x14ac:dyDescent="0.25">
      <c r="A21" s="8" t="s">
        <v>68</v>
      </c>
      <c r="B21" s="12" t="s">
        <v>69</v>
      </c>
      <c r="C21" s="12"/>
      <c r="D21" s="13" t="s">
        <v>70</v>
      </c>
      <c r="E21" s="156">
        <f>SUM(E22:E48)-E23-E26-E34-E37-E40-E44</f>
        <v>1650985140.1299994</v>
      </c>
      <c r="F21" s="121">
        <f>SUM(F22:F48)-F23-F26-F34-F37-F40-F44</f>
        <v>931174351.13000011</v>
      </c>
      <c r="G21" s="121">
        <f>SUM(G22:G48)-G23-G26-G34-G37-G40-G44</f>
        <v>922865063.61999989</v>
      </c>
      <c r="H21" s="122">
        <f t="shared" si="1"/>
        <v>0.99107655027233432</v>
      </c>
      <c r="I21" s="121">
        <f>SUM(I22:I48)-I23-I26-I34-I37-I40-I44</f>
        <v>199721586.01000011</v>
      </c>
      <c r="J21" s="121">
        <f>SUM(J22:J48)-J23-J26-J34-J37-J40-J44</f>
        <v>74908567.469999999</v>
      </c>
      <c r="K21" s="122">
        <f>J21/I21</f>
        <v>0.37506495400176376</v>
      </c>
      <c r="L21" s="121"/>
      <c r="M21" s="121"/>
      <c r="N21" s="123">
        <f t="shared" si="2"/>
        <v>997773631.08999991</v>
      </c>
      <c r="O21" s="14" t="e">
        <f>N21=N22+N24+N25+N27+N30+N32+N35+N36+N38+N39+N41+N42+N43+N45+N47+#REF!+N33</f>
        <v>#REF!</v>
      </c>
      <c r="P21" s="14"/>
    </row>
    <row r="22" spans="1:18" ht="99" customHeight="1" thickTop="1" thickBot="1" x14ac:dyDescent="0.6">
      <c r="A22" s="17" t="s">
        <v>71</v>
      </c>
      <c r="B22" s="17" t="s">
        <v>72</v>
      </c>
      <c r="C22" s="17" t="s">
        <v>73</v>
      </c>
      <c r="D22" s="17" t="s">
        <v>74</v>
      </c>
      <c r="E22" s="120">
        <v>464539579</v>
      </c>
      <c r="F22" s="120">
        <v>249590273</v>
      </c>
      <c r="G22" s="120">
        <v>248186360.5</v>
      </c>
      <c r="H22" s="119">
        <f t="shared" si="1"/>
        <v>0.99437513135778333</v>
      </c>
      <c r="I22" s="120">
        <v>72227900.390000001</v>
      </c>
      <c r="J22" s="120">
        <v>25876918.239999998</v>
      </c>
      <c r="K22" s="119">
        <f t="shared" ref="K22:K25" si="4">J22/I22</f>
        <v>0.35826762373370435</v>
      </c>
      <c r="L22" s="124"/>
      <c r="M22" s="125"/>
      <c r="N22" s="120">
        <f t="shared" si="2"/>
        <v>274063278.74000001</v>
      </c>
      <c r="O22" s="28"/>
      <c r="P22" s="14"/>
    </row>
    <row r="23" spans="1:18" ht="138.75" thickTop="1" thickBot="1" x14ac:dyDescent="0.6">
      <c r="A23" s="29" t="s">
        <v>75</v>
      </c>
      <c r="B23" s="29" t="s">
        <v>76</v>
      </c>
      <c r="C23" s="29"/>
      <c r="D23" s="29" t="s">
        <v>77</v>
      </c>
      <c r="E23" s="126">
        <f>E24+E25</f>
        <v>310309616.13999999</v>
      </c>
      <c r="F23" s="126">
        <f t="shared" ref="F23:J23" si="5">F24+F25</f>
        <v>181692886.13</v>
      </c>
      <c r="G23" s="126">
        <f>G24+G25</f>
        <v>179018481.51999998</v>
      </c>
      <c r="H23" s="127">
        <f t="shared" si="1"/>
        <v>0.9852806311410206</v>
      </c>
      <c r="I23" s="126">
        <f t="shared" si="5"/>
        <v>72450626.260000005</v>
      </c>
      <c r="J23" s="126">
        <f t="shared" si="5"/>
        <v>29235379.57</v>
      </c>
      <c r="K23" s="127">
        <f t="shared" si="4"/>
        <v>0.40352141974707617</v>
      </c>
      <c r="L23" s="128"/>
      <c r="M23" s="129"/>
      <c r="N23" s="126">
        <f t="shared" si="2"/>
        <v>208253861.08999997</v>
      </c>
      <c r="O23" s="28"/>
      <c r="P23" s="30"/>
    </row>
    <row r="24" spans="1:18" ht="138.75" thickTop="1" thickBot="1" x14ac:dyDescent="0.6">
      <c r="A24" s="17" t="s">
        <v>78</v>
      </c>
      <c r="B24" s="17" t="s">
        <v>79</v>
      </c>
      <c r="C24" s="17" t="s">
        <v>80</v>
      </c>
      <c r="D24" s="17" t="s">
        <v>81</v>
      </c>
      <c r="E24" s="120">
        <v>288359034.13999999</v>
      </c>
      <c r="F24" s="120">
        <v>168990490.72999999</v>
      </c>
      <c r="G24" s="120">
        <v>166349949.06999999</v>
      </c>
      <c r="H24" s="119">
        <f t="shared" si="1"/>
        <v>0.98437461392890535</v>
      </c>
      <c r="I24" s="120">
        <v>71443685.260000005</v>
      </c>
      <c r="J24" s="120">
        <v>28983511.870000001</v>
      </c>
      <c r="K24" s="119">
        <f t="shared" si="4"/>
        <v>0.4056833261683287</v>
      </c>
      <c r="L24" s="124"/>
      <c r="M24" s="125"/>
      <c r="N24" s="120">
        <f t="shared" si="2"/>
        <v>195333460.94</v>
      </c>
      <c r="O24" s="28"/>
      <c r="P24" s="15"/>
      <c r="R24" s="31"/>
    </row>
    <row r="25" spans="1:18" ht="276" thickTop="1" thickBot="1" x14ac:dyDescent="0.25">
      <c r="A25" s="17" t="s">
        <v>82</v>
      </c>
      <c r="B25" s="17" t="s">
        <v>83</v>
      </c>
      <c r="C25" s="17" t="s">
        <v>84</v>
      </c>
      <c r="D25" s="17" t="s">
        <v>85</v>
      </c>
      <c r="E25" s="120">
        <v>21950582</v>
      </c>
      <c r="F25" s="120">
        <v>12702395.4</v>
      </c>
      <c r="G25" s="120">
        <v>12668532.449999999</v>
      </c>
      <c r="H25" s="119">
        <f t="shared" si="1"/>
        <v>0.99733412880534322</v>
      </c>
      <c r="I25" s="120">
        <v>1006941</v>
      </c>
      <c r="J25" s="120">
        <v>251867.7</v>
      </c>
      <c r="K25" s="119">
        <f t="shared" si="4"/>
        <v>0.2501315370016714</v>
      </c>
      <c r="L25" s="124"/>
      <c r="M25" s="125"/>
      <c r="N25" s="120">
        <f t="shared" si="2"/>
        <v>12920400.149999999</v>
      </c>
      <c r="P25" s="15"/>
    </row>
    <row r="26" spans="1:18" ht="138.75" thickTop="1" thickBot="1" x14ac:dyDescent="0.25">
      <c r="A26" s="29" t="s">
        <v>86</v>
      </c>
      <c r="B26" s="29" t="s">
        <v>87</v>
      </c>
      <c r="C26" s="29"/>
      <c r="D26" s="29" t="s">
        <v>88</v>
      </c>
      <c r="E26" s="126">
        <f>E27</f>
        <v>608795058</v>
      </c>
      <c r="F26" s="126">
        <f t="shared" ref="F26:J26" si="6">F27</f>
        <v>350916720</v>
      </c>
      <c r="G26" s="126">
        <f t="shared" si="6"/>
        <v>350852906.06</v>
      </c>
      <c r="H26" s="127">
        <f t="shared" si="1"/>
        <v>0.99981815075668101</v>
      </c>
      <c r="I26" s="126">
        <f t="shared" si="6"/>
        <v>0</v>
      </c>
      <c r="J26" s="126">
        <f t="shared" si="6"/>
        <v>0</v>
      </c>
      <c r="K26" s="119">
        <v>0</v>
      </c>
      <c r="L26" s="128"/>
      <c r="M26" s="128"/>
      <c r="N26" s="126">
        <f t="shared" si="2"/>
        <v>350852906.06</v>
      </c>
      <c r="O26" s="75" t="s">
        <v>464</v>
      </c>
      <c r="P26" s="26"/>
    </row>
    <row r="27" spans="1:18" ht="138.75" thickTop="1" thickBot="1" x14ac:dyDescent="0.25">
      <c r="A27" s="17" t="s">
        <v>89</v>
      </c>
      <c r="B27" s="17" t="s">
        <v>90</v>
      </c>
      <c r="C27" s="17" t="s">
        <v>80</v>
      </c>
      <c r="D27" s="17" t="s">
        <v>81</v>
      </c>
      <c r="E27" s="120">
        <v>608795058</v>
      </c>
      <c r="F27" s="120">
        <v>350916720</v>
      </c>
      <c r="G27" s="120">
        <v>350852906.06</v>
      </c>
      <c r="H27" s="119">
        <f t="shared" si="1"/>
        <v>0.99981815075668101</v>
      </c>
      <c r="I27" s="92"/>
      <c r="J27" s="92"/>
      <c r="K27" s="92"/>
      <c r="L27" s="94"/>
      <c r="M27" s="91"/>
      <c r="N27" s="120">
        <f t="shared" si="2"/>
        <v>350852906.06</v>
      </c>
      <c r="P27" s="21"/>
    </row>
    <row r="28" spans="1:18" ht="409.6" hidden="1" thickTop="1" x14ac:dyDescent="0.65">
      <c r="A28" s="180" t="s">
        <v>91</v>
      </c>
      <c r="B28" s="180" t="s">
        <v>92</v>
      </c>
      <c r="C28" s="180"/>
      <c r="D28" s="32" t="s">
        <v>93</v>
      </c>
      <c r="E28" s="177">
        <f t="shared" ref="E28:J28" si="7">E30</f>
        <v>0</v>
      </c>
      <c r="F28" s="177">
        <f t="shared" si="7"/>
        <v>0</v>
      </c>
      <c r="G28" s="177">
        <f t="shared" si="7"/>
        <v>0</v>
      </c>
      <c r="H28" s="177"/>
      <c r="I28" s="177">
        <f t="shared" si="7"/>
        <v>0</v>
      </c>
      <c r="J28" s="177">
        <f t="shared" si="7"/>
        <v>0</v>
      </c>
      <c r="K28" s="177"/>
      <c r="L28" s="177"/>
      <c r="M28" s="177"/>
      <c r="N28" s="177">
        <f>J28+G28</f>
        <v>0</v>
      </c>
      <c r="P28" s="21"/>
    </row>
    <row r="29" spans="1:18" ht="183.75" hidden="1" thickBot="1" x14ac:dyDescent="0.25">
      <c r="A29" s="181"/>
      <c r="B29" s="181"/>
      <c r="C29" s="181"/>
      <c r="D29" s="33" t="s">
        <v>94</v>
      </c>
      <c r="E29" s="179"/>
      <c r="F29" s="179"/>
      <c r="G29" s="179"/>
      <c r="H29" s="178"/>
      <c r="I29" s="179"/>
      <c r="J29" s="179"/>
      <c r="K29" s="179"/>
      <c r="L29" s="178"/>
      <c r="M29" s="178"/>
      <c r="N29" s="179"/>
      <c r="P29" s="21"/>
    </row>
    <row r="30" spans="1:18" ht="138.75" hidden="1" thickTop="1" thickBot="1" x14ac:dyDescent="0.25">
      <c r="A30" s="17" t="s">
        <v>95</v>
      </c>
      <c r="B30" s="17" t="s">
        <v>96</v>
      </c>
      <c r="C30" s="17" t="s">
        <v>80</v>
      </c>
      <c r="D30" s="17" t="s">
        <v>97</v>
      </c>
      <c r="E30" s="94"/>
      <c r="F30" s="94"/>
      <c r="G30" s="94"/>
      <c r="H30" s="94"/>
      <c r="I30" s="94"/>
      <c r="J30" s="94"/>
      <c r="K30" s="94"/>
      <c r="L30" s="94"/>
      <c r="M30" s="91"/>
      <c r="N30" s="94">
        <f t="shared" ref="N30:N37" si="8">G30+J30</f>
        <v>0</v>
      </c>
      <c r="P30" s="14"/>
    </row>
    <row r="31" spans="1:18" ht="129" customHeight="1" thickTop="1" thickBot="1" x14ac:dyDescent="0.25">
      <c r="A31" s="17"/>
      <c r="B31" s="17" t="s">
        <v>96</v>
      </c>
      <c r="C31" s="17"/>
      <c r="D31" s="17" t="s">
        <v>81</v>
      </c>
      <c r="E31" s="92"/>
      <c r="F31" s="92"/>
      <c r="G31" s="92"/>
      <c r="H31" s="92"/>
      <c r="I31" s="120">
        <v>6197509.9900000002</v>
      </c>
      <c r="J31" s="120">
        <v>811438</v>
      </c>
      <c r="K31" s="119">
        <f t="shared" ref="K31" si="9">J31/I31</f>
        <v>0.13092968003428745</v>
      </c>
      <c r="L31" s="92"/>
      <c r="M31" s="98"/>
      <c r="N31" s="120">
        <f t="shared" si="8"/>
        <v>811438</v>
      </c>
      <c r="P31" s="14"/>
    </row>
    <row r="32" spans="1:18" ht="184.5" thickTop="1" thickBot="1" x14ac:dyDescent="0.25">
      <c r="A32" s="17" t="s">
        <v>98</v>
      </c>
      <c r="B32" s="17" t="s">
        <v>99</v>
      </c>
      <c r="C32" s="17" t="s">
        <v>100</v>
      </c>
      <c r="D32" s="17" t="s">
        <v>101</v>
      </c>
      <c r="E32" s="120">
        <v>33802238</v>
      </c>
      <c r="F32" s="120">
        <v>17551359</v>
      </c>
      <c r="G32" s="120">
        <v>16158239.720000001</v>
      </c>
      <c r="H32" s="119">
        <f t="shared" ref="H32:H37" si="10">G32/F32</f>
        <v>0.92062613043240704</v>
      </c>
      <c r="I32" s="120">
        <v>8854185.8200000003</v>
      </c>
      <c r="J32" s="120">
        <v>874903.1</v>
      </c>
      <c r="K32" s="119">
        <f t="shared" ref="K32:K38" si="11">J32/I32</f>
        <v>9.8812371660842321E-2</v>
      </c>
      <c r="L32" s="124"/>
      <c r="M32" s="125"/>
      <c r="N32" s="120">
        <f t="shared" si="8"/>
        <v>17033142.82</v>
      </c>
      <c r="P32" s="14"/>
    </row>
    <row r="33" spans="1:16" ht="93" thickTop="1" thickBot="1" x14ac:dyDescent="0.25">
      <c r="A33" s="17"/>
      <c r="B33" s="17" t="s">
        <v>277</v>
      </c>
      <c r="C33" s="17" t="s">
        <v>100</v>
      </c>
      <c r="D33" s="17" t="s">
        <v>278</v>
      </c>
      <c r="E33" s="120">
        <f>(54164900+11916270+176295+394855+51550+1849900+30235+235500+100600+31580+17900)</f>
        <v>68969585</v>
      </c>
      <c r="F33" s="120">
        <v>41374251</v>
      </c>
      <c r="G33" s="120">
        <v>40544293.310000002</v>
      </c>
      <c r="H33" s="119">
        <f t="shared" si="10"/>
        <v>0.97994023650119977</v>
      </c>
      <c r="I33" s="120">
        <v>10089477.789999999</v>
      </c>
      <c r="J33" s="120">
        <v>4538190.84</v>
      </c>
      <c r="K33" s="119">
        <f t="shared" si="11"/>
        <v>0.44979442290838328</v>
      </c>
      <c r="L33" s="124"/>
      <c r="M33" s="125"/>
      <c r="N33" s="120">
        <f t="shared" si="8"/>
        <v>45082484.150000006</v>
      </c>
      <c r="P33" s="14"/>
    </row>
    <row r="34" spans="1:16" ht="184.5" thickTop="1" thickBot="1" x14ac:dyDescent="0.25">
      <c r="A34" s="29" t="s">
        <v>102</v>
      </c>
      <c r="B34" s="29" t="s">
        <v>103</v>
      </c>
      <c r="C34" s="29"/>
      <c r="D34" s="29" t="s">
        <v>104</v>
      </c>
      <c r="E34" s="126">
        <f t="shared" ref="E34:J34" si="12">E35+E36</f>
        <v>116067578.98999999</v>
      </c>
      <c r="F34" s="126">
        <f t="shared" si="12"/>
        <v>71067456</v>
      </c>
      <c r="G34" s="126">
        <f t="shared" si="12"/>
        <v>70437789.219999999</v>
      </c>
      <c r="H34" s="127">
        <f t="shared" si="10"/>
        <v>0.99113987167347029</v>
      </c>
      <c r="I34" s="126">
        <f t="shared" si="12"/>
        <v>22717529.66</v>
      </c>
      <c r="J34" s="126">
        <f t="shared" si="12"/>
        <v>12475347.91</v>
      </c>
      <c r="K34" s="127">
        <f t="shared" si="11"/>
        <v>0.54915072618859739</v>
      </c>
      <c r="L34" s="128"/>
      <c r="M34" s="128"/>
      <c r="N34" s="126">
        <f t="shared" si="8"/>
        <v>82913137.129999995</v>
      </c>
      <c r="P34" s="26"/>
    </row>
    <row r="35" spans="1:16" ht="230.25" thickTop="1" thickBot="1" x14ac:dyDescent="0.25">
      <c r="A35" s="17" t="s">
        <v>105</v>
      </c>
      <c r="B35" s="17" t="s">
        <v>106</v>
      </c>
      <c r="C35" s="17" t="s">
        <v>107</v>
      </c>
      <c r="D35" s="17" t="s">
        <v>108</v>
      </c>
      <c r="E35" s="120">
        <v>98296478.989999995</v>
      </c>
      <c r="F35" s="120">
        <v>59391056</v>
      </c>
      <c r="G35" s="120">
        <v>59340052.039999999</v>
      </c>
      <c r="H35" s="119">
        <f t="shared" si="10"/>
        <v>0.99914121816591372</v>
      </c>
      <c r="I35" s="120">
        <v>22717529.66</v>
      </c>
      <c r="J35" s="120">
        <v>12475347.91</v>
      </c>
      <c r="K35" s="119">
        <f t="shared" si="11"/>
        <v>0.54915072618859739</v>
      </c>
      <c r="L35" s="124"/>
      <c r="M35" s="125"/>
      <c r="N35" s="120">
        <f t="shared" si="8"/>
        <v>71815399.950000003</v>
      </c>
      <c r="P35" s="14"/>
    </row>
    <row r="36" spans="1:16" ht="230.25" thickTop="1" thickBot="1" x14ac:dyDescent="0.25">
      <c r="A36" s="17" t="s">
        <v>109</v>
      </c>
      <c r="B36" s="17" t="s">
        <v>110</v>
      </c>
      <c r="C36" s="17" t="s">
        <v>107</v>
      </c>
      <c r="D36" s="17" t="s">
        <v>111</v>
      </c>
      <c r="E36" s="120">
        <v>17771100</v>
      </c>
      <c r="F36" s="120">
        <v>11676400</v>
      </c>
      <c r="G36" s="120">
        <v>11097737.18</v>
      </c>
      <c r="H36" s="119">
        <f t="shared" si="10"/>
        <v>0.95044167551642622</v>
      </c>
      <c r="I36" s="120"/>
      <c r="J36" s="120"/>
      <c r="K36" s="120"/>
      <c r="L36" s="124"/>
      <c r="M36" s="125"/>
      <c r="N36" s="120">
        <f t="shared" si="8"/>
        <v>11097737.18</v>
      </c>
      <c r="P36" s="21"/>
    </row>
    <row r="37" spans="1:16" ht="93" thickTop="1" thickBot="1" x14ac:dyDescent="0.25">
      <c r="A37" s="29" t="s">
        <v>112</v>
      </c>
      <c r="B37" s="29" t="s">
        <v>113</v>
      </c>
      <c r="C37" s="29"/>
      <c r="D37" s="29" t="s">
        <v>114</v>
      </c>
      <c r="E37" s="126">
        <f t="shared" ref="E37:J37" si="13">E38+E39</f>
        <v>28031600</v>
      </c>
      <c r="F37" s="126">
        <f t="shared" si="13"/>
        <v>13116622</v>
      </c>
      <c r="G37" s="126">
        <f t="shared" si="13"/>
        <v>12989391.439999999</v>
      </c>
      <c r="H37" s="127">
        <f t="shared" si="10"/>
        <v>0.99030005133943777</v>
      </c>
      <c r="I37" s="126">
        <f t="shared" si="13"/>
        <v>728839.1</v>
      </c>
      <c r="J37" s="126">
        <f t="shared" si="13"/>
        <v>353872.12</v>
      </c>
      <c r="K37" s="127">
        <f t="shared" si="11"/>
        <v>0.48552845202734046</v>
      </c>
      <c r="L37" s="128"/>
      <c r="M37" s="128"/>
      <c r="N37" s="126">
        <f t="shared" si="8"/>
        <v>13343263.559999999</v>
      </c>
      <c r="P37" s="26"/>
    </row>
    <row r="38" spans="1:16" ht="93" thickTop="1" thickBot="1" x14ac:dyDescent="0.25">
      <c r="A38" s="17" t="s">
        <v>115</v>
      </c>
      <c r="B38" s="17" t="s">
        <v>116</v>
      </c>
      <c r="C38" s="17" t="s">
        <v>117</v>
      </c>
      <c r="D38" s="17" t="s">
        <v>118</v>
      </c>
      <c r="E38" s="120">
        <v>27831600</v>
      </c>
      <c r="F38" s="120">
        <v>13009092</v>
      </c>
      <c r="G38" s="120">
        <v>12886447.539999999</v>
      </c>
      <c r="H38" s="119">
        <f t="shared" ref="H38:H47" si="14">G38/F38</f>
        <v>0.99057240428463411</v>
      </c>
      <c r="I38" s="120">
        <v>728839.1</v>
      </c>
      <c r="J38" s="120">
        <v>353872.12</v>
      </c>
      <c r="K38" s="119">
        <f t="shared" si="11"/>
        <v>0.48552845202734046</v>
      </c>
      <c r="L38" s="124"/>
      <c r="M38" s="125"/>
      <c r="N38" s="120">
        <f t="shared" ref="N38:N47" si="15">G38+J38</f>
        <v>13240319.659999998</v>
      </c>
      <c r="P38" s="21"/>
    </row>
    <row r="39" spans="1:16" ht="93" thickTop="1" thickBot="1" x14ac:dyDescent="0.25">
      <c r="A39" s="17" t="s">
        <v>119</v>
      </c>
      <c r="B39" s="17" t="s">
        <v>120</v>
      </c>
      <c r="C39" s="17" t="s">
        <v>117</v>
      </c>
      <c r="D39" s="17" t="s">
        <v>121</v>
      </c>
      <c r="E39" s="120">
        <v>200000</v>
      </c>
      <c r="F39" s="120">
        <v>107530</v>
      </c>
      <c r="G39" s="120">
        <v>102943.9</v>
      </c>
      <c r="H39" s="119">
        <f t="shared" si="14"/>
        <v>0.95735050683530176</v>
      </c>
      <c r="I39" s="92"/>
      <c r="J39" s="92"/>
      <c r="K39" s="92"/>
      <c r="L39" s="92"/>
      <c r="M39" s="98"/>
      <c r="N39" s="120">
        <f t="shared" si="15"/>
        <v>102943.9</v>
      </c>
      <c r="P39" s="21"/>
    </row>
    <row r="40" spans="1:16" ht="123" thickTop="1" thickBot="1" x14ac:dyDescent="0.25">
      <c r="A40" s="29" t="s">
        <v>122</v>
      </c>
      <c r="B40" s="29" t="s">
        <v>123</v>
      </c>
      <c r="C40" s="29"/>
      <c r="D40" s="29" t="s">
        <v>124</v>
      </c>
      <c r="E40" s="126">
        <f>E41+E42</f>
        <v>5034485</v>
      </c>
      <c r="F40" s="126">
        <f t="shared" ref="F40:J40" si="16">F41+F42</f>
        <v>2431866</v>
      </c>
      <c r="G40" s="126">
        <f t="shared" si="16"/>
        <v>1473095.21</v>
      </c>
      <c r="H40" s="127">
        <f>G40/F40</f>
        <v>0.60574686680927314</v>
      </c>
      <c r="I40" s="126">
        <f t="shared" si="16"/>
        <v>50000</v>
      </c>
      <c r="J40" s="126">
        <f t="shared" si="16"/>
        <v>49019</v>
      </c>
      <c r="K40" s="127">
        <v>0</v>
      </c>
      <c r="L40" s="126"/>
      <c r="M40" s="126"/>
      <c r="N40" s="126">
        <f t="shared" si="15"/>
        <v>1522114.21</v>
      </c>
      <c r="O40" s="75" t="s">
        <v>464</v>
      </c>
      <c r="P40" s="26"/>
    </row>
    <row r="41" spans="1:16" ht="184.5" thickTop="1" thickBot="1" x14ac:dyDescent="0.25">
      <c r="A41" s="17" t="s">
        <v>125</v>
      </c>
      <c r="B41" s="17" t="s">
        <v>126</v>
      </c>
      <c r="C41" s="17" t="s">
        <v>117</v>
      </c>
      <c r="D41" s="17" t="s">
        <v>127</v>
      </c>
      <c r="E41" s="120">
        <v>1147685</v>
      </c>
      <c r="F41" s="120">
        <v>467774</v>
      </c>
      <c r="G41" s="120">
        <v>405268.49</v>
      </c>
      <c r="H41" s="119">
        <f t="shared" si="14"/>
        <v>0.86637669045308208</v>
      </c>
      <c r="I41" s="120">
        <v>50000</v>
      </c>
      <c r="J41" s="120">
        <v>49019</v>
      </c>
      <c r="K41" s="119">
        <f t="shared" ref="K41" si="17">J41/I41</f>
        <v>0.98038000000000003</v>
      </c>
      <c r="L41" s="120"/>
      <c r="M41" s="130"/>
      <c r="N41" s="120">
        <f t="shared" si="15"/>
        <v>454287.49</v>
      </c>
      <c r="P41" s="14"/>
    </row>
    <row r="42" spans="1:16" ht="138.75" thickTop="1" thickBot="1" x14ac:dyDescent="0.25">
      <c r="A42" s="17" t="s">
        <v>128</v>
      </c>
      <c r="B42" s="17" t="s">
        <v>129</v>
      </c>
      <c r="C42" s="17" t="s">
        <v>117</v>
      </c>
      <c r="D42" s="17" t="s">
        <v>130</v>
      </c>
      <c r="E42" s="120">
        <v>3886800</v>
      </c>
      <c r="F42" s="120">
        <v>1964092</v>
      </c>
      <c r="G42" s="120">
        <v>1067826.72</v>
      </c>
      <c r="H42" s="119">
        <f t="shared" si="14"/>
        <v>0.5436744918262485</v>
      </c>
      <c r="I42" s="120"/>
      <c r="J42" s="120"/>
      <c r="K42" s="120"/>
      <c r="L42" s="120"/>
      <c r="M42" s="130"/>
      <c r="N42" s="120">
        <f t="shared" si="15"/>
        <v>1067826.72</v>
      </c>
      <c r="P42" s="21"/>
    </row>
    <row r="43" spans="1:16" ht="138.75" thickTop="1" thickBot="1" x14ac:dyDescent="0.25">
      <c r="A43" s="17" t="s">
        <v>131</v>
      </c>
      <c r="B43" s="17" t="s">
        <v>132</v>
      </c>
      <c r="C43" s="17" t="s">
        <v>117</v>
      </c>
      <c r="D43" s="17" t="s">
        <v>133</v>
      </c>
      <c r="E43" s="120">
        <v>2060415</v>
      </c>
      <c r="F43" s="120">
        <v>0</v>
      </c>
      <c r="G43" s="120">
        <v>0</v>
      </c>
      <c r="H43" s="119">
        <v>0</v>
      </c>
      <c r="I43" s="120">
        <v>50000</v>
      </c>
      <c r="J43" s="120">
        <v>0</v>
      </c>
      <c r="K43" s="127">
        <v>0</v>
      </c>
      <c r="L43" s="124"/>
      <c r="M43" s="125"/>
      <c r="N43" s="120">
        <f t="shared" si="15"/>
        <v>0</v>
      </c>
      <c r="O43" s="75" t="s">
        <v>464</v>
      </c>
      <c r="P43" s="14"/>
    </row>
    <row r="44" spans="1:16" s="23" customFormat="1" ht="230.25" thickTop="1" thickBot="1" x14ac:dyDescent="0.25">
      <c r="A44" s="29" t="s">
        <v>134</v>
      </c>
      <c r="B44" s="29" t="s">
        <v>135</v>
      </c>
      <c r="C44" s="29"/>
      <c r="D44" s="29" t="s">
        <v>136</v>
      </c>
      <c r="E44" s="126">
        <f>E45+E46</f>
        <v>7580566</v>
      </c>
      <c r="F44" s="126">
        <f t="shared" ref="F44:G44" si="18">F45</f>
        <v>0</v>
      </c>
      <c r="G44" s="126">
        <f t="shared" si="18"/>
        <v>0</v>
      </c>
      <c r="H44" s="127">
        <v>0</v>
      </c>
      <c r="I44" s="126">
        <f>I45+I46</f>
        <v>3383129</v>
      </c>
      <c r="J44" s="126">
        <f t="shared" ref="J44" si="19">J45</f>
        <v>0</v>
      </c>
      <c r="K44" s="127">
        <f t="shared" ref="K44:K46" si="20">J44/I44</f>
        <v>0</v>
      </c>
      <c r="L44" s="128"/>
      <c r="M44" s="128"/>
      <c r="N44" s="126">
        <f t="shared" si="15"/>
        <v>0</v>
      </c>
      <c r="O44" s="75" t="s">
        <v>464</v>
      </c>
      <c r="P44" s="30"/>
    </row>
    <row r="45" spans="1:16" s="23" customFormat="1" ht="367.5" thickTop="1" thickBot="1" x14ac:dyDescent="0.25">
      <c r="A45" s="17" t="s">
        <v>137</v>
      </c>
      <c r="B45" s="17" t="s">
        <v>138</v>
      </c>
      <c r="C45" s="17" t="s">
        <v>117</v>
      </c>
      <c r="D45" s="17" t="s">
        <v>139</v>
      </c>
      <c r="E45" s="120">
        <f>(2300000+600000)</f>
        <v>2900000</v>
      </c>
      <c r="F45" s="120">
        <v>0</v>
      </c>
      <c r="G45" s="120">
        <v>0</v>
      </c>
      <c r="H45" s="119">
        <v>0</v>
      </c>
      <c r="I45" s="120">
        <v>2000000</v>
      </c>
      <c r="J45" s="120">
        <v>0</v>
      </c>
      <c r="K45" s="119">
        <f t="shared" si="20"/>
        <v>0</v>
      </c>
      <c r="L45" s="124"/>
      <c r="M45" s="125"/>
      <c r="N45" s="120">
        <f t="shared" si="15"/>
        <v>0</v>
      </c>
      <c r="O45" s="75" t="s">
        <v>464</v>
      </c>
      <c r="P45" s="14"/>
    </row>
    <row r="46" spans="1:16" s="23" customFormat="1" ht="321.75" thickTop="1" thickBot="1" x14ac:dyDescent="0.25">
      <c r="A46" s="17"/>
      <c r="B46" s="17" t="s">
        <v>491</v>
      </c>
      <c r="C46" s="17"/>
      <c r="D46" s="138" t="s">
        <v>492</v>
      </c>
      <c r="E46" s="120">
        <v>4680566</v>
      </c>
      <c r="F46" s="120">
        <v>0</v>
      </c>
      <c r="G46" s="120">
        <v>0</v>
      </c>
      <c r="H46" s="119">
        <v>0</v>
      </c>
      <c r="I46" s="120">
        <v>1383129</v>
      </c>
      <c r="J46" s="120">
        <v>0</v>
      </c>
      <c r="K46" s="119">
        <f t="shared" si="20"/>
        <v>0</v>
      </c>
      <c r="L46" s="124"/>
      <c r="M46" s="125"/>
      <c r="N46" s="120">
        <f t="shared" si="15"/>
        <v>0</v>
      </c>
      <c r="O46" s="78"/>
      <c r="P46" s="14"/>
    </row>
    <row r="47" spans="1:16" s="23" customFormat="1" ht="321.75" thickTop="1" thickBot="1" x14ac:dyDescent="0.25">
      <c r="A47" s="17" t="s">
        <v>140</v>
      </c>
      <c r="B47" s="17" t="s">
        <v>141</v>
      </c>
      <c r="C47" s="17" t="s">
        <v>117</v>
      </c>
      <c r="D47" s="17" t="s">
        <v>142</v>
      </c>
      <c r="E47" s="120">
        <f>4721984</f>
        <v>4721984</v>
      </c>
      <c r="F47" s="120">
        <v>2360483</v>
      </c>
      <c r="G47" s="120">
        <v>2300727.7999999998</v>
      </c>
      <c r="H47" s="119">
        <f t="shared" si="14"/>
        <v>0.97468518095660928</v>
      </c>
      <c r="I47" s="120">
        <v>2396198</v>
      </c>
      <c r="J47" s="120">
        <v>354349</v>
      </c>
      <c r="K47" s="119">
        <f>J47/I47</f>
        <v>0.14787968273072594</v>
      </c>
      <c r="L47" s="124"/>
      <c r="M47" s="125"/>
      <c r="N47" s="120">
        <f t="shared" si="15"/>
        <v>2655076.7999999998</v>
      </c>
      <c r="O47" s="27"/>
      <c r="P47" s="14"/>
    </row>
    <row r="48" spans="1:16" s="23" customFormat="1" ht="289.14999999999998" customHeight="1" thickTop="1" thickBot="1" x14ac:dyDescent="0.25">
      <c r="A48" s="8"/>
      <c r="B48" s="17" t="s">
        <v>143</v>
      </c>
      <c r="C48" s="8"/>
      <c r="D48" s="17" t="s">
        <v>144</v>
      </c>
      <c r="E48" s="120">
        <v>1072435</v>
      </c>
      <c r="F48" s="120">
        <v>1072435</v>
      </c>
      <c r="G48" s="120">
        <v>903778.84</v>
      </c>
      <c r="H48" s="119">
        <f t="shared" ref="H48" si="21">G48/F48</f>
        <v>0.84273530796738261</v>
      </c>
      <c r="I48" s="120">
        <v>576190</v>
      </c>
      <c r="J48" s="120">
        <v>339149.69</v>
      </c>
      <c r="K48" s="119">
        <f>J48/I48</f>
        <v>0.58860738645238553</v>
      </c>
      <c r="L48" s="104"/>
      <c r="M48" s="104"/>
      <c r="N48" s="120">
        <f t="shared" ref="N48" si="22">G48+J48</f>
        <v>1242928.53</v>
      </c>
      <c r="O48" s="27"/>
      <c r="P48" s="14"/>
    </row>
    <row r="49" spans="1:18" ht="103.7" customHeight="1" thickTop="1" thickBot="1" x14ac:dyDescent="0.25">
      <c r="A49" s="8" t="s">
        <v>148</v>
      </c>
      <c r="B49" s="12" t="s">
        <v>149</v>
      </c>
      <c r="C49" s="12"/>
      <c r="D49" s="13" t="s">
        <v>150</v>
      </c>
      <c r="E49" s="121">
        <f t="shared" ref="E49:J49" si="23">SUM(E50:E61)-E55-E57-E59</f>
        <v>76404049</v>
      </c>
      <c r="F49" s="121">
        <f t="shared" si="23"/>
        <v>39577607</v>
      </c>
      <c r="G49" s="121">
        <f t="shared" si="23"/>
        <v>34739657.090000004</v>
      </c>
      <c r="H49" s="122">
        <f>G49/F49</f>
        <v>0.87776042371637086</v>
      </c>
      <c r="I49" s="121">
        <f t="shared" si="23"/>
        <v>40788</v>
      </c>
      <c r="J49" s="121">
        <f t="shared" si="23"/>
        <v>18242.05</v>
      </c>
      <c r="K49" s="122">
        <f>J49/I49</f>
        <v>0.44724060998332843</v>
      </c>
      <c r="L49" s="121"/>
      <c r="M49" s="121"/>
      <c r="N49" s="123">
        <f>J49+G49</f>
        <v>34757899.140000001</v>
      </c>
      <c r="O49" s="14" t="b">
        <f>N49=N50+N51+N52+N53+N54+N56+N58+N60+N61</f>
        <v>1</v>
      </c>
      <c r="P49" s="34"/>
    </row>
    <row r="50" spans="1:18" ht="93" thickTop="1" thickBot="1" x14ac:dyDescent="0.25">
      <c r="A50" s="17" t="s">
        <v>151</v>
      </c>
      <c r="B50" s="17" t="s">
        <v>152</v>
      </c>
      <c r="C50" s="17" t="s">
        <v>153</v>
      </c>
      <c r="D50" s="17" t="s">
        <v>154</v>
      </c>
      <c r="E50" s="120">
        <v>15249455</v>
      </c>
      <c r="F50" s="120">
        <v>8538070</v>
      </c>
      <c r="G50" s="120">
        <v>8034169.1100000003</v>
      </c>
      <c r="H50" s="119">
        <f t="shared" ref="H50:H91" si="24">G50/F50</f>
        <v>0.94098187412377743</v>
      </c>
      <c r="I50" s="92"/>
      <c r="J50" s="92"/>
      <c r="K50" s="92"/>
      <c r="L50" s="94"/>
      <c r="M50" s="91"/>
      <c r="N50" s="120">
        <f t="shared" ref="N50:N91" si="25">G50+J50</f>
        <v>8034169.1100000003</v>
      </c>
      <c r="P50" s="21"/>
    </row>
    <row r="51" spans="1:18" ht="93" thickTop="1" thickBot="1" x14ac:dyDescent="0.25">
      <c r="A51" s="17" t="s">
        <v>155</v>
      </c>
      <c r="B51" s="17" t="s">
        <v>156</v>
      </c>
      <c r="C51" s="17" t="s">
        <v>157</v>
      </c>
      <c r="D51" s="17" t="s">
        <v>158</v>
      </c>
      <c r="E51" s="120">
        <v>7638429</v>
      </c>
      <c r="F51" s="120">
        <v>3957209</v>
      </c>
      <c r="G51" s="120">
        <v>2734090.38</v>
      </c>
      <c r="H51" s="119">
        <f t="shared" si="24"/>
        <v>0.69091381829971577</v>
      </c>
      <c r="I51" s="120"/>
      <c r="J51" s="120"/>
      <c r="K51" s="120"/>
      <c r="L51" s="124"/>
      <c r="M51" s="125"/>
      <c r="N51" s="120">
        <f t="shared" si="25"/>
        <v>2734090.38</v>
      </c>
      <c r="P51" s="34"/>
    </row>
    <row r="52" spans="1:18" ht="138.75" thickTop="1" thickBot="1" x14ac:dyDescent="0.25">
      <c r="A52" s="17" t="s">
        <v>159</v>
      </c>
      <c r="B52" s="17" t="s">
        <v>160</v>
      </c>
      <c r="C52" s="17" t="s">
        <v>161</v>
      </c>
      <c r="D52" s="17" t="s">
        <v>162</v>
      </c>
      <c r="E52" s="120">
        <v>5291200</v>
      </c>
      <c r="F52" s="120">
        <v>2585400</v>
      </c>
      <c r="G52" s="120">
        <v>2563884.77</v>
      </c>
      <c r="H52" s="119">
        <f t="shared" si="24"/>
        <v>0.99167818132590702</v>
      </c>
      <c r="I52" s="120"/>
      <c r="J52" s="120"/>
      <c r="K52" s="120"/>
      <c r="L52" s="124"/>
      <c r="M52" s="125"/>
      <c r="N52" s="120">
        <f t="shared" si="25"/>
        <v>2563884.77</v>
      </c>
      <c r="P52" s="34"/>
    </row>
    <row r="53" spans="1:18" ht="138.75" thickTop="1" thickBot="1" x14ac:dyDescent="0.25">
      <c r="A53" s="17" t="s">
        <v>163</v>
      </c>
      <c r="B53" s="17" t="s">
        <v>164</v>
      </c>
      <c r="C53" s="17" t="s">
        <v>165</v>
      </c>
      <c r="D53" s="17" t="s">
        <v>166</v>
      </c>
      <c r="E53" s="120">
        <v>9696090</v>
      </c>
      <c r="F53" s="120">
        <v>3882940</v>
      </c>
      <c r="G53" s="120">
        <v>3426692.87</v>
      </c>
      <c r="H53" s="119">
        <f t="shared" si="24"/>
        <v>0.88249956733815105</v>
      </c>
      <c r="I53" s="120"/>
      <c r="J53" s="120"/>
      <c r="K53" s="120"/>
      <c r="L53" s="124"/>
      <c r="M53" s="125"/>
      <c r="N53" s="120">
        <f t="shared" si="25"/>
        <v>3426692.87</v>
      </c>
      <c r="P53" s="34"/>
    </row>
    <row r="54" spans="1:18" ht="93" thickTop="1" thickBot="1" x14ac:dyDescent="0.25">
      <c r="A54" s="17" t="s">
        <v>167</v>
      </c>
      <c r="B54" s="17" t="s">
        <v>168</v>
      </c>
      <c r="C54" s="17" t="s">
        <v>169</v>
      </c>
      <c r="D54" s="17" t="s">
        <v>170</v>
      </c>
      <c r="E54" s="120">
        <v>6881935</v>
      </c>
      <c r="F54" s="120">
        <v>3383663</v>
      </c>
      <c r="G54" s="120">
        <v>3376187.35</v>
      </c>
      <c r="H54" s="119">
        <f t="shared" si="24"/>
        <v>0.99779066355012302</v>
      </c>
      <c r="I54" s="120"/>
      <c r="J54" s="120"/>
      <c r="K54" s="120"/>
      <c r="L54" s="124"/>
      <c r="M54" s="125"/>
      <c r="N54" s="120">
        <f t="shared" si="25"/>
        <v>3376187.35</v>
      </c>
      <c r="P54" s="34"/>
    </row>
    <row r="55" spans="1:18" ht="123" thickTop="1" thickBot="1" x14ac:dyDescent="0.25">
      <c r="A55" s="17" t="s">
        <v>171</v>
      </c>
      <c r="B55" s="29" t="s">
        <v>172</v>
      </c>
      <c r="C55" s="29"/>
      <c r="D55" s="29" t="s">
        <v>173</v>
      </c>
      <c r="E55" s="126">
        <f>E56</f>
        <v>11147515</v>
      </c>
      <c r="F55" s="126">
        <f t="shared" ref="F55:G55" si="26">F56</f>
        <v>5084130</v>
      </c>
      <c r="G55" s="126">
        <f t="shared" si="26"/>
        <v>4963377.8</v>
      </c>
      <c r="H55" s="127">
        <f t="shared" si="24"/>
        <v>0.97624919111037678</v>
      </c>
      <c r="I55" s="95"/>
      <c r="J55" s="95"/>
      <c r="K55" s="96"/>
      <c r="L55" s="97"/>
      <c r="M55" s="97"/>
      <c r="N55" s="126">
        <f t="shared" si="25"/>
        <v>4963377.8</v>
      </c>
      <c r="O55" s="75" t="s">
        <v>464</v>
      </c>
      <c r="P55" s="34"/>
    </row>
    <row r="56" spans="1:18" ht="184.5" thickTop="1" thickBot="1" x14ac:dyDescent="0.25">
      <c r="A56" s="17" t="s">
        <v>174</v>
      </c>
      <c r="B56" s="17" t="s">
        <v>175</v>
      </c>
      <c r="C56" s="17" t="s">
        <v>176</v>
      </c>
      <c r="D56" s="17" t="s">
        <v>177</v>
      </c>
      <c r="E56" s="120">
        <v>11147515</v>
      </c>
      <c r="F56" s="120">
        <v>5084130</v>
      </c>
      <c r="G56" s="120">
        <v>4963377.8</v>
      </c>
      <c r="H56" s="119">
        <f t="shared" si="24"/>
        <v>0.97624919111037678</v>
      </c>
      <c r="I56" s="92"/>
      <c r="J56" s="92"/>
      <c r="K56" s="92"/>
      <c r="L56" s="94"/>
      <c r="M56" s="91"/>
      <c r="N56" s="120">
        <f t="shared" si="25"/>
        <v>4963377.8</v>
      </c>
      <c r="P56" s="34"/>
    </row>
    <row r="57" spans="1:18" ht="138.75" thickTop="1" thickBot="1" x14ac:dyDescent="0.25">
      <c r="A57" s="29" t="s">
        <v>178</v>
      </c>
      <c r="B57" s="29" t="s">
        <v>179</v>
      </c>
      <c r="C57" s="29"/>
      <c r="D57" s="29" t="s">
        <v>180</v>
      </c>
      <c r="E57" s="126">
        <f t="shared" ref="E57:G57" si="27">E58</f>
        <v>14254000</v>
      </c>
      <c r="F57" s="126">
        <f t="shared" si="27"/>
        <v>9471600</v>
      </c>
      <c r="G57" s="126">
        <f t="shared" si="27"/>
        <v>7229372.8499999996</v>
      </c>
      <c r="H57" s="127">
        <f t="shared" si="24"/>
        <v>0.76326838654503992</v>
      </c>
      <c r="I57" s="126"/>
      <c r="J57" s="126"/>
      <c r="K57" s="127"/>
      <c r="L57" s="128"/>
      <c r="M57" s="128"/>
      <c r="N57" s="126">
        <f t="shared" si="25"/>
        <v>7229372.8499999996</v>
      </c>
      <c r="O57" s="75" t="s">
        <v>464</v>
      </c>
      <c r="P57" s="34"/>
    </row>
    <row r="58" spans="1:18" ht="138.75" thickTop="1" thickBot="1" x14ac:dyDescent="0.25">
      <c r="A58" s="17" t="s">
        <v>181</v>
      </c>
      <c r="B58" s="17" t="s">
        <v>182</v>
      </c>
      <c r="C58" s="17" t="s">
        <v>183</v>
      </c>
      <c r="D58" s="17" t="s">
        <v>184</v>
      </c>
      <c r="E58" s="120">
        <v>14254000</v>
      </c>
      <c r="F58" s="120">
        <v>9471600</v>
      </c>
      <c r="G58" s="120">
        <v>7229372.8499999996</v>
      </c>
      <c r="H58" s="119">
        <f t="shared" si="24"/>
        <v>0.76326838654503992</v>
      </c>
      <c r="I58" s="120"/>
      <c r="J58" s="120"/>
      <c r="K58" s="120"/>
      <c r="L58" s="124"/>
      <c r="M58" s="125"/>
      <c r="N58" s="120">
        <f t="shared" si="25"/>
        <v>7229372.8499999996</v>
      </c>
      <c r="P58" s="34"/>
    </row>
    <row r="59" spans="1:18" ht="138.75" thickTop="1" thickBot="1" x14ac:dyDescent="0.25">
      <c r="A59" s="17" t="s">
        <v>185</v>
      </c>
      <c r="B59" s="29" t="s">
        <v>186</v>
      </c>
      <c r="C59" s="29"/>
      <c r="D59" s="29" t="s">
        <v>187</v>
      </c>
      <c r="E59" s="126">
        <f t="shared" ref="E59:J59" si="28">SUM(E60:E61)</f>
        <v>6245425</v>
      </c>
      <c r="F59" s="126">
        <f t="shared" si="28"/>
        <v>2674595</v>
      </c>
      <c r="G59" s="126">
        <f t="shared" si="28"/>
        <v>2411881.96</v>
      </c>
      <c r="H59" s="127">
        <f t="shared" si="24"/>
        <v>0.90177464625485348</v>
      </c>
      <c r="I59" s="126">
        <f t="shared" si="28"/>
        <v>40788</v>
      </c>
      <c r="J59" s="126">
        <f t="shared" si="28"/>
        <v>18242.05</v>
      </c>
      <c r="K59" s="119">
        <f>J59/I59</f>
        <v>0.44724060998332843</v>
      </c>
      <c r="L59" s="128"/>
      <c r="M59" s="128"/>
      <c r="N59" s="126">
        <f t="shared" si="25"/>
        <v>2430124.0099999998</v>
      </c>
      <c r="P59" s="34"/>
    </row>
    <row r="60" spans="1:18" s="23" customFormat="1" ht="138.75" thickTop="1" thickBot="1" x14ac:dyDescent="0.25">
      <c r="A60" s="17" t="s">
        <v>188</v>
      </c>
      <c r="B60" s="17" t="s">
        <v>189</v>
      </c>
      <c r="C60" s="17" t="s">
        <v>183</v>
      </c>
      <c r="D60" s="35" t="s">
        <v>190</v>
      </c>
      <c r="E60" s="120">
        <f>(2365000+520300+93000+157000+3220+90905)</f>
        <v>3229425</v>
      </c>
      <c r="F60" s="120">
        <v>1571495</v>
      </c>
      <c r="G60" s="120">
        <v>1401421.86</v>
      </c>
      <c r="H60" s="119">
        <f t="shared" si="24"/>
        <v>0.89177621309644639</v>
      </c>
      <c r="I60" s="120">
        <v>40788</v>
      </c>
      <c r="J60" s="120">
        <v>18242.05</v>
      </c>
      <c r="K60" s="119">
        <f>J60/I60</f>
        <v>0.44724060998332843</v>
      </c>
      <c r="L60" s="124"/>
      <c r="M60" s="125"/>
      <c r="N60" s="120">
        <f t="shared" si="25"/>
        <v>1419663.9100000001</v>
      </c>
      <c r="O60" s="27"/>
      <c r="P60" s="34"/>
    </row>
    <row r="61" spans="1:18" s="23" customFormat="1" ht="93" thickTop="1" thickBot="1" x14ac:dyDescent="0.25">
      <c r="A61" s="17" t="s">
        <v>191</v>
      </c>
      <c r="B61" s="17" t="s">
        <v>192</v>
      </c>
      <c r="C61" s="17" t="s">
        <v>183</v>
      </c>
      <c r="D61" s="35" t="s">
        <v>193</v>
      </c>
      <c r="E61" s="120">
        <f>(3016000)</f>
        <v>3016000</v>
      </c>
      <c r="F61" s="120">
        <v>1103100</v>
      </c>
      <c r="G61" s="120">
        <v>1010460.1</v>
      </c>
      <c r="H61" s="119">
        <f t="shared" si="24"/>
        <v>0.91601858399057201</v>
      </c>
      <c r="I61" s="120"/>
      <c r="J61" s="120"/>
      <c r="K61" s="120"/>
      <c r="L61" s="124"/>
      <c r="M61" s="125"/>
      <c r="N61" s="120">
        <f t="shared" si="25"/>
        <v>1010460.1</v>
      </c>
      <c r="O61" s="27"/>
      <c r="P61" s="34"/>
    </row>
    <row r="62" spans="1:18" ht="91.5" thickTop="1" thickBot="1" x14ac:dyDescent="0.25">
      <c r="A62" s="8" t="s">
        <v>196</v>
      </c>
      <c r="B62" s="12" t="s">
        <v>145</v>
      </c>
      <c r="C62" s="12"/>
      <c r="D62" s="13" t="s">
        <v>146</v>
      </c>
      <c r="E62" s="121">
        <f>SUM(E63:E91)-E63-E73-E85-E87-E89-E82-E76-E78</f>
        <v>182315280</v>
      </c>
      <c r="F62" s="121">
        <f>SUM(F63:F91)-F63-F73-F85-F87-F89-F82-F76-F78</f>
        <v>98142880.579999983</v>
      </c>
      <c r="G62" s="121">
        <f>SUM(G63:G91)-G63-G73-G85-G87-G89-G82-G76-G78</f>
        <v>93206994.479999945</v>
      </c>
      <c r="H62" s="122">
        <f>G62/F62</f>
        <v>0.94970714054009642</v>
      </c>
      <c r="I62" s="121">
        <f>SUM(I63:I91)-I63-I73-I85-I87-I89-I82-I76-I78</f>
        <v>3568888.7100000009</v>
      </c>
      <c r="J62" s="121">
        <f>SUM(J63:J91)-J63-J73-J85-J87-J89-J82-J76-J78</f>
        <v>2527081.4300000006</v>
      </c>
      <c r="K62" s="122">
        <f>J62/I62</f>
        <v>0.70808636394828905</v>
      </c>
      <c r="L62" s="121"/>
      <c r="M62" s="121"/>
      <c r="N62" s="123">
        <f>J62+G62</f>
        <v>95734075.909999952</v>
      </c>
      <c r="O62" s="14" t="e">
        <f>N62=N64+N65+N66+N67+N68+N69+N72+N74+N75+N77+N79+N80+#REF!+N81+N83+N84+N86+N88+N90+N91</f>
        <v>#REF!</v>
      </c>
      <c r="P62" s="37"/>
      <c r="R62" s="36"/>
    </row>
    <row r="63" spans="1:18" ht="276" thickTop="1" thickBot="1" x14ac:dyDescent="0.25">
      <c r="A63" s="29" t="s">
        <v>197</v>
      </c>
      <c r="B63" s="29" t="s">
        <v>198</v>
      </c>
      <c r="C63" s="29"/>
      <c r="D63" s="29" t="s">
        <v>199</v>
      </c>
      <c r="E63" s="126">
        <f t="shared" ref="E63:J63" si="29">SUM(E64:E68)</f>
        <v>88312240</v>
      </c>
      <c r="F63" s="126">
        <f t="shared" si="29"/>
        <v>43570683.579999998</v>
      </c>
      <c r="G63" s="126">
        <f t="shared" si="29"/>
        <v>43052317.159999996</v>
      </c>
      <c r="H63" s="127">
        <f t="shared" si="24"/>
        <v>0.98810286235128186</v>
      </c>
      <c r="I63" s="126">
        <f t="shared" si="29"/>
        <v>199000</v>
      </c>
      <c r="J63" s="126">
        <f t="shared" si="29"/>
        <v>0</v>
      </c>
      <c r="K63" s="127">
        <f t="shared" ref="K63:K64" si="30">J63/I63</f>
        <v>0</v>
      </c>
      <c r="L63" s="128"/>
      <c r="M63" s="128"/>
      <c r="N63" s="126">
        <f t="shared" si="25"/>
        <v>43052317.159999996</v>
      </c>
      <c r="O63" s="38"/>
      <c r="P63" s="39"/>
      <c r="R63" s="40"/>
    </row>
    <row r="64" spans="1:18" s="23" customFormat="1" ht="138.75" thickTop="1" thickBot="1" x14ac:dyDescent="0.25">
      <c r="A64" s="17" t="s">
        <v>200</v>
      </c>
      <c r="B64" s="17" t="s">
        <v>201</v>
      </c>
      <c r="C64" s="17" t="s">
        <v>87</v>
      </c>
      <c r="D64" s="41" t="s">
        <v>202</v>
      </c>
      <c r="E64" s="120">
        <v>270000</v>
      </c>
      <c r="F64" s="120">
        <v>101211.93</v>
      </c>
      <c r="G64" s="120">
        <v>8001</v>
      </c>
      <c r="H64" s="119">
        <f t="shared" si="24"/>
        <v>7.9051945753825667E-2</v>
      </c>
      <c r="I64" s="120">
        <v>199000</v>
      </c>
      <c r="J64" s="120">
        <v>0</v>
      </c>
      <c r="K64" s="119">
        <f t="shared" si="30"/>
        <v>0</v>
      </c>
      <c r="L64" s="124"/>
      <c r="M64" s="125"/>
      <c r="N64" s="120">
        <f t="shared" si="25"/>
        <v>8001</v>
      </c>
      <c r="O64" s="27"/>
      <c r="P64" s="37"/>
    </row>
    <row r="65" spans="1:16" s="23" customFormat="1" ht="138.75" thickTop="1" thickBot="1" x14ac:dyDescent="0.25">
      <c r="A65" s="17" t="s">
        <v>203</v>
      </c>
      <c r="B65" s="17" t="s">
        <v>204</v>
      </c>
      <c r="C65" s="17" t="s">
        <v>99</v>
      </c>
      <c r="D65" s="17" t="s">
        <v>205</v>
      </c>
      <c r="E65" s="120">
        <v>1350000</v>
      </c>
      <c r="F65" s="120">
        <v>617430.74</v>
      </c>
      <c r="G65" s="120">
        <v>417820.98</v>
      </c>
      <c r="H65" s="119">
        <f t="shared" si="24"/>
        <v>0.67670906699591926</v>
      </c>
      <c r="I65" s="120"/>
      <c r="J65" s="120"/>
      <c r="K65" s="120"/>
      <c r="L65" s="120"/>
      <c r="M65" s="130"/>
      <c r="N65" s="120">
        <f t="shared" si="25"/>
        <v>417820.98</v>
      </c>
      <c r="O65" s="27"/>
      <c r="P65" s="42"/>
    </row>
    <row r="66" spans="1:16" s="23" customFormat="1" ht="184.5" thickTop="1" thickBot="1" x14ac:dyDescent="0.25">
      <c r="A66" s="17" t="s">
        <v>206</v>
      </c>
      <c r="B66" s="17" t="s">
        <v>207</v>
      </c>
      <c r="C66" s="17" t="s">
        <v>99</v>
      </c>
      <c r="D66" s="17" t="s">
        <v>208</v>
      </c>
      <c r="E66" s="120">
        <v>11250000</v>
      </c>
      <c r="F66" s="120">
        <v>7629880.9100000001</v>
      </c>
      <c r="G66" s="120">
        <v>7629335.1799999997</v>
      </c>
      <c r="H66" s="119">
        <f t="shared" si="24"/>
        <v>0.99992847463722723</v>
      </c>
      <c r="I66" s="120"/>
      <c r="J66" s="120"/>
      <c r="K66" s="120"/>
      <c r="L66" s="120"/>
      <c r="M66" s="130"/>
      <c r="N66" s="120">
        <f t="shared" si="25"/>
        <v>7629335.1799999997</v>
      </c>
      <c r="O66" s="27"/>
      <c r="P66" s="42"/>
    </row>
    <row r="67" spans="1:16" s="23" customFormat="1" ht="184.5" thickTop="1" thickBot="1" x14ac:dyDescent="0.25">
      <c r="A67" s="17" t="s">
        <v>209</v>
      </c>
      <c r="B67" s="17" t="s">
        <v>210</v>
      </c>
      <c r="C67" s="17" t="s">
        <v>99</v>
      </c>
      <c r="D67" s="17" t="s">
        <v>211</v>
      </c>
      <c r="E67" s="120">
        <v>500000</v>
      </c>
      <c r="F67" s="120">
        <v>225000</v>
      </c>
      <c r="G67" s="120">
        <v>0</v>
      </c>
      <c r="H67" s="119">
        <v>0</v>
      </c>
      <c r="I67" s="120"/>
      <c r="J67" s="120"/>
      <c r="K67" s="120"/>
      <c r="L67" s="120"/>
      <c r="M67" s="130"/>
      <c r="N67" s="120">
        <f t="shared" si="25"/>
        <v>0</v>
      </c>
      <c r="O67" s="75" t="s">
        <v>464</v>
      </c>
      <c r="P67" s="42"/>
    </row>
    <row r="68" spans="1:16" s="23" customFormat="1" ht="184.5" thickTop="1" thickBot="1" x14ac:dyDescent="0.25">
      <c r="A68" s="17" t="s">
        <v>212</v>
      </c>
      <c r="B68" s="17" t="s">
        <v>213</v>
      </c>
      <c r="C68" s="17" t="s">
        <v>99</v>
      </c>
      <c r="D68" s="17" t="s">
        <v>214</v>
      </c>
      <c r="E68" s="120">
        <f>74942240</f>
        <v>74942240</v>
      </c>
      <c r="F68" s="120">
        <v>34997160</v>
      </c>
      <c r="G68" s="120">
        <v>34997160</v>
      </c>
      <c r="H68" s="119">
        <f t="shared" si="24"/>
        <v>1</v>
      </c>
      <c r="I68" s="120"/>
      <c r="J68" s="120"/>
      <c r="K68" s="120"/>
      <c r="L68" s="120"/>
      <c r="M68" s="130"/>
      <c r="N68" s="120">
        <f t="shared" si="25"/>
        <v>34997160</v>
      </c>
      <c r="O68" s="27"/>
      <c r="P68" s="42"/>
    </row>
    <row r="69" spans="1:16" s="23" customFormat="1" ht="184.5" thickTop="1" thickBot="1" x14ac:dyDescent="0.25">
      <c r="A69" s="17" t="s">
        <v>215</v>
      </c>
      <c r="B69" s="17" t="s">
        <v>216</v>
      </c>
      <c r="C69" s="17" t="s">
        <v>99</v>
      </c>
      <c r="D69" s="17" t="s">
        <v>217</v>
      </c>
      <c r="E69" s="120">
        <v>206796</v>
      </c>
      <c r="F69" s="120">
        <v>103398</v>
      </c>
      <c r="G69" s="120">
        <v>68932</v>
      </c>
      <c r="H69" s="119">
        <f t="shared" si="24"/>
        <v>0.66666666666666663</v>
      </c>
      <c r="I69" s="120"/>
      <c r="J69" s="120"/>
      <c r="K69" s="120"/>
      <c r="L69" s="120"/>
      <c r="M69" s="130"/>
      <c r="N69" s="120">
        <f t="shared" si="25"/>
        <v>68932</v>
      </c>
      <c r="O69" s="27"/>
      <c r="P69" s="42"/>
    </row>
    <row r="70" spans="1:16" s="23" customFormat="1" ht="138.75" hidden="1" thickTop="1" thickBot="1" x14ac:dyDescent="0.25">
      <c r="A70" s="17" t="s">
        <v>218</v>
      </c>
      <c r="B70" s="17" t="s">
        <v>219</v>
      </c>
      <c r="C70" s="17" t="s">
        <v>99</v>
      </c>
      <c r="D70" s="17" t="s">
        <v>220</v>
      </c>
      <c r="E70" s="92"/>
      <c r="F70" s="92"/>
      <c r="G70" s="92"/>
      <c r="H70" s="92"/>
      <c r="I70" s="92"/>
      <c r="J70" s="92"/>
      <c r="K70" s="92"/>
      <c r="L70" s="92"/>
      <c r="M70" s="98"/>
      <c r="N70" s="92">
        <f t="shared" si="25"/>
        <v>0</v>
      </c>
      <c r="O70" s="27"/>
      <c r="P70" s="42"/>
    </row>
    <row r="71" spans="1:16" s="23" customFormat="1" ht="165" customHeight="1" thickTop="1" thickBot="1" x14ac:dyDescent="0.25">
      <c r="A71" s="17"/>
      <c r="B71" s="17" t="s">
        <v>219</v>
      </c>
      <c r="C71" s="17"/>
      <c r="D71" s="17" t="s">
        <v>220</v>
      </c>
      <c r="E71" s="120">
        <v>180000</v>
      </c>
      <c r="F71" s="120">
        <v>180000</v>
      </c>
      <c r="G71" s="120">
        <v>0</v>
      </c>
      <c r="H71" s="119">
        <v>0</v>
      </c>
      <c r="I71" s="92"/>
      <c r="J71" s="92"/>
      <c r="K71" s="92"/>
      <c r="L71" s="92"/>
      <c r="M71" s="98"/>
      <c r="N71" s="120">
        <v>0</v>
      </c>
      <c r="O71" s="27"/>
      <c r="P71" s="42"/>
    </row>
    <row r="72" spans="1:16" ht="138.75" thickTop="1" thickBot="1" x14ac:dyDescent="0.25">
      <c r="A72" s="17" t="s">
        <v>221</v>
      </c>
      <c r="B72" s="17" t="s">
        <v>222</v>
      </c>
      <c r="C72" s="17" t="s">
        <v>87</v>
      </c>
      <c r="D72" s="17" t="s">
        <v>223</v>
      </c>
      <c r="E72" s="120">
        <v>353047</v>
      </c>
      <c r="F72" s="120">
        <v>176524</v>
      </c>
      <c r="G72" s="120">
        <v>94386</v>
      </c>
      <c r="H72" s="119">
        <f t="shared" si="24"/>
        <v>0.53469216650427143</v>
      </c>
      <c r="I72" s="120"/>
      <c r="J72" s="120"/>
      <c r="K72" s="120"/>
      <c r="L72" s="120"/>
      <c r="M72" s="130"/>
      <c r="N72" s="120">
        <f t="shared" si="25"/>
        <v>94386</v>
      </c>
      <c r="P72" s="42"/>
    </row>
    <row r="73" spans="1:16" s="23" customFormat="1" ht="276" thickTop="1" thickBot="1" x14ac:dyDescent="0.25">
      <c r="A73" s="29" t="s">
        <v>224</v>
      </c>
      <c r="B73" s="29" t="s">
        <v>225</v>
      </c>
      <c r="C73" s="29"/>
      <c r="D73" s="29" t="s">
        <v>226</v>
      </c>
      <c r="E73" s="126">
        <f t="shared" ref="E73:J73" si="31">SUM(E74:E75)</f>
        <v>35503210</v>
      </c>
      <c r="F73" s="126">
        <f t="shared" si="31"/>
        <v>16685126</v>
      </c>
      <c r="G73" s="126">
        <f t="shared" si="31"/>
        <v>16285236.300000001</v>
      </c>
      <c r="H73" s="127">
        <f t="shared" si="24"/>
        <v>0.9760331627103086</v>
      </c>
      <c r="I73" s="126">
        <f t="shared" si="31"/>
        <v>475604.64</v>
      </c>
      <c r="J73" s="126">
        <f t="shared" si="31"/>
        <v>396588.42</v>
      </c>
      <c r="K73" s="127">
        <f t="shared" ref="K73:K75" si="32">J73/I73</f>
        <v>0.83386154516911348</v>
      </c>
      <c r="L73" s="126"/>
      <c r="M73" s="126"/>
      <c r="N73" s="126">
        <f t="shared" si="25"/>
        <v>16681824.720000001</v>
      </c>
      <c r="O73" s="27"/>
      <c r="P73" s="43"/>
    </row>
    <row r="74" spans="1:16" ht="276" thickTop="1" thickBot="1" x14ac:dyDescent="0.25">
      <c r="A74" s="17" t="s">
        <v>227</v>
      </c>
      <c r="B74" s="17" t="s">
        <v>228</v>
      </c>
      <c r="C74" s="17" t="s">
        <v>76</v>
      </c>
      <c r="D74" s="17" t="s">
        <v>229</v>
      </c>
      <c r="E74" s="120">
        <v>27961120</v>
      </c>
      <c r="F74" s="120">
        <v>13041860</v>
      </c>
      <c r="G74" s="120">
        <v>12722219.66</v>
      </c>
      <c r="H74" s="119">
        <f t="shared" si="24"/>
        <v>0.97549119987486443</v>
      </c>
      <c r="I74" s="120">
        <v>387804.62</v>
      </c>
      <c r="J74" s="120">
        <v>312610.42</v>
      </c>
      <c r="K74" s="119">
        <f t="shared" si="32"/>
        <v>0.80610287726845542</v>
      </c>
      <c r="L74" s="120"/>
      <c r="M74" s="130"/>
      <c r="N74" s="120">
        <f t="shared" si="25"/>
        <v>13034830.08</v>
      </c>
      <c r="P74" s="37"/>
    </row>
    <row r="75" spans="1:16" ht="138.75" thickTop="1" thickBot="1" x14ac:dyDescent="0.25">
      <c r="A75" s="17" t="s">
        <v>230</v>
      </c>
      <c r="B75" s="17" t="s">
        <v>231</v>
      </c>
      <c r="C75" s="17" t="s">
        <v>72</v>
      </c>
      <c r="D75" s="17" t="s">
        <v>232</v>
      </c>
      <c r="E75" s="120">
        <v>7542090</v>
      </c>
      <c r="F75" s="120">
        <v>3643266</v>
      </c>
      <c r="G75" s="120">
        <v>3563016.64</v>
      </c>
      <c r="H75" s="119">
        <f t="shared" si="24"/>
        <v>0.97797323610189324</v>
      </c>
      <c r="I75" s="120">
        <v>87800.02</v>
      </c>
      <c r="J75" s="120">
        <v>83978</v>
      </c>
      <c r="K75" s="119">
        <f t="shared" si="32"/>
        <v>0.95646903041707731</v>
      </c>
      <c r="L75" s="120"/>
      <c r="M75" s="130"/>
      <c r="N75" s="120">
        <f t="shared" si="25"/>
        <v>3646994.64</v>
      </c>
      <c r="P75" s="37"/>
    </row>
    <row r="76" spans="1:16" ht="138.75" thickTop="1" thickBot="1" x14ac:dyDescent="0.25">
      <c r="A76" s="17"/>
      <c r="B76" s="29" t="s">
        <v>307</v>
      </c>
      <c r="C76" s="29"/>
      <c r="D76" s="29" t="s">
        <v>308</v>
      </c>
      <c r="E76" s="133">
        <f t="shared" ref="E76:G76" si="33">E77</f>
        <v>5303095</v>
      </c>
      <c r="F76" s="133">
        <f t="shared" si="33"/>
        <v>2765035</v>
      </c>
      <c r="G76" s="133">
        <f t="shared" si="33"/>
        <v>2533301.2000000002</v>
      </c>
      <c r="H76" s="127">
        <f t="shared" si="24"/>
        <v>0.91619136828286085</v>
      </c>
      <c r="I76" s="133"/>
      <c r="J76" s="133"/>
      <c r="K76" s="119"/>
      <c r="L76" s="134"/>
      <c r="M76" s="134"/>
      <c r="N76" s="126">
        <f t="shared" si="25"/>
        <v>2533301.2000000002</v>
      </c>
      <c r="O76" s="75" t="s">
        <v>464</v>
      </c>
      <c r="P76" s="37"/>
    </row>
    <row r="77" spans="1:16" ht="138.75" thickTop="1" thickBot="1" x14ac:dyDescent="0.25">
      <c r="A77" s="17"/>
      <c r="B77" s="17" t="s">
        <v>309</v>
      </c>
      <c r="C77" s="17" t="s">
        <v>147</v>
      </c>
      <c r="D77" s="17" t="s">
        <v>310</v>
      </c>
      <c r="E77" s="117">
        <v>5303095</v>
      </c>
      <c r="F77" s="117">
        <v>2765035</v>
      </c>
      <c r="G77" s="117">
        <v>2533301.2000000002</v>
      </c>
      <c r="H77" s="119">
        <f t="shared" si="24"/>
        <v>0.91619136828286085</v>
      </c>
      <c r="I77" s="117"/>
      <c r="J77" s="118"/>
      <c r="K77" s="118"/>
      <c r="L77" s="132"/>
      <c r="M77" s="125"/>
      <c r="N77" s="120">
        <f t="shared" si="25"/>
        <v>2533301.2000000002</v>
      </c>
      <c r="P77" s="37"/>
    </row>
    <row r="78" spans="1:16" ht="93" thickTop="1" thickBot="1" x14ac:dyDescent="0.25">
      <c r="A78" s="17"/>
      <c r="B78" s="29" t="s">
        <v>311</v>
      </c>
      <c r="C78" s="29"/>
      <c r="D78" s="29" t="s">
        <v>312</v>
      </c>
      <c r="E78" s="135">
        <f t="shared" ref="E78:G78" si="34">SUM(E79:E80)</f>
        <v>11215096</v>
      </c>
      <c r="F78" s="135">
        <f t="shared" si="34"/>
        <v>6423253</v>
      </c>
      <c r="G78" s="135">
        <f t="shared" si="34"/>
        <v>5508444.7000000002</v>
      </c>
      <c r="H78" s="127">
        <f t="shared" si="24"/>
        <v>0.85757865990955051</v>
      </c>
      <c r="I78" s="135">
        <f t="shared" ref="I78:J78" si="35">SUM(I79:I80)</f>
        <v>1974099.76</v>
      </c>
      <c r="J78" s="135">
        <f t="shared" si="35"/>
        <v>1558379.84</v>
      </c>
      <c r="K78" s="119">
        <f t="shared" ref="K78:K80" si="36">J78/I78</f>
        <v>0.78941291193916163</v>
      </c>
      <c r="L78" s="101"/>
      <c r="M78" s="101"/>
      <c r="N78" s="126">
        <f t="shared" si="25"/>
        <v>7066824.54</v>
      </c>
      <c r="P78" s="37"/>
    </row>
    <row r="79" spans="1:16" ht="93" thickTop="1" thickBot="1" x14ac:dyDescent="0.25">
      <c r="A79" s="17"/>
      <c r="B79" s="17" t="s">
        <v>313</v>
      </c>
      <c r="C79" s="17" t="s">
        <v>147</v>
      </c>
      <c r="D79" s="17" t="s">
        <v>314</v>
      </c>
      <c r="E79" s="117">
        <v>4435310</v>
      </c>
      <c r="F79" s="117">
        <v>2315670</v>
      </c>
      <c r="G79" s="117">
        <v>2073060.36</v>
      </c>
      <c r="H79" s="119">
        <f t="shared" si="24"/>
        <v>0.8952313412532874</v>
      </c>
      <c r="I79" s="117">
        <v>1058957</v>
      </c>
      <c r="J79" s="118">
        <v>647178.28</v>
      </c>
      <c r="K79" s="119">
        <f t="shared" si="36"/>
        <v>0.61114689265003208</v>
      </c>
      <c r="L79" s="99"/>
      <c r="M79" s="91"/>
      <c r="N79" s="120">
        <f t="shared" si="25"/>
        <v>2720238.64</v>
      </c>
      <c r="P79" s="37"/>
    </row>
    <row r="80" spans="1:16" ht="93" thickTop="1" thickBot="1" x14ac:dyDescent="0.25">
      <c r="A80" s="17"/>
      <c r="B80" s="17" t="s">
        <v>315</v>
      </c>
      <c r="C80" s="17" t="s">
        <v>147</v>
      </c>
      <c r="D80" s="17" t="s">
        <v>316</v>
      </c>
      <c r="E80" s="117">
        <v>6779786</v>
      </c>
      <c r="F80" s="117">
        <v>4107583</v>
      </c>
      <c r="G80" s="117">
        <v>3435384.34</v>
      </c>
      <c r="H80" s="119">
        <f t="shared" si="24"/>
        <v>0.8363517767017733</v>
      </c>
      <c r="I80" s="117">
        <v>915142.76</v>
      </c>
      <c r="J80" s="118">
        <v>911201.56</v>
      </c>
      <c r="K80" s="119">
        <f t="shared" si="36"/>
        <v>0.99569334952723665</v>
      </c>
      <c r="L80" s="99"/>
      <c r="M80" s="91"/>
      <c r="N80" s="120">
        <f t="shared" si="25"/>
        <v>4346585.9000000004</v>
      </c>
      <c r="P80" s="37"/>
    </row>
    <row r="81" spans="1:16" ht="409.6" thickTop="1" thickBot="1" x14ac:dyDescent="0.25">
      <c r="A81" s="17" t="s">
        <v>233</v>
      </c>
      <c r="B81" s="17" t="s">
        <v>234</v>
      </c>
      <c r="C81" s="17" t="s">
        <v>72</v>
      </c>
      <c r="D81" s="17" t="s">
        <v>235</v>
      </c>
      <c r="E81" s="120">
        <v>2242695</v>
      </c>
      <c r="F81" s="120">
        <v>1000600</v>
      </c>
      <c r="G81" s="120">
        <v>942153.42</v>
      </c>
      <c r="H81" s="119">
        <f t="shared" si="24"/>
        <v>0.9415884669198481</v>
      </c>
      <c r="I81" s="131"/>
      <c r="J81" s="120"/>
      <c r="K81" s="120"/>
      <c r="L81" s="124"/>
      <c r="M81" s="125"/>
      <c r="N81" s="120">
        <f t="shared" si="25"/>
        <v>942153.42</v>
      </c>
      <c r="P81" s="42"/>
    </row>
    <row r="82" spans="1:16" ht="138.75" thickTop="1" thickBot="1" x14ac:dyDescent="0.25">
      <c r="A82" s="29" t="s">
        <v>236</v>
      </c>
      <c r="B82" s="29" t="s">
        <v>237</v>
      </c>
      <c r="C82" s="29"/>
      <c r="D82" s="29" t="s">
        <v>238</v>
      </c>
      <c r="E82" s="126">
        <f>E83</f>
        <v>147491</v>
      </c>
      <c r="F82" s="126">
        <f t="shared" ref="F82:G82" si="37">F83</f>
        <v>73745</v>
      </c>
      <c r="G82" s="126">
        <f t="shared" si="37"/>
        <v>70343.25</v>
      </c>
      <c r="H82" s="127">
        <f t="shared" si="24"/>
        <v>0.95387144891179065</v>
      </c>
      <c r="I82" s="126"/>
      <c r="J82" s="126"/>
      <c r="K82" s="127"/>
      <c r="L82" s="128"/>
      <c r="M82" s="128"/>
      <c r="N82" s="126">
        <f t="shared" si="25"/>
        <v>70343.25</v>
      </c>
      <c r="O82" s="75" t="s">
        <v>464</v>
      </c>
      <c r="P82" s="42"/>
    </row>
    <row r="83" spans="1:16" ht="276" thickTop="1" thickBot="1" x14ac:dyDescent="0.25">
      <c r="A83" s="17" t="s">
        <v>239</v>
      </c>
      <c r="B83" s="17" t="s">
        <v>240</v>
      </c>
      <c r="C83" s="17" t="s">
        <v>72</v>
      </c>
      <c r="D83" s="17" t="s">
        <v>241</v>
      </c>
      <c r="E83" s="120">
        <v>147491</v>
      </c>
      <c r="F83" s="120">
        <v>73745</v>
      </c>
      <c r="G83" s="120">
        <v>70343.25</v>
      </c>
      <c r="H83" s="119">
        <f t="shared" si="24"/>
        <v>0.95387144891179065</v>
      </c>
      <c r="I83" s="131"/>
      <c r="J83" s="120"/>
      <c r="K83" s="120"/>
      <c r="L83" s="124"/>
      <c r="M83" s="125"/>
      <c r="N83" s="120">
        <f t="shared" si="25"/>
        <v>70343.25</v>
      </c>
      <c r="P83" s="42"/>
    </row>
    <row r="84" spans="1:16" ht="367.5" thickTop="1" thickBot="1" x14ac:dyDescent="0.25">
      <c r="A84" s="17" t="s">
        <v>242</v>
      </c>
      <c r="B84" s="17" t="s">
        <v>243</v>
      </c>
      <c r="C84" s="17" t="s">
        <v>92</v>
      </c>
      <c r="D84" s="17" t="s">
        <v>244</v>
      </c>
      <c r="E84" s="120">
        <v>2625425</v>
      </c>
      <c r="F84" s="120">
        <v>1340000</v>
      </c>
      <c r="G84" s="120">
        <v>1335344.74</v>
      </c>
      <c r="H84" s="119">
        <f t="shared" si="24"/>
        <v>0.99652592537313434</v>
      </c>
      <c r="I84" s="131"/>
      <c r="J84" s="120"/>
      <c r="K84" s="120"/>
      <c r="L84" s="124"/>
      <c r="M84" s="125"/>
      <c r="N84" s="120">
        <f t="shared" si="25"/>
        <v>1335344.74</v>
      </c>
      <c r="P84" s="42"/>
    </row>
    <row r="85" spans="1:16" s="23" customFormat="1" ht="123" thickTop="1" thickBot="1" x14ac:dyDescent="0.25">
      <c r="A85" s="29" t="s">
        <v>245</v>
      </c>
      <c r="B85" s="29" t="s">
        <v>246</v>
      </c>
      <c r="C85" s="29"/>
      <c r="D85" s="29" t="s">
        <v>247</v>
      </c>
      <c r="E85" s="126">
        <f t="shared" ref="E85:G85" si="38">E86</f>
        <v>500000</v>
      </c>
      <c r="F85" s="126">
        <f t="shared" si="38"/>
        <v>249996</v>
      </c>
      <c r="G85" s="126">
        <f t="shared" si="38"/>
        <v>129000</v>
      </c>
      <c r="H85" s="127">
        <f t="shared" si="24"/>
        <v>0.51600825613209811</v>
      </c>
      <c r="I85" s="126"/>
      <c r="J85" s="126"/>
      <c r="K85" s="127"/>
      <c r="L85" s="128"/>
      <c r="M85" s="128"/>
      <c r="N85" s="126">
        <f>G85+J85</f>
        <v>129000</v>
      </c>
      <c r="O85" s="75" t="s">
        <v>464</v>
      </c>
      <c r="P85" s="43"/>
    </row>
    <row r="86" spans="1:16" ht="230.25" thickTop="1" thickBot="1" x14ac:dyDescent="0.25">
      <c r="A86" s="17" t="s">
        <v>248</v>
      </c>
      <c r="B86" s="17" t="s">
        <v>249</v>
      </c>
      <c r="C86" s="17" t="s">
        <v>87</v>
      </c>
      <c r="D86" s="17" t="s">
        <v>250</v>
      </c>
      <c r="E86" s="120">
        <f>(500000)</f>
        <v>500000</v>
      </c>
      <c r="F86" s="120">
        <v>249996</v>
      </c>
      <c r="G86" s="120">
        <v>129000</v>
      </c>
      <c r="H86" s="119">
        <f t="shared" si="24"/>
        <v>0.51600825613209811</v>
      </c>
      <c r="I86" s="120"/>
      <c r="J86" s="120"/>
      <c r="K86" s="120"/>
      <c r="L86" s="124"/>
      <c r="M86" s="125"/>
      <c r="N86" s="120">
        <f t="shared" si="25"/>
        <v>129000</v>
      </c>
      <c r="P86" s="42"/>
    </row>
    <row r="87" spans="1:16" s="23" customFormat="1" ht="184.5" thickTop="1" thickBot="1" x14ac:dyDescent="0.25">
      <c r="A87" s="29" t="s">
        <v>251</v>
      </c>
      <c r="B87" s="29" t="s">
        <v>252</v>
      </c>
      <c r="C87" s="29"/>
      <c r="D87" s="29" t="s">
        <v>253</v>
      </c>
      <c r="E87" s="126">
        <f t="shared" ref="E87:J87" si="39">E88</f>
        <v>100040</v>
      </c>
      <c r="F87" s="126">
        <f t="shared" si="39"/>
        <v>100040</v>
      </c>
      <c r="G87" s="126">
        <f t="shared" si="39"/>
        <v>39617.949999999997</v>
      </c>
      <c r="H87" s="127">
        <f t="shared" si="24"/>
        <v>0.39602109156337462</v>
      </c>
      <c r="I87" s="126">
        <f t="shared" si="39"/>
        <v>17822.330000000002</v>
      </c>
      <c r="J87" s="126">
        <f t="shared" si="39"/>
        <v>17822.330000000002</v>
      </c>
      <c r="K87" s="119">
        <f t="shared" ref="K87:K91" si="40">J87/I87</f>
        <v>1</v>
      </c>
      <c r="L87" s="128"/>
      <c r="M87" s="128"/>
      <c r="N87" s="126">
        <f t="shared" si="25"/>
        <v>57440.28</v>
      </c>
      <c r="O87" s="75" t="s">
        <v>464</v>
      </c>
      <c r="P87" s="43"/>
    </row>
    <row r="88" spans="1:16" ht="93" thickTop="1" thickBot="1" x14ac:dyDescent="0.25">
      <c r="A88" s="17" t="s">
        <v>254</v>
      </c>
      <c r="B88" s="17" t="s">
        <v>255</v>
      </c>
      <c r="C88" s="17" t="s">
        <v>256</v>
      </c>
      <c r="D88" s="17" t="s">
        <v>257</v>
      </c>
      <c r="E88" s="120">
        <v>100040</v>
      </c>
      <c r="F88" s="120">
        <v>100040</v>
      </c>
      <c r="G88" s="120">
        <v>39617.949999999997</v>
      </c>
      <c r="H88" s="119">
        <f t="shared" si="24"/>
        <v>0.39602109156337462</v>
      </c>
      <c r="I88" s="120">
        <v>17822.330000000002</v>
      </c>
      <c r="J88" s="120">
        <v>17822.330000000002</v>
      </c>
      <c r="K88" s="119">
        <f t="shared" si="40"/>
        <v>1</v>
      </c>
      <c r="L88" s="124"/>
      <c r="M88" s="125"/>
      <c r="N88" s="120">
        <f t="shared" si="25"/>
        <v>57440.28</v>
      </c>
      <c r="P88" s="42"/>
    </row>
    <row r="89" spans="1:16" s="23" customFormat="1" ht="48" thickTop="1" thickBot="1" x14ac:dyDescent="0.25">
      <c r="A89" s="29" t="s">
        <v>258</v>
      </c>
      <c r="B89" s="29" t="s">
        <v>259</v>
      </c>
      <c r="C89" s="29"/>
      <c r="D89" s="29" t="s">
        <v>260</v>
      </c>
      <c r="E89" s="126">
        <f t="shared" ref="E89:J89" si="41">SUM(E90:E91)</f>
        <v>35626145</v>
      </c>
      <c r="F89" s="126">
        <f t="shared" si="41"/>
        <v>25474480</v>
      </c>
      <c r="G89" s="126">
        <f t="shared" si="41"/>
        <v>23147917.760000002</v>
      </c>
      <c r="H89" s="127">
        <f t="shared" si="24"/>
        <v>0.90867086433167632</v>
      </c>
      <c r="I89" s="126">
        <f t="shared" si="41"/>
        <v>902361.98</v>
      </c>
      <c r="J89" s="126">
        <f t="shared" si="41"/>
        <v>554290.84</v>
      </c>
      <c r="K89" s="127">
        <f t="shared" si="40"/>
        <v>0.61426661615330913</v>
      </c>
      <c r="L89" s="128"/>
      <c r="M89" s="128"/>
      <c r="N89" s="126">
        <f t="shared" si="25"/>
        <v>23702208.600000001</v>
      </c>
      <c r="O89" s="27"/>
      <c r="P89" s="43"/>
    </row>
    <row r="90" spans="1:16" ht="184.5" thickTop="1" thickBot="1" x14ac:dyDescent="0.25">
      <c r="A90" s="17" t="s">
        <v>261</v>
      </c>
      <c r="B90" s="17" t="s">
        <v>262</v>
      </c>
      <c r="C90" s="17" t="s">
        <v>103</v>
      </c>
      <c r="D90" s="35" t="s">
        <v>263</v>
      </c>
      <c r="E90" s="120">
        <v>7847022</v>
      </c>
      <c r="F90" s="117">
        <v>3811951</v>
      </c>
      <c r="G90" s="117">
        <v>3710199.57</v>
      </c>
      <c r="H90" s="119">
        <f t="shared" si="24"/>
        <v>0.97330725657281525</v>
      </c>
      <c r="I90" s="120">
        <v>752361.98</v>
      </c>
      <c r="J90" s="120">
        <v>518246.3</v>
      </c>
      <c r="K90" s="119">
        <f t="shared" si="40"/>
        <v>0.68882574316155631</v>
      </c>
      <c r="L90" s="124"/>
      <c r="M90" s="125"/>
      <c r="N90" s="120">
        <f t="shared" si="25"/>
        <v>4228445.87</v>
      </c>
      <c r="P90" s="37"/>
    </row>
    <row r="91" spans="1:16" ht="138.75" thickTop="1" thickBot="1" x14ac:dyDescent="0.25">
      <c r="A91" s="17" t="s">
        <v>264</v>
      </c>
      <c r="B91" s="17" t="s">
        <v>265</v>
      </c>
      <c r="C91" s="17" t="s">
        <v>103</v>
      </c>
      <c r="D91" s="35" t="s">
        <v>266</v>
      </c>
      <c r="E91" s="120">
        <v>27779123</v>
      </c>
      <c r="F91" s="120">
        <v>21662529</v>
      </c>
      <c r="G91" s="120">
        <v>19437718.190000001</v>
      </c>
      <c r="H91" s="119">
        <f t="shared" si="24"/>
        <v>0.89729681100484626</v>
      </c>
      <c r="I91" s="120">
        <v>150000</v>
      </c>
      <c r="J91" s="120">
        <v>36044.54</v>
      </c>
      <c r="K91" s="119">
        <f t="shared" si="40"/>
        <v>0.24029693333333335</v>
      </c>
      <c r="L91" s="124"/>
      <c r="M91" s="125"/>
      <c r="N91" s="120">
        <f t="shared" si="25"/>
        <v>19473762.73</v>
      </c>
      <c r="P91" s="37"/>
    </row>
    <row r="92" spans="1:16" s="11" customFormat="1" ht="92.25" customHeight="1" thickTop="1" thickBot="1" x14ac:dyDescent="0.25">
      <c r="A92" s="8" t="s">
        <v>279</v>
      </c>
      <c r="B92" s="12" t="s">
        <v>280</v>
      </c>
      <c r="C92" s="12"/>
      <c r="D92" s="13" t="s">
        <v>281</v>
      </c>
      <c r="E92" s="121">
        <f>SUM(E93:E99)-E97</f>
        <v>53635485</v>
      </c>
      <c r="F92" s="121">
        <f t="shared" ref="F92:J92" si="42">SUM(F93:F99)-F97</f>
        <v>30084583.34</v>
      </c>
      <c r="G92" s="121">
        <f t="shared" si="42"/>
        <v>27841419.140000001</v>
      </c>
      <c r="H92" s="122">
        <f>G92/F92</f>
        <v>0.92543808319866205</v>
      </c>
      <c r="I92" s="121">
        <f t="shared" si="42"/>
        <v>7442174.5899999999</v>
      </c>
      <c r="J92" s="121">
        <f t="shared" si="42"/>
        <v>2891536.5100000002</v>
      </c>
      <c r="K92" s="122">
        <f>J92/I92</f>
        <v>0.38853381831237049</v>
      </c>
      <c r="L92" s="121"/>
      <c r="M92" s="121"/>
      <c r="N92" s="123">
        <f>J92+G92</f>
        <v>30732955.650000002</v>
      </c>
      <c r="O92" s="14" t="b">
        <f>N92=N93+N94+N95+N96+N98+N99</f>
        <v>1</v>
      </c>
      <c r="P92" s="42"/>
    </row>
    <row r="93" spans="1:16" ht="48" thickTop="1" thickBot="1" x14ac:dyDescent="0.25">
      <c r="A93" s="17" t="s">
        <v>282</v>
      </c>
      <c r="B93" s="17" t="s">
        <v>283</v>
      </c>
      <c r="C93" s="17" t="s">
        <v>284</v>
      </c>
      <c r="D93" s="17" t="s">
        <v>285</v>
      </c>
      <c r="E93" s="120">
        <v>1030790</v>
      </c>
      <c r="F93" s="120">
        <v>504300</v>
      </c>
      <c r="G93" s="120">
        <v>437706.17</v>
      </c>
      <c r="H93" s="119">
        <f t="shared" ref="H93:H114" si="43">G93/F93</f>
        <v>0.86794798730914136</v>
      </c>
      <c r="I93" s="92"/>
      <c r="J93" s="92"/>
      <c r="K93" s="92"/>
      <c r="L93" s="94"/>
      <c r="M93" s="91"/>
      <c r="N93" s="120">
        <f t="shared" ref="N93:N114" si="44">G93+J93</f>
        <v>437706.17</v>
      </c>
      <c r="P93" s="42"/>
    </row>
    <row r="94" spans="1:16" ht="93" thickTop="1" thickBot="1" x14ac:dyDescent="0.25">
      <c r="A94" s="17" t="s">
        <v>286</v>
      </c>
      <c r="B94" s="17" t="s">
        <v>287</v>
      </c>
      <c r="C94" s="17" t="s">
        <v>288</v>
      </c>
      <c r="D94" s="17" t="s">
        <v>289</v>
      </c>
      <c r="E94" s="120">
        <v>13756395</v>
      </c>
      <c r="F94" s="120">
        <v>7009801</v>
      </c>
      <c r="G94" s="120">
        <v>6870920.3200000003</v>
      </c>
      <c r="H94" s="119">
        <f t="shared" si="43"/>
        <v>0.98018764298729744</v>
      </c>
      <c r="I94" s="120">
        <v>1168416</v>
      </c>
      <c r="J94" s="120">
        <v>251521.07</v>
      </c>
      <c r="K94" s="119">
        <f t="shared" ref="K94:K98" si="45">J94/I94</f>
        <v>0.21526671151370746</v>
      </c>
      <c r="L94" s="124"/>
      <c r="M94" s="125"/>
      <c r="N94" s="120">
        <f t="shared" si="44"/>
        <v>7122441.3900000006</v>
      </c>
      <c r="P94" s="37"/>
    </row>
    <row r="95" spans="1:16" ht="93" thickTop="1" thickBot="1" x14ac:dyDescent="0.25">
      <c r="A95" s="17" t="s">
        <v>290</v>
      </c>
      <c r="B95" s="17" t="s">
        <v>291</v>
      </c>
      <c r="C95" s="17" t="s">
        <v>288</v>
      </c>
      <c r="D95" s="17" t="s">
        <v>292</v>
      </c>
      <c r="E95" s="120">
        <f>(1328500+292270+14055+20330+139800+4305+53715+3980)</f>
        <v>1856955</v>
      </c>
      <c r="F95" s="120">
        <v>908133</v>
      </c>
      <c r="G95" s="120">
        <v>869533.67</v>
      </c>
      <c r="H95" s="119">
        <f t="shared" si="43"/>
        <v>0.95749595048302405</v>
      </c>
      <c r="I95" s="120">
        <v>5245100</v>
      </c>
      <c r="J95" s="120">
        <v>2086292.32</v>
      </c>
      <c r="K95" s="119">
        <f t="shared" si="45"/>
        <v>0.39776025623915656</v>
      </c>
      <c r="L95" s="124"/>
      <c r="M95" s="125"/>
      <c r="N95" s="120">
        <f t="shared" si="44"/>
        <v>2955825.99</v>
      </c>
      <c r="P95" s="37"/>
    </row>
    <row r="96" spans="1:16" ht="184.5" thickTop="1" thickBot="1" x14ac:dyDescent="0.25">
      <c r="A96" s="17" t="s">
        <v>293</v>
      </c>
      <c r="B96" s="17" t="s">
        <v>294</v>
      </c>
      <c r="C96" s="17" t="s">
        <v>295</v>
      </c>
      <c r="D96" s="17" t="s">
        <v>296</v>
      </c>
      <c r="E96" s="120">
        <v>13492915</v>
      </c>
      <c r="F96" s="120">
        <v>6900320</v>
      </c>
      <c r="G96" s="120">
        <v>5341820.4400000004</v>
      </c>
      <c r="H96" s="119">
        <f t="shared" si="43"/>
        <v>0.77414097317225872</v>
      </c>
      <c r="I96" s="120">
        <v>602200</v>
      </c>
      <c r="J96" s="120">
        <v>234494.91</v>
      </c>
      <c r="K96" s="119">
        <f t="shared" si="45"/>
        <v>0.38939706077715047</v>
      </c>
      <c r="L96" s="124"/>
      <c r="M96" s="125"/>
      <c r="N96" s="120">
        <f t="shared" si="44"/>
        <v>5576315.3500000006</v>
      </c>
      <c r="P96" s="37"/>
    </row>
    <row r="97" spans="1:16" ht="93" thickTop="1" thickBot="1" x14ac:dyDescent="0.25">
      <c r="A97" s="29" t="s">
        <v>297</v>
      </c>
      <c r="B97" s="29" t="s">
        <v>298</v>
      </c>
      <c r="C97" s="29"/>
      <c r="D97" s="29" t="s">
        <v>299</v>
      </c>
      <c r="E97" s="126">
        <f t="shared" ref="E97:J97" si="46">SUM(E98:E99)</f>
        <v>23498430</v>
      </c>
      <c r="F97" s="126">
        <f t="shared" si="46"/>
        <v>14762029.34</v>
      </c>
      <c r="G97" s="126">
        <f t="shared" si="46"/>
        <v>14321438.540000001</v>
      </c>
      <c r="H97" s="127">
        <f t="shared" si="43"/>
        <v>0.97015377832869154</v>
      </c>
      <c r="I97" s="126">
        <f t="shared" si="46"/>
        <v>426458.59</v>
      </c>
      <c r="J97" s="126">
        <f t="shared" si="46"/>
        <v>319228.21000000002</v>
      </c>
      <c r="K97" s="127">
        <f t="shared" si="45"/>
        <v>0.74855617282794096</v>
      </c>
      <c r="L97" s="97"/>
      <c r="M97" s="97"/>
      <c r="N97" s="126">
        <f t="shared" si="44"/>
        <v>14640666.750000002</v>
      </c>
      <c r="P97" s="37"/>
    </row>
    <row r="98" spans="1:16" ht="138.75" thickTop="1" thickBot="1" x14ac:dyDescent="0.25">
      <c r="A98" s="17" t="s">
        <v>300</v>
      </c>
      <c r="B98" s="17" t="s">
        <v>301</v>
      </c>
      <c r="C98" s="17" t="s">
        <v>302</v>
      </c>
      <c r="D98" s="17" t="s">
        <v>303</v>
      </c>
      <c r="E98" s="120">
        <v>19182270</v>
      </c>
      <c r="F98" s="120">
        <v>11119669.34</v>
      </c>
      <c r="G98" s="120">
        <v>10810521.640000001</v>
      </c>
      <c r="H98" s="119">
        <f t="shared" si="43"/>
        <v>0.97219812113585746</v>
      </c>
      <c r="I98" s="120">
        <v>426458.59</v>
      </c>
      <c r="J98" s="120">
        <v>319228.21000000002</v>
      </c>
      <c r="K98" s="119">
        <f t="shared" si="45"/>
        <v>0.74855617282794096</v>
      </c>
      <c r="L98" s="124"/>
      <c r="M98" s="125"/>
      <c r="N98" s="120">
        <f t="shared" si="44"/>
        <v>11129749.850000001</v>
      </c>
      <c r="P98" s="42"/>
    </row>
    <row r="99" spans="1:16" ht="93" thickTop="1" thickBot="1" x14ac:dyDescent="0.25">
      <c r="A99" s="17" t="s">
        <v>304</v>
      </c>
      <c r="B99" s="17" t="s">
        <v>305</v>
      </c>
      <c r="C99" s="17" t="s">
        <v>302</v>
      </c>
      <c r="D99" s="17" t="s">
        <v>306</v>
      </c>
      <c r="E99" s="120">
        <f>(1195320+2805840+315000)</f>
        <v>4316160</v>
      </c>
      <c r="F99" s="120">
        <v>3642360</v>
      </c>
      <c r="G99" s="120">
        <v>3510916.9</v>
      </c>
      <c r="H99" s="119">
        <f t="shared" si="43"/>
        <v>0.96391265553102934</v>
      </c>
      <c r="I99" s="92"/>
      <c r="J99" s="92"/>
      <c r="K99" s="92"/>
      <c r="L99" s="94"/>
      <c r="M99" s="91"/>
      <c r="N99" s="120">
        <f t="shared" si="44"/>
        <v>3510916.9</v>
      </c>
      <c r="P99" s="42"/>
    </row>
    <row r="100" spans="1:16" ht="77.25" customHeight="1" thickTop="1" thickBot="1" x14ac:dyDescent="0.25">
      <c r="A100" s="8" t="s">
        <v>317</v>
      </c>
      <c r="B100" s="12" t="s">
        <v>318</v>
      </c>
      <c r="C100" s="12"/>
      <c r="D100" s="13" t="s">
        <v>319</v>
      </c>
      <c r="E100" s="121">
        <f>SUM(E101:E114)-E101-E104-E106-E111-E109</f>
        <v>71270651</v>
      </c>
      <c r="F100" s="121">
        <f>SUM(F101:F114)-F101-F104-F106-F111-F109</f>
        <v>40848864</v>
      </c>
      <c r="G100" s="121">
        <f>SUM(G101:G114)-G101-G104-G106-G111-G109</f>
        <v>37616294.099999994</v>
      </c>
      <c r="H100" s="122">
        <f>G100/F100</f>
        <v>0.92086512124302877</v>
      </c>
      <c r="I100" s="121">
        <f>SUM(I101:I114)-I101-I104-I106-I111-I109</f>
        <v>116257766.69</v>
      </c>
      <c r="J100" s="121">
        <f>SUM(J101:J114)-J101-J104-J106-J111-J109</f>
        <v>18254615.060000006</v>
      </c>
      <c r="K100" s="122">
        <f>J100/I100</f>
        <v>0.15701845631247785</v>
      </c>
      <c r="L100" s="121"/>
      <c r="M100" s="121"/>
      <c r="N100" s="123">
        <f>J100+G100</f>
        <v>55870909.159999996</v>
      </c>
      <c r="O100" s="14" t="b">
        <f>N100=N102+N103+N105+N107+N108+N110+N112+N113+N114</f>
        <v>1</v>
      </c>
      <c r="P100" s="37"/>
    </row>
    <row r="101" spans="1:16" s="23" customFormat="1" ht="123" thickTop="1" thickBot="1" x14ac:dyDescent="0.25">
      <c r="A101" s="29" t="s">
        <v>320</v>
      </c>
      <c r="B101" s="29" t="s">
        <v>321</v>
      </c>
      <c r="C101" s="29"/>
      <c r="D101" s="29" t="s">
        <v>322</v>
      </c>
      <c r="E101" s="135">
        <f t="shared" ref="E101:G101" si="47">SUM(E102:E103)</f>
        <v>14074487</v>
      </c>
      <c r="F101" s="135">
        <f t="shared" si="47"/>
        <v>8536904</v>
      </c>
      <c r="G101" s="135">
        <f t="shared" si="47"/>
        <v>8285273.8399999999</v>
      </c>
      <c r="H101" s="127">
        <f t="shared" si="43"/>
        <v>0.97052442431120223</v>
      </c>
      <c r="I101" s="100"/>
      <c r="J101" s="100"/>
      <c r="K101" s="96"/>
      <c r="L101" s="100"/>
      <c r="M101" s="100"/>
      <c r="N101" s="126">
        <f t="shared" si="44"/>
        <v>8285273.8399999999</v>
      </c>
      <c r="O101" s="75" t="s">
        <v>464</v>
      </c>
      <c r="P101" s="46"/>
    </row>
    <row r="102" spans="1:16" s="51" customFormat="1" ht="138.75" thickTop="1" thickBot="1" x14ac:dyDescent="0.25">
      <c r="A102" s="17" t="s">
        <v>323</v>
      </c>
      <c r="B102" s="17" t="s">
        <v>324</v>
      </c>
      <c r="C102" s="17" t="s">
        <v>325</v>
      </c>
      <c r="D102" s="17" t="s">
        <v>326</v>
      </c>
      <c r="E102" s="117">
        <v>12164902</v>
      </c>
      <c r="F102" s="120">
        <v>7408993</v>
      </c>
      <c r="G102" s="120">
        <v>7196399.54</v>
      </c>
      <c r="H102" s="119">
        <f t="shared" si="43"/>
        <v>0.97130602498882102</v>
      </c>
      <c r="I102" s="92"/>
      <c r="J102" s="92"/>
      <c r="K102" s="92"/>
      <c r="L102" s="94"/>
      <c r="M102" s="91"/>
      <c r="N102" s="120">
        <f t="shared" si="44"/>
        <v>7196399.54</v>
      </c>
      <c r="O102" s="49"/>
      <c r="P102" s="50"/>
    </row>
    <row r="103" spans="1:16" s="51" customFormat="1" ht="138.75" thickTop="1" thickBot="1" x14ac:dyDescent="0.25">
      <c r="A103" s="17" t="s">
        <v>327</v>
      </c>
      <c r="B103" s="17" t="s">
        <v>328</v>
      </c>
      <c r="C103" s="17" t="s">
        <v>325</v>
      </c>
      <c r="D103" s="17" t="s">
        <v>329</v>
      </c>
      <c r="E103" s="117">
        <v>1909585</v>
      </c>
      <c r="F103" s="120">
        <v>1127911</v>
      </c>
      <c r="G103" s="120">
        <v>1088874.3</v>
      </c>
      <c r="H103" s="119">
        <f t="shared" si="43"/>
        <v>0.96539026572132025</v>
      </c>
      <c r="I103" s="120"/>
      <c r="J103" s="120"/>
      <c r="K103" s="120"/>
      <c r="L103" s="124"/>
      <c r="M103" s="125"/>
      <c r="N103" s="120">
        <f t="shared" si="44"/>
        <v>1088874.3</v>
      </c>
      <c r="O103" s="49"/>
      <c r="P103" s="50"/>
    </row>
    <row r="104" spans="1:16" s="23" customFormat="1" ht="184.5" thickTop="1" thickBot="1" x14ac:dyDescent="0.25">
      <c r="A104" s="29" t="s">
        <v>330</v>
      </c>
      <c r="B104" s="29" t="s">
        <v>331</v>
      </c>
      <c r="C104" s="29"/>
      <c r="D104" s="29" t="s">
        <v>332</v>
      </c>
      <c r="E104" s="135">
        <f t="shared" ref="E104:G104" si="48">E105</f>
        <v>60300</v>
      </c>
      <c r="F104" s="135">
        <f t="shared" si="48"/>
        <v>28880</v>
      </c>
      <c r="G104" s="135">
        <f t="shared" si="48"/>
        <v>3780</v>
      </c>
      <c r="H104" s="127">
        <f t="shared" si="43"/>
        <v>0.13088642659279778</v>
      </c>
      <c r="I104" s="135"/>
      <c r="J104" s="135"/>
      <c r="K104" s="127"/>
      <c r="L104" s="135"/>
      <c r="M104" s="135"/>
      <c r="N104" s="126">
        <f t="shared" si="44"/>
        <v>3780</v>
      </c>
      <c r="O104" s="75" t="s">
        <v>464</v>
      </c>
      <c r="P104" s="52"/>
    </row>
    <row r="105" spans="1:16" s="51" customFormat="1" ht="184.5" thickTop="1" thickBot="1" x14ac:dyDescent="0.25">
      <c r="A105" s="17" t="s">
        <v>333</v>
      </c>
      <c r="B105" s="17" t="s">
        <v>334</v>
      </c>
      <c r="C105" s="17" t="s">
        <v>325</v>
      </c>
      <c r="D105" s="17" t="s">
        <v>335</v>
      </c>
      <c r="E105" s="117">
        <f>(4295+56005)</f>
        <v>60300</v>
      </c>
      <c r="F105" s="117">
        <v>28880</v>
      </c>
      <c r="G105" s="117">
        <v>3780</v>
      </c>
      <c r="H105" s="119">
        <f t="shared" si="43"/>
        <v>0.13088642659279778</v>
      </c>
      <c r="I105" s="120"/>
      <c r="J105" s="117"/>
      <c r="K105" s="117"/>
      <c r="L105" s="117"/>
      <c r="M105" s="130"/>
      <c r="N105" s="120">
        <f t="shared" si="44"/>
        <v>3780</v>
      </c>
      <c r="O105" s="49"/>
      <c r="P105" s="50"/>
    </row>
    <row r="106" spans="1:16" ht="93" thickTop="1" thickBot="1" x14ac:dyDescent="0.25">
      <c r="A106" s="29" t="s">
        <v>336</v>
      </c>
      <c r="B106" s="29" t="s">
        <v>337</v>
      </c>
      <c r="C106" s="29"/>
      <c r="D106" s="29" t="s">
        <v>338</v>
      </c>
      <c r="E106" s="135">
        <f t="shared" ref="E106:J106" si="49">SUM(E107:E108)</f>
        <v>52686293</v>
      </c>
      <c r="F106" s="135">
        <f t="shared" si="49"/>
        <v>29414181</v>
      </c>
      <c r="G106" s="135">
        <f t="shared" si="49"/>
        <v>27328108.370000001</v>
      </c>
      <c r="H106" s="127">
        <f t="shared" si="43"/>
        <v>0.9290793569945055</v>
      </c>
      <c r="I106" s="135">
        <f t="shared" si="49"/>
        <v>4227766.6900000004</v>
      </c>
      <c r="J106" s="135">
        <f t="shared" si="49"/>
        <v>1406553.3</v>
      </c>
      <c r="K106" s="127">
        <f t="shared" ref="K106:K111" si="50">J106/I106</f>
        <v>0.33269416293168247</v>
      </c>
      <c r="L106" s="101"/>
      <c r="M106" s="101"/>
      <c r="N106" s="126">
        <f t="shared" si="44"/>
        <v>28734661.670000002</v>
      </c>
      <c r="P106" s="37"/>
    </row>
    <row r="107" spans="1:16" s="51" customFormat="1" ht="184.5" thickTop="1" thickBot="1" x14ac:dyDescent="0.25">
      <c r="A107" s="17" t="s">
        <v>339</v>
      </c>
      <c r="B107" s="17" t="s">
        <v>340</v>
      </c>
      <c r="C107" s="17" t="s">
        <v>325</v>
      </c>
      <c r="D107" s="17" t="s">
        <v>341</v>
      </c>
      <c r="E107" s="117">
        <v>44588703</v>
      </c>
      <c r="F107" s="117">
        <v>24186510</v>
      </c>
      <c r="G107" s="117">
        <v>22774658.850000001</v>
      </c>
      <c r="H107" s="119">
        <f t="shared" si="43"/>
        <v>0.94162650378248047</v>
      </c>
      <c r="I107" s="117">
        <v>4212566.6900000004</v>
      </c>
      <c r="J107" s="117">
        <v>1391353.3</v>
      </c>
      <c r="K107" s="119">
        <f t="shared" si="50"/>
        <v>0.33028635565648456</v>
      </c>
      <c r="L107" s="136"/>
      <c r="M107" s="125"/>
      <c r="N107" s="120">
        <f t="shared" si="44"/>
        <v>24166012.150000002</v>
      </c>
      <c r="O107" s="49"/>
      <c r="P107" s="50"/>
    </row>
    <row r="108" spans="1:16" s="51" customFormat="1" ht="184.5" thickTop="1" thickBot="1" x14ac:dyDescent="0.25">
      <c r="A108" s="17" t="s">
        <v>342</v>
      </c>
      <c r="B108" s="17" t="s">
        <v>343</v>
      </c>
      <c r="C108" s="17" t="s">
        <v>325</v>
      </c>
      <c r="D108" s="17" t="s">
        <v>344</v>
      </c>
      <c r="E108" s="117">
        <v>8097590</v>
      </c>
      <c r="F108" s="117">
        <v>5227671</v>
      </c>
      <c r="G108" s="117">
        <v>4553449.5199999996</v>
      </c>
      <c r="H108" s="119">
        <f t="shared" si="43"/>
        <v>0.87102832599832691</v>
      </c>
      <c r="I108" s="117">
        <v>15200</v>
      </c>
      <c r="J108" s="117">
        <v>15200</v>
      </c>
      <c r="K108" s="119">
        <f t="shared" si="50"/>
        <v>1</v>
      </c>
      <c r="L108" s="136"/>
      <c r="M108" s="125"/>
      <c r="N108" s="120">
        <f t="shared" si="44"/>
        <v>4568649.5199999996</v>
      </c>
      <c r="O108" s="49"/>
      <c r="P108" s="50"/>
    </row>
    <row r="109" spans="1:16" s="51" customFormat="1" ht="93" thickTop="1" thickBot="1" x14ac:dyDescent="0.25">
      <c r="A109" s="17"/>
      <c r="B109" s="29" t="s">
        <v>403</v>
      </c>
      <c r="C109" s="29"/>
      <c r="D109" s="29" t="s">
        <v>404</v>
      </c>
      <c r="E109" s="135">
        <f t="shared" ref="E109:J109" si="51">E110</f>
        <v>0</v>
      </c>
      <c r="F109" s="135">
        <f t="shared" si="51"/>
        <v>0</v>
      </c>
      <c r="G109" s="135">
        <f t="shared" si="51"/>
        <v>0</v>
      </c>
      <c r="H109" s="127">
        <v>0</v>
      </c>
      <c r="I109" s="135">
        <f t="shared" si="51"/>
        <v>112000000</v>
      </c>
      <c r="J109" s="135">
        <f t="shared" si="51"/>
        <v>16818061.760000002</v>
      </c>
      <c r="K109" s="127">
        <f t="shared" si="50"/>
        <v>0.15016126571428573</v>
      </c>
      <c r="L109" s="137"/>
      <c r="M109" s="137"/>
      <c r="N109" s="126">
        <f t="shared" si="44"/>
        <v>16818061.760000002</v>
      </c>
      <c r="O109" s="49"/>
      <c r="P109" s="50"/>
    </row>
    <row r="110" spans="1:16" s="51" customFormat="1" ht="321.75" thickTop="1" thickBot="1" x14ac:dyDescent="0.25">
      <c r="A110" s="17"/>
      <c r="B110" s="17" t="s">
        <v>405</v>
      </c>
      <c r="C110" s="17" t="s">
        <v>325</v>
      </c>
      <c r="D110" s="17" t="s">
        <v>406</v>
      </c>
      <c r="E110" s="92"/>
      <c r="F110" s="92"/>
      <c r="G110" s="92"/>
      <c r="H110" s="88"/>
      <c r="I110" s="120">
        <v>112000000</v>
      </c>
      <c r="J110" s="120">
        <v>16818061.760000002</v>
      </c>
      <c r="K110" s="119">
        <f t="shared" si="50"/>
        <v>0.15016126571428573</v>
      </c>
      <c r="L110" s="124"/>
      <c r="M110" s="125"/>
      <c r="N110" s="120">
        <f t="shared" si="44"/>
        <v>16818061.760000002</v>
      </c>
      <c r="O110" s="49"/>
      <c r="P110" s="50"/>
    </row>
    <row r="111" spans="1:16" ht="93" thickTop="1" thickBot="1" x14ac:dyDescent="0.25">
      <c r="A111" s="53" t="s">
        <v>345</v>
      </c>
      <c r="B111" s="29" t="s">
        <v>346</v>
      </c>
      <c r="C111" s="29"/>
      <c r="D111" s="29" t="s">
        <v>347</v>
      </c>
      <c r="E111" s="135">
        <f t="shared" ref="E111:J111" si="52">SUM(E112:E114)</f>
        <v>4449571</v>
      </c>
      <c r="F111" s="135">
        <f t="shared" si="52"/>
        <v>2868899</v>
      </c>
      <c r="G111" s="135">
        <f t="shared" si="52"/>
        <v>1999131.8900000001</v>
      </c>
      <c r="H111" s="127">
        <f t="shared" si="43"/>
        <v>0.69682895424342239</v>
      </c>
      <c r="I111" s="135">
        <f t="shared" si="52"/>
        <v>30000</v>
      </c>
      <c r="J111" s="135">
        <f t="shared" si="52"/>
        <v>30000</v>
      </c>
      <c r="K111" s="127">
        <f t="shared" si="50"/>
        <v>1</v>
      </c>
      <c r="L111" s="101"/>
      <c r="M111" s="101"/>
      <c r="N111" s="126">
        <f t="shared" si="44"/>
        <v>2029131.8900000001</v>
      </c>
      <c r="P111" s="37"/>
    </row>
    <row r="112" spans="1:16" s="51" customFormat="1" ht="276" thickTop="1" thickBot="1" x14ac:dyDescent="0.25">
      <c r="A112" s="54" t="s">
        <v>348</v>
      </c>
      <c r="B112" s="54" t="s">
        <v>349</v>
      </c>
      <c r="C112" s="54" t="s">
        <v>325</v>
      </c>
      <c r="D112" s="17" t="s">
        <v>350</v>
      </c>
      <c r="E112" s="117">
        <v>768820</v>
      </c>
      <c r="F112" s="120">
        <v>757660</v>
      </c>
      <c r="G112" s="120">
        <v>377680.6</v>
      </c>
      <c r="H112" s="119">
        <f t="shared" si="43"/>
        <v>0.49848296069477072</v>
      </c>
      <c r="I112" s="120"/>
      <c r="J112" s="120"/>
      <c r="K112" s="120"/>
      <c r="L112" s="124"/>
      <c r="M112" s="125"/>
      <c r="N112" s="120">
        <f t="shared" si="44"/>
        <v>377680.6</v>
      </c>
      <c r="O112" s="49"/>
      <c r="P112" s="50"/>
    </row>
    <row r="113" spans="1:16" s="51" customFormat="1" ht="184.5" thickTop="1" thickBot="1" x14ac:dyDescent="0.25">
      <c r="A113" s="54" t="s">
        <v>351</v>
      </c>
      <c r="B113" s="54" t="s">
        <v>352</v>
      </c>
      <c r="C113" s="54" t="s">
        <v>325</v>
      </c>
      <c r="D113" s="17" t="s">
        <v>353</v>
      </c>
      <c r="E113" s="117">
        <v>1969086</v>
      </c>
      <c r="F113" s="120">
        <v>1257171</v>
      </c>
      <c r="G113" s="120">
        <v>860131</v>
      </c>
      <c r="H113" s="119">
        <f t="shared" si="43"/>
        <v>0.68417979733862777</v>
      </c>
      <c r="I113" s="120"/>
      <c r="J113" s="120"/>
      <c r="K113" s="120"/>
      <c r="L113" s="124"/>
      <c r="M113" s="125"/>
      <c r="N113" s="120">
        <f t="shared" si="44"/>
        <v>860131</v>
      </c>
      <c r="O113" s="49"/>
      <c r="P113" s="50"/>
    </row>
    <row r="114" spans="1:16" s="51" customFormat="1" ht="93" thickTop="1" thickBot="1" x14ac:dyDescent="0.25">
      <c r="A114" s="54" t="s">
        <v>354</v>
      </c>
      <c r="B114" s="54" t="s">
        <v>355</v>
      </c>
      <c r="C114" s="54" t="s">
        <v>325</v>
      </c>
      <c r="D114" s="17" t="s">
        <v>356</v>
      </c>
      <c r="E114" s="117">
        <f>(1206730+265480+98410+141045)</f>
        <v>1711665</v>
      </c>
      <c r="F114" s="120">
        <v>854068</v>
      </c>
      <c r="G114" s="120">
        <v>761320.29</v>
      </c>
      <c r="H114" s="119">
        <f t="shared" si="43"/>
        <v>0.89140477104867533</v>
      </c>
      <c r="I114" s="120">
        <f>(30000)</f>
        <v>30000</v>
      </c>
      <c r="J114" s="120">
        <v>30000</v>
      </c>
      <c r="K114" s="119">
        <f t="shared" ref="K114:K117" si="53">J114/I114</f>
        <v>1</v>
      </c>
      <c r="L114" s="124"/>
      <c r="M114" s="125"/>
      <c r="N114" s="120">
        <f t="shared" si="44"/>
        <v>791320.29</v>
      </c>
      <c r="O114" s="49"/>
      <c r="P114" s="50"/>
    </row>
    <row r="115" spans="1:16" ht="91.5" thickTop="1" thickBot="1" x14ac:dyDescent="0.25">
      <c r="A115" s="8" t="s">
        <v>359</v>
      </c>
      <c r="B115" s="12" t="s">
        <v>267</v>
      </c>
      <c r="C115" s="12"/>
      <c r="D115" s="13" t="s">
        <v>268</v>
      </c>
      <c r="E115" s="121">
        <f>SUM(E116:E126)-E116-E124</f>
        <v>203583347.53</v>
      </c>
      <c r="F115" s="121">
        <f>SUM(F116:F126)-F116-F124</f>
        <v>113830363.53</v>
      </c>
      <c r="G115" s="121">
        <f>SUM(G116:G126)-G116-G124</f>
        <v>105239919.02</v>
      </c>
      <c r="H115" s="122">
        <f>G115/F115</f>
        <v>0.92453292563072598</v>
      </c>
      <c r="I115" s="121">
        <f>SUM(I116:I126)-I116-I124</f>
        <v>47176149</v>
      </c>
      <c r="J115" s="121">
        <f>SUM(J116:J126)-J116-J124</f>
        <v>11687713.809999999</v>
      </c>
      <c r="K115" s="122">
        <f>J115/I115</f>
        <v>0.24774624588369853</v>
      </c>
      <c r="L115" s="121"/>
      <c r="M115" s="121"/>
      <c r="N115" s="123">
        <f>J115+G115</f>
        <v>116927632.83</v>
      </c>
      <c r="O115" s="14" t="b">
        <f>N115=N117+N118+N119+N120+N121+N122+N123+N125+N126</f>
        <v>1</v>
      </c>
      <c r="P115" s="55"/>
    </row>
    <row r="116" spans="1:16" s="23" customFormat="1" ht="184.5" thickTop="1" thickBot="1" x14ac:dyDescent="0.25">
      <c r="A116" s="29" t="s">
        <v>360</v>
      </c>
      <c r="B116" s="25" t="s">
        <v>361</v>
      </c>
      <c r="C116" s="25"/>
      <c r="D116" s="25" t="s">
        <v>362</v>
      </c>
      <c r="E116" s="126">
        <f t="shared" ref="E116:J116" si="54">SUM(E117:E121)</f>
        <v>34776300</v>
      </c>
      <c r="F116" s="126">
        <f t="shared" si="54"/>
        <v>32011000</v>
      </c>
      <c r="G116" s="126">
        <f t="shared" si="54"/>
        <v>31594181.920000002</v>
      </c>
      <c r="H116" s="127">
        <f t="shared" ref="H116:H122" si="55">G116/F116</f>
        <v>0.98697891099934398</v>
      </c>
      <c r="I116" s="126">
        <f t="shared" si="54"/>
        <v>28466001</v>
      </c>
      <c r="J116" s="126">
        <f t="shared" si="54"/>
        <v>5205519.25</v>
      </c>
      <c r="K116" s="127">
        <f t="shared" si="53"/>
        <v>0.18286795008543702</v>
      </c>
      <c r="L116" s="97"/>
      <c r="M116" s="97"/>
      <c r="N116" s="126">
        <f t="shared" ref="N116:N154" si="56">G116+J116</f>
        <v>36799701.170000002</v>
      </c>
      <c r="O116" s="27"/>
      <c r="P116" s="55"/>
    </row>
    <row r="117" spans="1:16" ht="138.75" thickTop="1" thickBot="1" x14ac:dyDescent="0.25">
      <c r="A117" s="17" t="s">
        <v>363</v>
      </c>
      <c r="B117" s="17" t="s">
        <v>364</v>
      </c>
      <c r="C117" s="17" t="s">
        <v>271</v>
      </c>
      <c r="D117" s="17" t="s">
        <v>365</v>
      </c>
      <c r="E117" s="117">
        <v>2475300</v>
      </c>
      <c r="F117" s="117">
        <v>470000</v>
      </c>
      <c r="G117" s="117">
        <v>298739.07</v>
      </c>
      <c r="H117" s="119">
        <f t="shared" si="55"/>
        <v>0.63561504255319146</v>
      </c>
      <c r="I117" s="117">
        <v>10345240</v>
      </c>
      <c r="J117" s="118">
        <v>804933.22</v>
      </c>
      <c r="K117" s="119">
        <f t="shared" si="53"/>
        <v>7.7807109356573645E-2</v>
      </c>
      <c r="L117" s="132"/>
      <c r="M117" s="125"/>
      <c r="N117" s="120">
        <f t="shared" si="56"/>
        <v>1103672.29</v>
      </c>
      <c r="P117" s="55"/>
    </row>
    <row r="118" spans="1:16" ht="138.75" thickTop="1" thickBot="1" x14ac:dyDescent="0.25">
      <c r="A118" s="17"/>
      <c r="B118" s="17" t="s">
        <v>385</v>
      </c>
      <c r="C118" s="17" t="s">
        <v>368</v>
      </c>
      <c r="D118" s="17" t="s">
        <v>386</v>
      </c>
      <c r="E118" s="117">
        <v>28000000</v>
      </c>
      <c r="F118" s="117">
        <v>28000000</v>
      </c>
      <c r="G118" s="117">
        <v>28000000</v>
      </c>
      <c r="H118" s="119">
        <f t="shared" si="55"/>
        <v>1</v>
      </c>
      <c r="I118" s="117"/>
      <c r="J118" s="118"/>
      <c r="K118" s="118"/>
      <c r="L118" s="132"/>
      <c r="M118" s="125"/>
      <c r="N118" s="120">
        <f t="shared" si="56"/>
        <v>28000000</v>
      </c>
      <c r="P118" s="55"/>
    </row>
    <row r="119" spans="1:16" ht="138.75" thickTop="1" thickBot="1" x14ac:dyDescent="0.25">
      <c r="A119" s="17"/>
      <c r="B119" s="17" t="s">
        <v>387</v>
      </c>
      <c r="C119" s="17" t="s">
        <v>368</v>
      </c>
      <c r="D119" s="76" t="s">
        <v>388</v>
      </c>
      <c r="E119" s="117">
        <v>3751000</v>
      </c>
      <c r="F119" s="117">
        <v>3361000</v>
      </c>
      <c r="G119" s="117">
        <v>3192930.24</v>
      </c>
      <c r="H119" s="119">
        <f t="shared" si="55"/>
        <v>0.94999412079738177</v>
      </c>
      <c r="I119" s="117"/>
      <c r="J119" s="118"/>
      <c r="K119" s="118"/>
      <c r="L119" s="132"/>
      <c r="M119" s="125"/>
      <c r="N119" s="120">
        <f t="shared" si="56"/>
        <v>3192930.24</v>
      </c>
      <c r="P119" s="55"/>
    </row>
    <row r="120" spans="1:16" ht="138.75" thickTop="1" thickBot="1" x14ac:dyDescent="0.25">
      <c r="A120" s="17" t="s">
        <v>366</v>
      </c>
      <c r="B120" s="17" t="s">
        <v>367</v>
      </c>
      <c r="C120" s="17" t="s">
        <v>368</v>
      </c>
      <c r="D120" s="17" t="s">
        <v>369</v>
      </c>
      <c r="E120" s="87"/>
      <c r="F120" s="87"/>
      <c r="G120" s="87"/>
      <c r="H120" s="87"/>
      <c r="I120" s="117">
        <v>5000000</v>
      </c>
      <c r="J120" s="118">
        <v>3621492.23</v>
      </c>
      <c r="K120" s="119">
        <f t="shared" ref="K120:K125" si="57">J120/I120</f>
        <v>0.72429844600000004</v>
      </c>
      <c r="L120" s="132"/>
      <c r="M120" s="125"/>
      <c r="N120" s="120">
        <f t="shared" si="56"/>
        <v>3621492.23</v>
      </c>
      <c r="P120" s="55"/>
    </row>
    <row r="121" spans="1:16" ht="184.5" thickTop="1" thickBot="1" x14ac:dyDescent="0.25">
      <c r="A121" s="17" t="s">
        <v>370</v>
      </c>
      <c r="B121" s="17" t="s">
        <v>371</v>
      </c>
      <c r="C121" s="17" t="s">
        <v>368</v>
      </c>
      <c r="D121" s="17" t="s">
        <v>372</v>
      </c>
      <c r="E121" s="117">
        <v>550000</v>
      </c>
      <c r="F121" s="117">
        <v>180000</v>
      </c>
      <c r="G121" s="117">
        <v>102512.61</v>
      </c>
      <c r="H121" s="119">
        <f t="shared" si="55"/>
        <v>0.56951450000000003</v>
      </c>
      <c r="I121" s="117">
        <f>13120761</f>
        <v>13120761</v>
      </c>
      <c r="J121" s="118">
        <v>779093.8</v>
      </c>
      <c r="K121" s="119">
        <f t="shared" si="57"/>
        <v>5.9378705244307099E-2</v>
      </c>
      <c r="L121" s="132"/>
      <c r="M121" s="125"/>
      <c r="N121" s="120">
        <f t="shared" si="56"/>
        <v>881606.41</v>
      </c>
      <c r="P121" s="55"/>
    </row>
    <row r="122" spans="1:16" ht="230.25" thickTop="1" thickBot="1" x14ac:dyDescent="0.25">
      <c r="A122" s="17" t="s">
        <v>373</v>
      </c>
      <c r="B122" s="17" t="s">
        <v>374</v>
      </c>
      <c r="C122" s="17" t="s">
        <v>368</v>
      </c>
      <c r="D122" s="17" t="s">
        <v>375</v>
      </c>
      <c r="E122" s="117">
        <v>3630000</v>
      </c>
      <c r="F122" s="117">
        <v>2265000</v>
      </c>
      <c r="G122" s="117">
        <v>1359702.76</v>
      </c>
      <c r="H122" s="119">
        <f t="shared" si="55"/>
        <v>0.60031026931567333</v>
      </c>
      <c r="I122" s="117"/>
      <c r="J122" s="118"/>
      <c r="K122" s="118"/>
      <c r="L122" s="132"/>
      <c r="M122" s="125"/>
      <c r="N122" s="120">
        <f t="shared" si="56"/>
        <v>1359702.76</v>
      </c>
      <c r="O122" s="75" t="s">
        <v>464</v>
      </c>
      <c r="P122" s="55"/>
    </row>
    <row r="123" spans="1:16" ht="93" thickTop="1" thickBot="1" x14ac:dyDescent="0.25">
      <c r="A123" s="17"/>
      <c r="B123" s="17" t="s">
        <v>377</v>
      </c>
      <c r="C123" s="17" t="s">
        <v>368</v>
      </c>
      <c r="D123" s="17" t="s">
        <v>378</v>
      </c>
      <c r="E123" s="117">
        <v>165151623</v>
      </c>
      <c r="F123" s="117">
        <v>79528939</v>
      </c>
      <c r="G123" s="117">
        <v>72286034.340000004</v>
      </c>
      <c r="H123" s="119">
        <f t="shared" ref="H123" si="58">G123/F123</f>
        <v>0.90892743256640207</v>
      </c>
      <c r="I123" s="120">
        <v>14710148</v>
      </c>
      <c r="J123" s="117">
        <v>5936340.7599999998</v>
      </c>
      <c r="K123" s="119">
        <f t="shared" si="57"/>
        <v>0.40355411515914047</v>
      </c>
      <c r="L123" s="136"/>
      <c r="M123" s="125"/>
      <c r="N123" s="120">
        <f t="shared" si="56"/>
        <v>78222375.100000009</v>
      </c>
      <c r="O123" s="78"/>
      <c r="P123" s="55"/>
    </row>
    <row r="124" spans="1:16" ht="123" thickTop="1" thickBot="1" x14ac:dyDescent="0.25">
      <c r="A124" s="17"/>
      <c r="B124" s="29" t="s">
        <v>269</v>
      </c>
      <c r="C124" s="29"/>
      <c r="D124" s="29" t="s">
        <v>465</v>
      </c>
      <c r="E124" s="135">
        <f>SUM(E125:E126)</f>
        <v>25424.53</v>
      </c>
      <c r="F124" s="135">
        <f>SUM(F125:F126)</f>
        <v>25424.53</v>
      </c>
      <c r="G124" s="135">
        <f>SUM(G125:G126)</f>
        <v>0</v>
      </c>
      <c r="H124" s="119">
        <v>0</v>
      </c>
      <c r="I124" s="135">
        <f>SUM(I125:I126)</f>
        <v>4000000</v>
      </c>
      <c r="J124" s="135">
        <f>SUM(J125:J126)</f>
        <v>545853.80000000005</v>
      </c>
      <c r="K124" s="119">
        <f t="shared" si="57"/>
        <v>0.13646345000000001</v>
      </c>
      <c r="L124" s="137"/>
      <c r="M124" s="129"/>
      <c r="N124" s="126">
        <f t="shared" si="56"/>
        <v>545853.80000000005</v>
      </c>
      <c r="O124" s="75" t="s">
        <v>464</v>
      </c>
      <c r="P124" s="55"/>
    </row>
    <row r="125" spans="1:16" ht="138.75" thickTop="1" thickBot="1" x14ac:dyDescent="0.25">
      <c r="A125" s="17" t="s">
        <v>376</v>
      </c>
      <c r="B125" s="17" t="s">
        <v>270</v>
      </c>
      <c r="C125" s="17"/>
      <c r="D125" s="17" t="s">
        <v>466</v>
      </c>
      <c r="E125" s="87"/>
      <c r="F125" s="87"/>
      <c r="G125" s="87"/>
      <c r="H125" s="88"/>
      <c r="I125" s="120">
        <v>4000000</v>
      </c>
      <c r="J125" s="117">
        <v>545853.80000000005</v>
      </c>
      <c r="K125" s="119">
        <f t="shared" si="57"/>
        <v>0.13646345000000001</v>
      </c>
      <c r="L125" s="136"/>
      <c r="M125" s="125"/>
      <c r="N125" s="120">
        <f t="shared" si="56"/>
        <v>545853.80000000005</v>
      </c>
      <c r="P125" s="42"/>
    </row>
    <row r="126" spans="1:16" ht="276" thickTop="1" thickBot="1" x14ac:dyDescent="0.25">
      <c r="A126" s="17"/>
      <c r="B126" s="79" t="s">
        <v>357</v>
      </c>
      <c r="C126" s="79" t="s">
        <v>271</v>
      </c>
      <c r="D126" s="76" t="s">
        <v>358</v>
      </c>
      <c r="E126" s="117">
        <v>25424.53</v>
      </c>
      <c r="F126" s="120">
        <v>25424.53</v>
      </c>
      <c r="G126" s="120">
        <v>0</v>
      </c>
      <c r="H126" s="119">
        <v>0</v>
      </c>
      <c r="I126" s="120"/>
      <c r="J126" s="120"/>
      <c r="K126" s="120"/>
      <c r="L126" s="120"/>
      <c r="M126" s="130"/>
      <c r="N126" s="120">
        <f t="shared" si="56"/>
        <v>0</v>
      </c>
      <c r="O126" s="75" t="s">
        <v>464</v>
      </c>
      <c r="P126" s="42"/>
    </row>
    <row r="127" spans="1:16" s="57" customFormat="1" ht="101.25" customHeight="1" thickTop="1" thickBot="1" x14ac:dyDescent="0.25">
      <c r="A127" s="73" t="s">
        <v>379</v>
      </c>
      <c r="B127" s="12" t="s">
        <v>35</v>
      </c>
      <c r="C127" s="12"/>
      <c r="D127" s="13" t="s">
        <v>380</v>
      </c>
      <c r="E127" s="121">
        <f>E128+E130+E139+E144+E147</f>
        <v>122192849</v>
      </c>
      <c r="F127" s="121">
        <f>F128+F130+F139+F144+F147</f>
        <v>48665279</v>
      </c>
      <c r="G127" s="121">
        <f>G128+G130+G139+G144+G147</f>
        <v>45328132.330000013</v>
      </c>
      <c r="H127" s="122">
        <f>G127/F127</f>
        <v>0.93142653779915685</v>
      </c>
      <c r="I127" s="121">
        <f>I128+I130+I139+I144+I147</f>
        <v>308074299.69999999</v>
      </c>
      <c r="J127" s="121">
        <f>J128+J130+J139+J144+J147</f>
        <v>89786042.780000001</v>
      </c>
      <c r="K127" s="122">
        <f>J127/I127</f>
        <v>0.2914428203437705</v>
      </c>
      <c r="L127" s="121"/>
      <c r="M127" s="121"/>
      <c r="N127" s="123">
        <f>J127+G127</f>
        <v>135114175.11000001</v>
      </c>
      <c r="O127" s="14" t="b">
        <f>N127=N129+N131+N133+N135+N136+N138+N141+N143+N145+N148+N149+N150+N151+N152+N153+N155+N157</f>
        <v>1</v>
      </c>
      <c r="P127" s="77"/>
    </row>
    <row r="128" spans="1:16" s="57" customFormat="1" ht="91.5" thickTop="1" thickBot="1" x14ac:dyDescent="0.25">
      <c r="A128" s="73"/>
      <c r="B128" s="22" t="s">
        <v>441</v>
      </c>
      <c r="C128" s="22"/>
      <c r="D128" s="22" t="s">
        <v>442</v>
      </c>
      <c r="E128" s="106"/>
      <c r="F128" s="106"/>
      <c r="G128" s="106"/>
      <c r="H128" s="107"/>
      <c r="I128" s="139">
        <f t="shared" ref="I128:J128" si="59">SUM(I129)</f>
        <v>200000</v>
      </c>
      <c r="J128" s="139">
        <f t="shared" si="59"/>
        <v>68575</v>
      </c>
      <c r="K128" s="140">
        <f t="shared" ref="K128:K130" si="60">J128/I128</f>
        <v>0.34287499999999999</v>
      </c>
      <c r="L128" s="141"/>
      <c r="M128" s="141"/>
      <c r="N128" s="139">
        <f t="shared" si="56"/>
        <v>68575</v>
      </c>
      <c r="O128" s="58"/>
      <c r="P128" s="77"/>
    </row>
    <row r="129" spans="1:16" s="57" customFormat="1" ht="93" thickTop="1" thickBot="1" x14ac:dyDescent="0.25">
      <c r="A129" s="73"/>
      <c r="B129" s="17" t="s">
        <v>443</v>
      </c>
      <c r="C129" s="17" t="s">
        <v>444</v>
      </c>
      <c r="D129" s="17" t="s">
        <v>445</v>
      </c>
      <c r="E129" s="92"/>
      <c r="F129" s="92"/>
      <c r="G129" s="92"/>
      <c r="H129" s="92"/>
      <c r="I129" s="120">
        <v>200000</v>
      </c>
      <c r="J129" s="120">
        <v>68575</v>
      </c>
      <c r="K129" s="119">
        <f>J129/I129</f>
        <v>0.34287499999999999</v>
      </c>
      <c r="L129" s="124"/>
      <c r="M129" s="125"/>
      <c r="N129" s="120">
        <f t="shared" si="56"/>
        <v>68575</v>
      </c>
      <c r="O129" s="58"/>
      <c r="P129" s="77"/>
    </row>
    <row r="130" spans="1:16" s="57" customFormat="1" ht="91.5" thickTop="1" thickBot="1" x14ac:dyDescent="0.25">
      <c r="A130" s="73"/>
      <c r="B130" s="22" t="s">
        <v>272</v>
      </c>
      <c r="C130" s="22"/>
      <c r="D130" s="22" t="s">
        <v>273</v>
      </c>
      <c r="E130" s="109"/>
      <c r="F130" s="109"/>
      <c r="G130" s="109"/>
      <c r="H130" s="107"/>
      <c r="I130" s="142">
        <f>SUM(I131:I138)-I132</f>
        <v>156562088.50999999</v>
      </c>
      <c r="J130" s="142">
        <f>SUM(J131:J138)-J132</f>
        <v>50653520.909999996</v>
      </c>
      <c r="K130" s="140">
        <f t="shared" si="60"/>
        <v>0.32353631324204413</v>
      </c>
      <c r="L130" s="143"/>
      <c r="M130" s="143"/>
      <c r="N130" s="139">
        <f t="shared" si="56"/>
        <v>50653520.909999996</v>
      </c>
      <c r="O130" s="58"/>
      <c r="P130" s="77"/>
    </row>
    <row r="131" spans="1:16" s="57" customFormat="1" ht="99.75" thickTop="1" thickBot="1" x14ac:dyDescent="0.25">
      <c r="A131" s="73"/>
      <c r="B131" s="17" t="s">
        <v>389</v>
      </c>
      <c r="C131" s="17" t="s">
        <v>276</v>
      </c>
      <c r="D131" s="17" t="s">
        <v>390</v>
      </c>
      <c r="E131" s="87"/>
      <c r="F131" s="87"/>
      <c r="G131" s="87"/>
      <c r="H131" s="87"/>
      <c r="I131" s="120">
        <v>6317394.5099999998</v>
      </c>
      <c r="J131" s="117">
        <v>36872.51</v>
      </c>
      <c r="K131" s="119">
        <f>J131/I131</f>
        <v>5.8366641408310596E-3</v>
      </c>
      <c r="L131" s="136"/>
      <c r="M131" s="125"/>
      <c r="N131" s="120">
        <f t="shared" si="56"/>
        <v>36872.51</v>
      </c>
      <c r="O131" s="58"/>
      <c r="P131" s="77"/>
    </row>
    <row r="132" spans="1:16" s="57" customFormat="1" ht="146.25" thickTop="1" thickBot="1" x14ac:dyDescent="0.25">
      <c r="A132" s="73"/>
      <c r="B132" s="29" t="s">
        <v>274</v>
      </c>
      <c r="C132" s="29"/>
      <c r="D132" s="29" t="s">
        <v>275</v>
      </c>
      <c r="E132" s="95"/>
      <c r="F132" s="95"/>
      <c r="G132" s="95"/>
      <c r="H132" s="96"/>
      <c r="I132" s="126">
        <f>SUM(I133:I135)</f>
        <v>22190957</v>
      </c>
      <c r="J132" s="126">
        <f>SUM(J133:J135)</f>
        <v>12754773.67</v>
      </c>
      <c r="K132" s="127">
        <f t="shared" ref="K132:K133" si="61">J132/I132</f>
        <v>0.57477348408182671</v>
      </c>
      <c r="L132" s="128"/>
      <c r="M132" s="128"/>
      <c r="N132" s="126">
        <f t="shared" si="56"/>
        <v>12754773.67</v>
      </c>
      <c r="O132" s="58"/>
      <c r="P132" s="77"/>
    </row>
    <row r="133" spans="1:16" s="57" customFormat="1" ht="99.75" thickTop="1" thickBot="1" x14ac:dyDescent="0.25">
      <c r="A133" s="73"/>
      <c r="B133" s="17" t="s">
        <v>407</v>
      </c>
      <c r="C133" s="17" t="s">
        <v>276</v>
      </c>
      <c r="D133" s="17" t="s">
        <v>408</v>
      </c>
      <c r="E133" s="92"/>
      <c r="F133" s="92"/>
      <c r="G133" s="92"/>
      <c r="H133" s="92"/>
      <c r="I133" s="120">
        <v>21770957</v>
      </c>
      <c r="J133" s="120">
        <v>12754773.67</v>
      </c>
      <c r="K133" s="119">
        <f t="shared" si="61"/>
        <v>0.58586187414728719</v>
      </c>
      <c r="L133" s="124"/>
      <c r="M133" s="125"/>
      <c r="N133" s="120">
        <f t="shared" si="56"/>
        <v>12754773.67</v>
      </c>
      <c r="O133" s="58"/>
      <c r="P133" s="77"/>
    </row>
    <row r="134" spans="1:16" s="57" customFormat="1" ht="93" thickTop="1" thickBot="1" x14ac:dyDescent="0.25">
      <c r="A134" s="73"/>
      <c r="B134" s="17" t="s">
        <v>485</v>
      </c>
      <c r="C134" s="17"/>
      <c r="D134" s="17" t="s">
        <v>486</v>
      </c>
      <c r="E134" s="92"/>
      <c r="F134" s="92"/>
      <c r="G134" s="92"/>
      <c r="H134" s="92"/>
      <c r="I134" s="120">
        <v>220000</v>
      </c>
      <c r="J134" s="120">
        <v>0</v>
      </c>
      <c r="K134" s="119">
        <f t="shared" ref="K134:K139" si="62">J134/I134</f>
        <v>0</v>
      </c>
      <c r="L134" s="124"/>
      <c r="M134" s="125"/>
      <c r="N134" s="120">
        <f t="shared" si="56"/>
        <v>0</v>
      </c>
      <c r="O134" s="58"/>
      <c r="P134" s="77"/>
    </row>
    <row r="135" spans="1:16" s="57" customFormat="1" ht="99.75" thickTop="1" thickBot="1" x14ac:dyDescent="0.25">
      <c r="A135" s="73"/>
      <c r="B135" s="17" t="s">
        <v>409</v>
      </c>
      <c r="C135" s="17" t="s">
        <v>276</v>
      </c>
      <c r="D135" s="17" t="s">
        <v>410</v>
      </c>
      <c r="E135" s="92"/>
      <c r="F135" s="92"/>
      <c r="G135" s="92"/>
      <c r="H135" s="92"/>
      <c r="I135" s="120">
        <v>200000</v>
      </c>
      <c r="J135" s="120">
        <v>0</v>
      </c>
      <c r="K135" s="119">
        <f t="shared" si="62"/>
        <v>0</v>
      </c>
      <c r="L135" s="124"/>
      <c r="M135" s="125"/>
      <c r="N135" s="120">
        <f t="shared" si="56"/>
        <v>0</v>
      </c>
      <c r="O135" s="58"/>
      <c r="P135" s="77"/>
    </row>
    <row r="136" spans="1:16" s="57" customFormat="1" ht="99.75" thickTop="1" thickBot="1" x14ac:dyDescent="0.25">
      <c r="A136" s="73"/>
      <c r="B136" s="17" t="s">
        <v>411</v>
      </c>
      <c r="C136" s="17" t="s">
        <v>276</v>
      </c>
      <c r="D136" s="17" t="s">
        <v>412</v>
      </c>
      <c r="E136" s="92"/>
      <c r="F136" s="92"/>
      <c r="G136" s="92"/>
      <c r="H136" s="92"/>
      <c r="I136" s="120">
        <v>17361435</v>
      </c>
      <c r="J136" s="120">
        <v>1840874.01</v>
      </c>
      <c r="K136" s="119">
        <f t="shared" si="62"/>
        <v>0.10603236483620161</v>
      </c>
      <c r="L136" s="124"/>
      <c r="M136" s="125"/>
      <c r="N136" s="120">
        <f t="shared" si="56"/>
        <v>1840874.01</v>
      </c>
      <c r="O136" s="58"/>
      <c r="P136" s="77"/>
    </row>
    <row r="137" spans="1:16" s="57" customFormat="1" ht="184.5" thickTop="1" thickBot="1" x14ac:dyDescent="0.25">
      <c r="A137" s="73"/>
      <c r="B137" s="17" t="s">
        <v>487</v>
      </c>
      <c r="C137" s="17"/>
      <c r="D137" s="17" t="s">
        <v>488</v>
      </c>
      <c r="E137" s="92"/>
      <c r="F137" s="92"/>
      <c r="G137" s="92"/>
      <c r="H137" s="92"/>
      <c r="I137" s="120">
        <v>611000</v>
      </c>
      <c r="J137" s="120">
        <v>0</v>
      </c>
      <c r="K137" s="119">
        <f t="shared" si="62"/>
        <v>0</v>
      </c>
      <c r="L137" s="124"/>
      <c r="M137" s="125"/>
      <c r="N137" s="120">
        <f t="shared" si="56"/>
        <v>0</v>
      </c>
      <c r="O137" s="58"/>
      <c r="P137" s="77"/>
    </row>
    <row r="138" spans="1:16" s="57" customFormat="1" ht="138.75" thickTop="1" thickBot="1" x14ac:dyDescent="0.25">
      <c r="A138" s="73"/>
      <c r="B138" s="17" t="s">
        <v>413</v>
      </c>
      <c r="C138" s="17" t="s">
        <v>43</v>
      </c>
      <c r="D138" s="17" t="s">
        <v>414</v>
      </c>
      <c r="E138" s="92"/>
      <c r="F138" s="92"/>
      <c r="G138" s="92"/>
      <c r="H138" s="92"/>
      <c r="I138" s="120">
        <v>110081302</v>
      </c>
      <c r="J138" s="120">
        <v>36021000.719999999</v>
      </c>
      <c r="K138" s="119">
        <f t="shared" si="62"/>
        <v>0.32722179030912985</v>
      </c>
      <c r="L138" s="124"/>
      <c r="M138" s="125"/>
      <c r="N138" s="120">
        <f t="shared" si="56"/>
        <v>36021000.719999999</v>
      </c>
      <c r="O138" s="58"/>
      <c r="P138" s="77"/>
    </row>
    <row r="139" spans="1:16" s="57" customFormat="1" ht="136.5" thickTop="1" thickBot="1" x14ac:dyDescent="0.25">
      <c r="A139" s="73"/>
      <c r="B139" s="22" t="s">
        <v>391</v>
      </c>
      <c r="C139" s="22"/>
      <c r="D139" s="22" t="s">
        <v>392</v>
      </c>
      <c r="E139" s="139">
        <f>SUM(E140:E143)-E140-E142</f>
        <v>107373439</v>
      </c>
      <c r="F139" s="139">
        <f>SUM(F140:F143)-F140-F142</f>
        <v>40577869</v>
      </c>
      <c r="G139" s="139">
        <f>SUM(G140:G143)-G140-G142</f>
        <v>39996429.030000016</v>
      </c>
      <c r="H139" s="140">
        <f t="shared" ref="H139:H150" si="63">G139/F139</f>
        <v>0.98567100776041283</v>
      </c>
      <c r="I139" s="139">
        <f>SUM(I140:I143)-I140-I142</f>
        <v>64664228.030000001</v>
      </c>
      <c r="J139" s="139">
        <f>SUM(J140:J143)-J140-J142</f>
        <v>14467567.810000001</v>
      </c>
      <c r="K139" s="140">
        <f t="shared" si="62"/>
        <v>0.22373371260672886</v>
      </c>
      <c r="L139" s="141"/>
      <c r="M139" s="141"/>
      <c r="N139" s="139">
        <f t="shared" si="56"/>
        <v>54463996.840000018</v>
      </c>
      <c r="O139" s="58"/>
      <c r="P139" s="77"/>
    </row>
    <row r="140" spans="1:16" s="57" customFormat="1" ht="138.75" thickTop="1" thickBot="1" x14ac:dyDescent="0.25">
      <c r="A140" s="73"/>
      <c r="B140" s="29" t="s">
        <v>415</v>
      </c>
      <c r="C140" s="29"/>
      <c r="D140" s="29" t="s">
        <v>416</v>
      </c>
      <c r="E140" s="126">
        <f t="shared" ref="E140:G140" si="64">E141</f>
        <v>54505073</v>
      </c>
      <c r="F140" s="126">
        <f t="shared" si="64"/>
        <v>38857869</v>
      </c>
      <c r="G140" s="126">
        <f t="shared" si="64"/>
        <v>38857864.990000002</v>
      </c>
      <c r="H140" s="127">
        <f t="shared" si="63"/>
        <v>0.99999989680339918</v>
      </c>
      <c r="I140" s="95"/>
      <c r="J140" s="95"/>
      <c r="K140" s="96"/>
      <c r="L140" s="97"/>
      <c r="M140" s="97"/>
      <c r="N140" s="126">
        <f t="shared" si="56"/>
        <v>38857864.990000002</v>
      </c>
      <c r="O140" s="75" t="s">
        <v>464</v>
      </c>
      <c r="P140" s="77"/>
    </row>
    <row r="141" spans="1:16" s="57" customFormat="1" ht="93" thickTop="1" thickBot="1" x14ac:dyDescent="0.25">
      <c r="A141" s="73"/>
      <c r="B141" s="17" t="s">
        <v>417</v>
      </c>
      <c r="C141" s="17" t="s">
        <v>418</v>
      </c>
      <c r="D141" s="17" t="s">
        <v>419</v>
      </c>
      <c r="E141" s="120">
        <v>54505073</v>
      </c>
      <c r="F141" s="120">
        <v>38857869</v>
      </c>
      <c r="G141" s="120">
        <v>38857864.990000002</v>
      </c>
      <c r="H141" s="119">
        <f t="shared" si="63"/>
        <v>0.99999989680339918</v>
      </c>
      <c r="I141" s="92"/>
      <c r="J141" s="92"/>
      <c r="K141" s="92"/>
      <c r="L141" s="94"/>
      <c r="M141" s="91"/>
      <c r="N141" s="120">
        <f t="shared" si="56"/>
        <v>38857864.990000002</v>
      </c>
      <c r="O141" s="58"/>
      <c r="P141" s="77"/>
    </row>
    <row r="142" spans="1:16" s="57" customFormat="1" ht="138.75" thickTop="1" thickBot="1" x14ac:dyDescent="0.25">
      <c r="A142" s="73"/>
      <c r="B142" s="29" t="s">
        <v>479</v>
      </c>
      <c r="C142" s="29"/>
      <c r="D142" s="29" t="s">
        <v>480</v>
      </c>
      <c r="E142" s="126">
        <f>E143</f>
        <v>52868366</v>
      </c>
      <c r="F142" s="126">
        <f>F143</f>
        <v>1720000</v>
      </c>
      <c r="G142" s="126">
        <f>G143</f>
        <v>1138564.04</v>
      </c>
      <c r="H142" s="119">
        <f t="shared" si="63"/>
        <v>0.6619558372093024</v>
      </c>
      <c r="I142" s="126">
        <f>I143</f>
        <v>64664228.030000001</v>
      </c>
      <c r="J142" s="126">
        <f>J143</f>
        <v>14467567.810000001</v>
      </c>
      <c r="K142" s="127">
        <f t="shared" ref="K142:K143" si="65">J142/I142</f>
        <v>0.22373371260672886</v>
      </c>
      <c r="L142" s="128"/>
      <c r="M142" s="129"/>
      <c r="N142" s="126">
        <f t="shared" si="56"/>
        <v>15606131.850000001</v>
      </c>
      <c r="O142" s="58"/>
      <c r="P142" s="77"/>
    </row>
    <row r="143" spans="1:16" s="57" customFormat="1" ht="230.25" thickTop="1" thickBot="1" x14ac:dyDescent="0.25">
      <c r="A143" s="73"/>
      <c r="B143" s="17" t="s">
        <v>393</v>
      </c>
      <c r="C143" s="17" t="s">
        <v>394</v>
      </c>
      <c r="D143" s="17" t="s">
        <v>395</v>
      </c>
      <c r="E143" s="117">
        <v>52868366</v>
      </c>
      <c r="F143" s="117">
        <v>1720000</v>
      </c>
      <c r="G143" s="117">
        <v>1138564.04</v>
      </c>
      <c r="H143" s="119">
        <f t="shared" si="63"/>
        <v>0.6619558372093024</v>
      </c>
      <c r="I143" s="117">
        <v>64664228.030000001</v>
      </c>
      <c r="J143" s="118">
        <v>14467567.810000001</v>
      </c>
      <c r="K143" s="119">
        <f t="shared" si="65"/>
        <v>0.22373371260672886</v>
      </c>
      <c r="L143" s="132"/>
      <c r="M143" s="125"/>
      <c r="N143" s="120">
        <f t="shared" si="56"/>
        <v>15606131.850000001</v>
      </c>
      <c r="O143" s="75" t="s">
        <v>464</v>
      </c>
      <c r="P143" s="77"/>
    </row>
    <row r="144" spans="1:16" s="57" customFormat="1" ht="91.5" thickTop="1" thickBot="1" x14ac:dyDescent="0.25">
      <c r="A144" s="73"/>
      <c r="B144" s="22" t="s">
        <v>36</v>
      </c>
      <c r="C144" s="73"/>
      <c r="D144" s="22" t="s">
        <v>37</v>
      </c>
      <c r="E144" s="142">
        <f>E145+E146</f>
        <v>4642400</v>
      </c>
      <c r="F144" s="142">
        <f>F145+F146</f>
        <v>1991600</v>
      </c>
      <c r="G144" s="142">
        <f>G145+G146</f>
        <v>1825120.3</v>
      </c>
      <c r="H144" s="140">
        <f>G144/F144</f>
        <v>0.91640906808596101</v>
      </c>
      <c r="I144" s="142">
        <f>I145</f>
        <v>1500000</v>
      </c>
      <c r="J144" s="142">
        <f>J145</f>
        <v>0</v>
      </c>
      <c r="K144" s="140">
        <f>J144/I144</f>
        <v>0</v>
      </c>
      <c r="L144" s="144"/>
      <c r="M144" s="144"/>
      <c r="N144" s="139">
        <f t="shared" si="56"/>
        <v>1825120.3</v>
      </c>
      <c r="O144" s="58"/>
      <c r="P144" s="77"/>
    </row>
    <row r="145" spans="1:16" s="57" customFormat="1" ht="93" thickTop="1" thickBot="1" x14ac:dyDescent="0.25">
      <c r="A145" s="73"/>
      <c r="B145" s="20" t="s">
        <v>38</v>
      </c>
      <c r="C145" s="73"/>
      <c r="D145" s="20" t="s">
        <v>39</v>
      </c>
      <c r="E145" s="117">
        <v>4392400</v>
      </c>
      <c r="F145" s="117">
        <v>1991600</v>
      </c>
      <c r="G145" s="117">
        <v>1825120.3</v>
      </c>
      <c r="H145" s="119">
        <f t="shared" si="63"/>
        <v>0.91640906808596101</v>
      </c>
      <c r="I145" s="117">
        <v>1500000</v>
      </c>
      <c r="J145" s="117">
        <v>0</v>
      </c>
      <c r="K145" s="119">
        <f>J145/I145</f>
        <v>0</v>
      </c>
      <c r="L145" s="144"/>
      <c r="M145" s="144"/>
      <c r="N145" s="120">
        <f t="shared" si="56"/>
        <v>1825120.3</v>
      </c>
      <c r="O145" s="58"/>
      <c r="P145" s="77"/>
    </row>
    <row r="146" spans="1:16" s="57" customFormat="1" ht="230.25" thickTop="1" thickBot="1" x14ac:dyDescent="0.25">
      <c r="A146" s="73"/>
      <c r="B146" s="17" t="s">
        <v>489</v>
      </c>
      <c r="C146" s="73"/>
      <c r="D146" s="20" t="s">
        <v>490</v>
      </c>
      <c r="E146" s="117">
        <v>250000</v>
      </c>
      <c r="F146" s="117">
        <v>0</v>
      </c>
      <c r="G146" s="117">
        <v>0</v>
      </c>
      <c r="H146" s="119">
        <v>0</v>
      </c>
      <c r="I146" s="117">
        <v>0</v>
      </c>
      <c r="J146" s="117">
        <v>0</v>
      </c>
      <c r="K146" s="119">
        <v>0</v>
      </c>
      <c r="L146" s="144"/>
      <c r="M146" s="144"/>
      <c r="N146" s="120">
        <f>F146+J146</f>
        <v>0</v>
      </c>
      <c r="O146" s="58"/>
      <c r="P146" s="77"/>
    </row>
    <row r="147" spans="1:16" s="57" customFormat="1" ht="136.5" thickTop="1" thickBot="1" x14ac:dyDescent="0.25">
      <c r="A147" s="73"/>
      <c r="B147" s="24" t="s">
        <v>40</v>
      </c>
      <c r="C147" s="73"/>
      <c r="D147" s="24" t="s">
        <v>41</v>
      </c>
      <c r="E147" s="142">
        <f>SUM(E148:E157)-E154</f>
        <v>10177010</v>
      </c>
      <c r="F147" s="142">
        <f>SUM(F148:F157)-F154</f>
        <v>6095810</v>
      </c>
      <c r="G147" s="142">
        <f>SUM(G148:G157)-G154</f>
        <v>3506582.9999999995</v>
      </c>
      <c r="H147" s="140">
        <f t="shared" si="63"/>
        <v>0.57524479929656591</v>
      </c>
      <c r="I147" s="142">
        <f>SUM(I148:I157)-I154</f>
        <v>85147983.159999996</v>
      </c>
      <c r="J147" s="142">
        <f>SUM(J148:J157)-J154</f>
        <v>24596379.059999999</v>
      </c>
      <c r="K147" s="140">
        <f>J147/I147</f>
        <v>0.28886625551401962</v>
      </c>
      <c r="L147" s="144"/>
      <c r="M147" s="144"/>
      <c r="N147" s="139">
        <f t="shared" si="56"/>
        <v>28102962.059999999</v>
      </c>
      <c r="O147" s="58"/>
      <c r="P147" s="77"/>
    </row>
    <row r="148" spans="1:16" s="57" customFormat="1" ht="93" thickTop="1" thickBot="1" x14ac:dyDescent="0.25">
      <c r="A148" s="73"/>
      <c r="B148" s="17" t="s">
        <v>420</v>
      </c>
      <c r="C148" s="17" t="s">
        <v>421</v>
      </c>
      <c r="D148" s="17" t="s">
        <v>422</v>
      </c>
      <c r="E148" s="120">
        <v>4792230</v>
      </c>
      <c r="F148" s="120">
        <v>2984030</v>
      </c>
      <c r="G148" s="120">
        <v>953338.41</v>
      </c>
      <c r="H148" s="119">
        <f t="shared" si="63"/>
        <v>0.31948016943529389</v>
      </c>
      <c r="I148" s="92"/>
      <c r="J148" s="92"/>
      <c r="K148" s="92"/>
      <c r="L148" s="94"/>
      <c r="M148" s="91"/>
      <c r="N148" s="120">
        <f t="shared" si="56"/>
        <v>953338.41</v>
      </c>
      <c r="O148" s="58"/>
      <c r="P148" s="77"/>
    </row>
    <row r="149" spans="1:16" s="57" customFormat="1" ht="138.75" thickTop="1" thickBot="1" x14ac:dyDescent="0.25">
      <c r="A149" s="73"/>
      <c r="B149" s="17" t="s">
        <v>423</v>
      </c>
      <c r="C149" s="17" t="s">
        <v>382</v>
      </c>
      <c r="D149" s="17" t="s">
        <v>424</v>
      </c>
      <c r="E149" s="120">
        <v>745000</v>
      </c>
      <c r="F149" s="120">
        <v>433000</v>
      </c>
      <c r="G149" s="120">
        <v>162415.14000000001</v>
      </c>
      <c r="H149" s="119">
        <f t="shared" si="63"/>
        <v>0.37509270207852197</v>
      </c>
      <c r="I149" s="120"/>
      <c r="J149" s="120"/>
      <c r="K149" s="120"/>
      <c r="L149" s="124"/>
      <c r="M149" s="125"/>
      <c r="N149" s="120">
        <f t="shared" si="56"/>
        <v>162415.14000000001</v>
      </c>
      <c r="O149" s="58"/>
      <c r="P149" s="77"/>
    </row>
    <row r="150" spans="1:16" s="57" customFormat="1" ht="48" thickTop="1" thickBot="1" x14ac:dyDescent="0.25">
      <c r="A150" s="73"/>
      <c r="B150" s="76" t="s">
        <v>381</v>
      </c>
      <c r="C150" s="76" t="s">
        <v>382</v>
      </c>
      <c r="D150" s="76" t="s">
        <v>383</v>
      </c>
      <c r="E150" s="117">
        <v>500000</v>
      </c>
      <c r="F150" s="117">
        <v>234000</v>
      </c>
      <c r="G150" s="117">
        <v>140552</v>
      </c>
      <c r="H150" s="119">
        <f t="shared" si="63"/>
        <v>0.60064957264957264</v>
      </c>
      <c r="I150" s="120">
        <v>20608795.579999998</v>
      </c>
      <c r="J150" s="117">
        <v>5641122.8300000001</v>
      </c>
      <c r="K150" s="119">
        <f>J150/I150</f>
        <v>0.27372404214996832</v>
      </c>
      <c r="L150" s="145"/>
      <c r="M150" s="146"/>
      <c r="N150" s="120">
        <f t="shared" si="56"/>
        <v>5781674.8300000001</v>
      </c>
      <c r="O150" s="159" t="s">
        <v>464</v>
      </c>
      <c r="P150" s="160"/>
    </row>
    <row r="151" spans="1:16" s="57" customFormat="1" ht="138.75" thickTop="1" thickBot="1" x14ac:dyDescent="0.25">
      <c r="A151" s="73"/>
      <c r="B151" s="17" t="s">
        <v>446</v>
      </c>
      <c r="C151" s="17" t="s">
        <v>43</v>
      </c>
      <c r="D151" s="17" t="s">
        <v>447</v>
      </c>
      <c r="E151" s="92"/>
      <c r="F151" s="92"/>
      <c r="G151" s="92"/>
      <c r="H151" s="92"/>
      <c r="I151" s="120">
        <v>50000</v>
      </c>
      <c r="J151" s="120">
        <v>2500</v>
      </c>
      <c r="K151" s="119">
        <f>J151/I151</f>
        <v>0.05</v>
      </c>
      <c r="L151" s="124"/>
      <c r="M151" s="125"/>
      <c r="N151" s="120">
        <f t="shared" si="56"/>
        <v>2500</v>
      </c>
      <c r="O151" s="58"/>
      <c r="P151" s="77"/>
    </row>
    <row r="152" spans="1:16" s="57" customFormat="1" ht="93" thickTop="1" thickBot="1" x14ac:dyDescent="0.25">
      <c r="A152" s="73"/>
      <c r="B152" s="76" t="s">
        <v>194</v>
      </c>
      <c r="C152" s="76" t="s">
        <v>43</v>
      </c>
      <c r="D152" s="76" t="s">
        <v>195</v>
      </c>
      <c r="E152" s="87"/>
      <c r="F152" s="87"/>
      <c r="G152" s="87"/>
      <c r="H152" s="87"/>
      <c r="I152" s="120">
        <v>58732021</v>
      </c>
      <c r="J152" s="117">
        <v>17387079.640000001</v>
      </c>
      <c r="K152" s="119">
        <f>J152/I152</f>
        <v>0.29604088781484295</v>
      </c>
      <c r="L152" s="145"/>
      <c r="M152" s="146"/>
      <c r="N152" s="120">
        <f t="shared" si="56"/>
        <v>17387079.640000001</v>
      </c>
      <c r="O152" s="58"/>
      <c r="P152" s="77"/>
    </row>
    <row r="153" spans="1:16" s="57" customFormat="1" ht="138.75" thickTop="1" thickBot="1" x14ac:dyDescent="0.25">
      <c r="A153" s="73"/>
      <c r="B153" s="20" t="s">
        <v>42</v>
      </c>
      <c r="C153" s="73"/>
      <c r="D153" s="20" t="s">
        <v>44</v>
      </c>
      <c r="E153" s="120">
        <v>290200</v>
      </c>
      <c r="F153" s="120">
        <v>145200</v>
      </c>
      <c r="G153" s="120">
        <v>145106.01</v>
      </c>
      <c r="H153" s="119">
        <f t="shared" ref="H153:H154" si="66">G153/F153</f>
        <v>0.99935268595041327</v>
      </c>
      <c r="I153" s="111"/>
      <c r="J153" s="111"/>
      <c r="K153" s="111"/>
      <c r="L153" s="110"/>
      <c r="M153" s="110"/>
      <c r="N153" s="120">
        <f t="shared" si="56"/>
        <v>145106.01</v>
      </c>
      <c r="O153" s="58"/>
      <c r="P153" s="77"/>
    </row>
    <row r="154" spans="1:16" s="57" customFormat="1" ht="48" thickTop="1" thickBot="1" x14ac:dyDescent="0.25">
      <c r="A154" s="73"/>
      <c r="B154" s="80" t="s">
        <v>45</v>
      </c>
      <c r="C154" s="80"/>
      <c r="D154" s="80" t="s">
        <v>384</v>
      </c>
      <c r="E154" s="135">
        <f>SUM(E155:E157)</f>
        <v>3849580</v>
      </c>
      <c r="F154" s="135">
        <f>SUM(F155:F157)</f>
        <v>2299580</v>
      </c>
      <c r="G154" s="135">
        <f>SUM(G155:G157)</f>
        <v>2105171.44</v>
      </c>
      <c r="H154" s="127">
        <f t="shared" si="66"/>
        <v>0.91545910122718055</v>
      </c>
      <c r="I154" s="135">
        <f>SUM(I155:I157)</f>
        <v>5757166.5800000001</v>
      </c>
      <c r="J154" s="135">
        <f>SUM(J155:J157)</f>
        <v>1565676.59</v>
      </c>
      <c r="K154" s="127">
        <f>J154/I154</f>
        <v>0.271952629517279</v>
      </c>
      <c r="L154" s="147"/>
      <c r="M154" s="147"/>
      <c r="N154" s="126">
        <f t="shared" si="56"/>
        <v>3670848.0300000003</v>
      </c>
      <c r="O154" s="58"/>
      <c r="P154" s="77"/>
    </row>
    <row r="155" spans="1:16" s="57" customFormat="1" ht="409.6" thickTop="1" thickBot="1" x14ac:dyDescent="0.7">
      <c r="A155" s="73"/>
      <c r="B155" s="161" t="s">
        <v>46</v>
      </c>
      <c r="C155" s="161" t="s">
        <v>43</v>
      </c>
      <c r="D155" s="47" t="s">
        <v>47</v>
      </c>
      <c r="E155" s="162"/>
      <c r="F155" s="162"/>
      <c r="G155" s="162"/>
      <c r="H155" s="163"/>
      <c r="I155" s="165">
        <v>5357166.58</v>
      </c>
      <c r="J155" s="165">
        <v>1509350.09</v>
      </c>
      <c r="K155" s="166">
        <f>J155/I155</f>
        <v>0.28174410249531573</v>
      </c>
      <c r="L155" s="173"/>
      <c r="M155" s="175"/>
      <c r="N155" s="165">
        <f>J155+G155</f>
        <v>1509350.09</v>
      </c>
      <c r="O155" s="58"/>
      <c r="P155" s="77"/>
    </row>
    <row r="156" spans="1:16" s="57" customFormat="1" ht="184.5" thickTop="1" thickBot="1" x14ac:dyDescent="0.25">
      <c r="A156" s="73"/>
      <c r="B156" s="161"/>
      <c r="C156" s="161"/>
      <c r="D156" s="48" t="s">
        <v>48</v>
      </c>
      <c r="E156" s="162"/>
      <c r="F156" s="162"/>
      <c r="G156" s="162"/>
      <c r="H156" s="164"/>
      <c r="I156" s="165"/>
      <c r="J156" s="165"/>
      <c r="K156" s="166"/>
      <c r="L156" s="174"/>
      <c r="M156" s="176"/>
      <c r="N156" s="165"/>
      <c r="O156" s="58"/>
      <c r="P156" s="77"/>
    </row>
    <row r="157" spans="1:16" s="57" customFormat="1" ht="93" thickTop="1" thickBot="1" x14ac:dyDescent="0.25">
      <c r="A157" s="73"/>
      <c r="B157" s="76" t="s">
        <v>49</v>
      </c>
      <c r="C157" s="76" t="s">
        <v>43</v>
      </c>
      <c r="D157" s="76" t="s">
        <v>50</v>
      </c>
      <c r="E157" s="120">
        <v>3849580</v>
      </c>
      <c r="F157" s="120">
        <v>2299580</v>
      </c>
      <c r="G157" s="120">
        <v>2105171.44</v>
      </c>
      <c r="H157" s="119">
        <f t="shared" ref="H157:H161" si="67">G157/F157</f>
        <v>0.91545910122718055</v>
      </c>
      <c r="I157" s="120">
        <f>(400000)</f>
        <v>400000</v>
      </c>
      <c r="J157" s="120">
        <v>56326.5</v>
      </c>
      <c r="K157" s="119">
        <f>J157/I157</f>
        <v>0.14081625</v>
      </c>
      <c r="L157" s="124"/>
      <c r="M157" s="125"/>
      <c r="N157" s="120">
        <f t="shared" ref="N157:N180" si="68">G157+J157</f>
        <v>2161497.94</v>
      </c>
      <c r="O157" s="58"/>
      <c r="P157" s="77"/>
    </row>
    <row r="158" spans="1:16" s="57" customFormat="1" ht="107.45" customHeight="1" thickTop="1" thickBot="1" x14ac:dyDescent="0.25">
      <c r="A158" s="73"/>
      <c r="B158" s="12" t="s">
        <v>51</v>
      </c>
      <c r="C158" s="12"/>
      <c r="D158" s="13" t="s">
        <v>52</v>
      </c>
      <c r="E158" s="121">
        <f>SUM(E159:E172)-E159-E162-E168-E171-E163</f>
        <v>13659658</v>
      </c>
      <c r="F158" s="121">
        <f>SUM(F159:F172)-F159-F162-F168-F171-F163</f>
        <v>4194025</v>
      </c>
      <c r="G158" s="121">
        <f>SUM(G159:G172)-G159-G162-G168-G171-G163</f>
        <v>3648050.5500000003</v>
      </c>
      <c r="H158" s="122">
        <f>G158/F158</f>
        <v>0.86982088804906987</v>
      </c>
      <c r="I158" s="121">
        <f>SUM(I159:I172)-I159-I162-I168-I171-I163</f>
        <v>3185138.96</v>
      </c>
      <c r="J158" s="121">
        <f>SUM(J159:J172)-J159-J162-J168-J171-J163</f>
        <v>372186.5</v>
      </c>
      <c r="K158" s="122">
        <f>J158/I158</f>
        <v>0.11685094580614468</v>
      </c>
      <c r="L158" s="121"/>
      <c r="M158" s="121"/>
      <c r="N158" s="123">
        <f>J158+G158</f>
        <v>4020237.0500000003</v>
      </c>
      <c r="O158" s="14" t="e">
        <f>N158=N160+N161+#REF!+N164+N165+N166+N167+N169+N170+N172</f>
        <v>#REF!</v>
      </c>
      <c r="P158" s="77"/>
    </row>
    <row r="159" spans="1:16" s="57" customFormat="1" ht="107.45" customHeight="1" thickTop="1" thickBot="1" x14ac:dyDescent="0.25">
      <c r="A159" s="73"/>
      <c r="B159" s="22" t="s">
        <v>396</v>
      </c>
      <c r="C159" s="22"/>
      <c r="D159" s="56" t="s">
        <v>397</v>
      </c>
      <c r="E159" s="139">
        <f>SUM(E160:E161)</f>
        <v>3160578</v>
      </c>
      <c r="F159" s="139">
        <f>SUM(F160:F161)</f>
        <v>907125</v>
      </c>
      <c r="G159" s="139">
        <f>SUM(G160:G161)</f>
        <v>796766.89</v>
      </c>
      <c r="H159" s="140">
        <f t="shared" si="67"/>
        <v>0.87834299572826235</v>
      </c>
      <c r="I159" s="139">
        <f>SUM(I160:I161)</f>
        <v>0</v>
      </c>
      <c r="J159" s="139">
        <f>SUM(J160:J161)</f>
        <v>0</v>
      </c>
      <c r="K159" s="140">
        <v>0</v>
      </c>
      <c r="L159" s="141"/>
      <c r="M159" s="141"/>
      <c r="N159" s="139">
        <f t="shared" si="68"/>
        <v>796766.89</v>
      </c>
      <c r="O159" s="159" t="s">
        <v>464</v>
      </c>
      <c r="P159" s="160"/>
    </row>
    <row r="160" spans="1:16" s="57" customFormat="1" ht="184.5" thickTop="1" thickBot="1" x14ac:dyDescent="0.25">
      <c r="A160" s="73"/>
      <c r="B160" s="17" t="s">
        <v>398</v>
      </c>
      <c r="C160" s="17" t="s">
        <v>399</v>
      </c>
      <c r="D160" s="17" t="s">
        <v>400</v>
      </c>
      <c r="E160" s="117">
        <v>108400</v>
      </c>
      <c r="F160" s="117">
        <v>0</v>
      </c>
      <c r="G160" s="117">
        <v>0</v>
      </c>
      <c r="H160" s="119">
        <v>0</v>
      </c>
      <c r="I160" s="92"/>
      <c r="J160" s="87"/>
      <c r="K160" s="87"/>
      <c r="L160" s="105"/>
      <c r="M160" s="91"/>
      <c r="N160" s="120">
        <f t="shared" si="68"/>
        <v>0</v>
      </c>
      <c r="O160" s="159" t="s">
        <v>464</v>
      </c>
      <c r="P160" s="160"/>
    </row>
    <row r="161" spans="1:17" s="57" customFormat="1" ht="93" thickTop="1" thickBot="1" x14ac:dyDescent="0.25">
      <c r="A161" s="73"/>
      <c r="B161" s="17" t="s">
        <v>401</v>
      </c>
      <c r="C161" s="17" t="s">
        <v>399</v>
      </c>
      <c r="D161" s="17" t="s">
        <v>402</v>
      </c>
      <c r="E161" s="117">
        <v>3052178</v>
      </c>
      <c r="F161" s="117">
        <v>907125</v>
      </c>
      <c r="G161" s="117">
        <v>796766.89</v>
      </c>
      <c r="H161" s="119">
        <f t="shared" si="67"/>
        <v>0.87834299572826235</v>
      </c>
      <c r="I161" s="92"/>
      <c r="J161" s="87"/>
      <c r="K161" s="87"/>
      <c r="L161" s="105"/>
      <c r="M161" s="91"/>
      <c r="N161" s="120">
        <f t="shared" si="68"/>
        <v>796766.89</v>
      </c>
      <c r="O161" s="14"/>
      <c r="P161" s="77"/>
    </row>
    <row r="162" spans="1:17" s="57" customFormat="1" ht="91.5" thickTop="1" thickBot="1" x14ac:dyDescent="0.25">
      <c r="A162" s="73"/>
      <c r="B162" s="22" t="s">
        <v>425</v>
      </c>
      <c r="C162" s="22"/>
      <c r="D162" s="22" t="s">
        <v>426</v>
      </c>
      <c r="E162" s="142">
        <f>SUM(E163:E167)-E163</f>
        <v>0</v>
      </c>
      <c r="F162" s="142">
        <f t="shared" ref="F162:G162" si="69">SUM(F163:F167)-F163</f>
        <v>0</v>
      </c>
      <c r="G162" s="142">
        <f t="shared" si="69"/>
        <v>0</v>
      </c>
      <c r="H162" s="140">
        <v>0</v>
      </c>
      <c r="I162" s="142">
        <f t="shared" ref="I162:J162" si="70">SUM(I163:I167)-I163</f>
        <v>3185138.96</v>
      </c>
      <c r="J162" s="142">
        <f t="shared" si="70"/>
        <v>372186.5</v>
      </c>
      <c r="K162" s="140">
        <f t="shared" ref="K162:K167" si="71">J162/I162</f>
        <v>0.11685094580614468</v>
      </c>
      <c r="L162" s="143"/>
      <c r="M162" s="143"/>
      <c r="N162" s="139">
        <f t="shared" si="68"/>
        <v>372186.5</v>
      </c>
      <c r="O162" s="159" t="s">
        <v>464</v>
      </c>
      <c r="P162" s="160"/>
    </row>
    <row r="163" spans="1:17" s="57" customFormat="1" ht="138.75" thickTop="1" thickBot="1" x14ac:dyDescent="0.25">
      <c r="A163" s="73"/>
      <c r="B163" s="29" t="s">
        <v>427</v>
      </c>
      <c r="C163" s="29"/>
      <c r="D163" s="29" t="s">
        <v>428</v>
      </c>
      <c r="E163" s="135">
        <f t="shared" ref="E163:G163" si="72">SUM(E164:E165)</f>
        <v>0</v>
      </c>
      <c r="F163" s="135">
        <f t="shared" si="72"/>
        <v>0</v>
      </c>
      <c r="G163" s="135">
        <f t="shared" si="72"/>
        <v>0</v>
      </c>
      <c r="H163" s="127">
        <v>0</v>
      </c>
      <c r="I163" s="135">
        <f t="shared" ref="I163:J163" si="73">SUM(I164:I165)</f>
        <v>765138.96</v>
      </c>
      <c r="J163" s="135">
        <f t="shared" si="73"/>
        <v>159744</v>
      </c>
      <c r="K163" s="127">
        <f t="shared" si="71"/>
        <v>0.20877776240802065</v>
      </c>
      <c r="L163" s="137"/>
      <c r="M163" s="137"/>
      <c r="N163" s="126">
        <f t="shared" si="68"/>
        <v>159744</v>
      </c>
      <c r="O163" s="58"/>
      <c r="P163" s="77"/>
    </row>
    <row r="164" spans="1:17" s="57" customFormat="1" ht="138.75" thickTop="1" thickBot="1" x14ac:dyDescent="0.25">
      <c r="A164" s="73"/>
      <c r="B164" s="17" t="s">
        <v>429</v>
      </c>
      <c r="C164" s="17" t="s">
        <v>430</v>
      </c>
      <c r="D164" s="17" t="s">
        <v>431</v>
      </c>
      <c r="E164" s="92"/>
      <c r="F164" s="92"/>
      <c r="G164" s="92"/>
      <c r="H164" s="92"/>
      <c r="I164" s="120">
        <v>403900</v>
      </c>
      <c r="J164" s="120">
        <v>66500</v>
      </c>
      <c r="K164" s="119">
        <f t="shared" si="71"/>
        <v>0.16464471403812825</v>
      </c>
      <c r="L164" s="124"/>
      <c r="M164" s="125"/>
      <c r="N164" s="120">
        <f t="shared" si="68"/>
        <v>66500</v>
      </c>
      <c r="O164" s="58"/>
      <c r="P164" s="77"/>
    </row>
    <row r="165" spans="1:17" s="57" customFormat="1" ht="48" thickTop="1" thickBot="1" x14ac:dyDescent="0.25">
      <c r="A165" s="73"/>
      <c r="B165" s="17" t="s">
        <v>432</v>
      </c>
      <c r="C165" s="17" t="s">
        <v>433</v>
      </c>
      <c r="D165" s="17" t="s">
        <v>434</v>
      </c>
      <c r="E165" s="92"/>
      <c r="F165" s="92"/>
      <c r="G165" s="92"/>
      <c r="H165" s="92"/>
      <c r="I165" s="120">
        <v>361238.96</v>
      </c>
      <c r="J165" s="120">
        <v>93244</v>
      </c>
      <c r="K165" s="119">
        <f t="shared" si="71"/>
        <v>0.25812276726740657</v>
      </c>
      <c r="L165" s="124"/>
      <c r="M165" s="125"/>
      <c r="N165" s="120">
        <f t="shared" si="68"/>
        <v>93244</v>
      </c>
      <c r="O165" s="58"/>
      <c r="P165" s="77"/>
    </row>
    <row r="166" spans="1:17" s="57" customFormat="1" ht="93" thickTop="1" thickBot="1" x14ac:dyDescent="0.25">
      <c r="A166" s="73"/>
      <c r="B166" s="17" t="s">
        <v>435</v>
      </c>
      <c r="C166" s="17" t="s">
        <v>436</v>
      </c>
      <c r="D166" s="17" t="s">
        <v>437</v>
      </c>
      <c r="E166" s="92"/>
      <c r="F166" s="92"/>
      <c r="G166" s="92"/>
      <c r="H166" s="92"/>
      <c r="I166" s="120">
        <v>175000</v>
      </c>
      <c r="J166" s="120">
        <v>0</v>
      </c>
      <c r="K166" s="119">
        <f t="shared" si="71"/>
        <v>0</v>
      </c>
      <c r="L166" s="124"/>
      <c r="M166" s="125"/>
      <c r="N166" s="120">
        <f t="shared" si="68"/>
        <v>0</v>
      </c>
      <c r="O166" s="58"/>
      <c r="P166" s="77"/>
    </row>
    <row r="167" spans="1:17" s="57" customFormat="1" ht="93" thickTop="1" thickBot="1" x14ac:dyDescent="0.25">
      <c r="A167" s="73"/>
      <c r="B167" s="17" t="s">
        <v>438</v>
      </c>
      <c r="C167" s="17" t="s">
        <v>439</v>
      </c>
      <c r="D167" s="17" t="s">
        <v>440</v>
      </c>
      <c r="E167" s="92"/>
      <c r="F167" s="92"/>
      <c r="G167" s="92"/>
      <c r="H167" s="92"/>
      <c r="I167" s="120">
        <v>2245000</v>
      </c>
      <c r="J167" s="120">
        <v>212442.5</v>
      </c>
      <c r="K167" s="119">
        <f t="shared" si="71"/>
        <v>9.4629175946547878E-2</v>
      </c>
      <c r="L167" s="124"/>
      <c r="M167" s="125"/>
      <c r="N167" s="120">
        <f t="shared" si="68"/>
        <v>212442.5</v>
      </c>
      <c r="O167" s="58"/>
      <c r="P167" s="77"/>
    </row>
    <row r="168" spans="1:17" s="57" customFormat="1" ht="47.25" thickTop="1" thickBot="1" x14ac:dyDescent="0.25">
      <c r="A168" s="73"/>
      <c r="B168" s="81" t="s">
        <v>53</v>
      </c>
      <c r="C168" s="81"/>
      <c r="D168" s="81" t="s">
        <v>54</v>
      </c>
      <c r="E168" s="139">
        <f>SUM(E169)</f>
        <v>6359300</v>
      </c>
      <c r="F168" s="139">
        <f t="shared" ref="F168:J168" si="74">SUM(F169)</f>
        <v>2755000</v>
      </c>
      <c r="G168" s="139">
        <f t="shared" si="74"/>
        <v>2745716.36</v>
      </c>
      <c r="H168" s="140">
        <f t="shared" ref="H168:H170" si="75">G168/F168</f>
        <v>0.99663025771324865</v>
      </c>
      <c r="I168" s="139">
        <f t="shared" si="74"/>
        <v>0</v>
      </c>
      <c r="J168" s="139">
        <f t="shared" si="74"/>
        <v>0</v>
      </c>
      <c r="K168" s="140">
        <v>0</v>
      </c>
      <c r="L168" s="148"/>
      <c r="M168" s="148"/>
      <c r="N168" s="139">
        <f t="shared" si="68"/>
        <v>2745716.36</v>
      </c>
      <c r="O168" s="159" t="s">
        <v>464</v>
      </c>
      <c r="P168" s="160"/>
    </row>
    <row r="169" spans="1:17" s="57" customFormat="1" ht="93" thickTop="1" thickBot="1" x14ac:dyDescent="0.25">
      <c r="A169" s="73"/>
      <c r="B169" s="82" t="s">
        <v>55</v>
      </c>
      <c r="C169" s="82" t="s">
        <v>56</v>
      </c>
      <c r="D169" s="82" t="s">
        <v>57</v>
      </c>
      <c r="E169" s="120">
        <v>6359300</v>
      </c>
      <c r="F169" s="120">
        <v>2755000</v>
      </c>
      <c r="G169" s="120">
        <v>2745716.36</v>
      </c>
      <c r="H169" s="119">
        <f t="shared" si="75"/>
        <v>0.99663025771324865</v>
      </c>
      <c r="I169" s="92"/>
      <c r="J169" s="92"/>
      <c r="K169" s="92"/>
      <c r="L169" s="102"/>
      <c r="M169" s="103"/>
      <c r="N169" s="120">
        <f t="shared" si="68"/>
        <v>2745716.36</v>
      </c>
      <c r="O169" s="58"/>
      <c r="P169" s="77"/>
    </row>
    <row r="170" spans="1:17" s="57" customFormat="1" ht="91.5" thickTop="1" thickBot="1" x14ac:dyDescent="0.25">
      <c r="A170" s="73"/>
      <c r="B170" s="59">
        <v>8600</v>
      </c>
      <c r="C170" s="22" t="s">
        <v>28</v>
      </c>
      <c r="D170" s="59" t="s">
        <v>448</v>
      </c>
      <c r="E170" s="139">
        <v>1239780</v>
      </c>
      <c r="F170" s="139">
        <v>531900</v>
      </c>
      <c r="G170" s="139">
        <v>105567.3</v>
      </c>
      <c r="H170" s="140">
        <f t="shared" si="75"/>
        <v>0.19847208121827412</v>
      </c>
      <c r="I170" s="106"/>
      <c r="J170" s="106"/>
      <c r="K170" s="106"/>
      <c r="L170" s="108"/>
      <c r="M170" s="113"/>
      <c r="N170" s="139">
        <f t="shared" si="68"/>
        <v>105567.3</v>
      </c>
      <c r="O170" s="58"/>
      <c r="P170" s="77"/>
    </row>
    <row r="171" spans="1:17" s="57" customFormat="1" ht="47.25" thickTop="1" thickBot="1" x14ac:dyDescent="0.25">
      <c r="A171" s="73"/>
      <c r="B171" s="59">
        <v>8700</v>
      </c>
      <c r="C171" s="22"/>
      <c r="D171" s="59" t="s">
        <v>449</v>
      </c>
      <c r="E171" s="139">
        <f t="shared" ref="E171:J171" si="76">E172</f>
        <v>2900000</v>
      </c>
      <c r="F171" s="139">
        <f t="shared" si="76"/>
        <v>0</v>
      </c>
      <c r="G171" s="139">
        <f t="shared" si="76"/>
        <v>0</v>
      </c>
      <c r="H171" s="140">
        <v>0</v>
      </c>
      <c r="I171" s="139">
        <f t="shared" si="76"/>
        <v>0</v>
      </c>
      <c r="J171" s="139">
        <f t="shared" si="76"/>
        <v>0</v>
      </c>
      <c r="K171" s="140">
        <v>0</v>
      </c>
      <c r="L171" s="141"/>
      <c r="M171" s="141"/>
      <c r="N171" s="139">
        <f t="shared" si="68"/>
        <v>0</v>
      </c>
      <c r="O171" s="159" t="s">
        <v>464</v>
      </c>
      <c r="P171" s="160"/>
    </row>
    <row r="172" spans="1:17" s="57" customFormat="1" ht="93" thickTop="1" thickBot="1" x14ac:dyDescent="0.25">
      <c r="A172" s="73"/>
      <c r="B172" s="41">
        <v>8710</v>
      </c>
      <c r="C172" s="17" t="s">
        <v>33</v>
      </c>
      <c r="D172" s="35" t="s">
        <v>450</v>
      </c>
      <c r="E172" s="120">
        <v>2900000</v>
      </c>
      <c r="F172" s="120">
        <v>0</v>
      </c>
      <c r="G172" s="120">
        <v>0</v>
      </c>
      <c r="H172" s="119">
        <v>0</v>
      </c>
      <c r="I172" s="120"/>
      <c r="J172" s="120"/>
      <c r="K172" s="120"/>
      <c r="L172" s="124"/>
      <c r="M172" s="125"/>
      <c r="N172" s="120">
        <f t="shared" si="68"/>
        <v>0</v>
      </c>
      <c r="O172" s="159" t="s">
        <v>464</v>
      </c>
      <c r="P172" s="160"/>
    </row>
    <row r="173" spans="1:17" s="57" customFormat="1" ht="103.7" customHeight="1" thickTop="1" thickBot="1" x14ac:dyDescent="0.25">
      <c r="A173" s="73"/>
      <c r="B173" s="12" t="s">
        <v>58</v>
      </c>
      <c r="C173" s="12"/>
      <c r="D173" s="13" t="s">
        <v>59</v>
      </c>
      <c r="E173" s="121">
        <f>SUM(E174:E180)-E174-E176-E179</f>
        <v>77682137</v>
      </c>
      <c r="F173" s="121">
        <f>SUM(F174:F180)-F174-F176-F179</f>
        <v>40874937</v>
      </c>
      <c r="G173" s="121">
        <f>SUM(G174:G180)-G174-G176-G179</f>
        <v>39939937</v>
      </c>
      <c r="H173" s="122">
        <f>G173/F173</f>
        <v>0.97712534700665099</v>
      </c>
      <c r="I173" s="121">
        <f>SUM(I174:I180)-I174-I176-I179</f>
        <v>1960000</v>
      </c>
      <c r="J173" s="121">
        <f>SUM(J174:J180)-J174-J176-J179</f>
        <v>160000</v>
      </c>
      <c r="K173" s="122">
        <f>J173/I173</f>
        <v>8.1632653061224483E-2</v>
      </c>
      <c r="L173" s="121"/>
      <c r="M173" s="121"/>
      <c r="N173" s="123">
        <f>J173+G173</f>
        <v>40099937</v>
      </c>
      <c r="O173" s="14" t="b">
        <f>N173=N175+N177+N178+N179</f>
        <v>0</v>
      </c>
      <c r="P173" s="159" t="s">
        <v>464</v>
      </c>
      <c r="Q173" s="160"/>
    </row>
    <row r="174" spans="1:17" s="57" customFormat="1" ht="103.7" customHeight="1" thickTop="1" thickBot="1" x14ac:dyDescent="0.25">
      <c r="A174" s="73"/>
      <c r="B174" s="22" t="s">
        <v>451</v>
      </c>
      <c r="C174" s="22"/>
      <c r="D174" s="22" t="s">
        <v>452</v>
      </c>
      <c r="E174" s="139">
        <f t="shared" ref="E174:J174" si="77">E175</f>
        <v>73303900</v>
      </c>
      <c r="F174" s="139">
        <f t="shared" si="77"/>
        <v>36652200</v>
      </c>
      <c r="G174" s="139">
        <f t="shared" si="77"/>
        <v>36652200</v>
      </c>
      <c r="H174" s="140">
        <f t="shared" ref="H174:H180" si="78">G174/F174</f>
        <v>1</v>
      </c>
      <c r="I174" s="139">
        <f t="shared" si="77"/>
        <v>0</v>
      </c>
      <c r="J174" s="139">
        <f t="shared" si="77"/>
        <v>0</v>
      </c>
      <c r="K174" s="140">
        <v>0</v>
      </c>
      <c r="L174" s="139"/>
      <c r="M174" s="139"/>
      <c r="N174" s="139">
        <f t="shared" si="68"/>
        <v>36652200</v>
      </c>
      <c r="O174" s="159" t="s">
        <v>464</v>
      </c>
      <c r="P174" s="160"/>
    </row>
    <row r="175" spans="1:17" s="57" customFormat="1" ht="103.7" customHeight="1" thickTop="1" thickBot="1" x14ac:dyDescent="0.25">
      <c r="A175" s="73"/>
      <c r="B175" s="41">
        <v>9110</v>
      </c>
      <c r="C175" s="17" t="s">
        <v>32</v>
      </c>
      <c r="D175" s="35" t="s">
        <v>453</v>
      </c>
      <c r="E175" s="120">
        <v>73303900</v>
      </c>
      <c r="F175" s="120">
        <v>36652200</v>
      </c>
      <c r="G175" s="120">
        <v>36652200</v>
      </c>
      <c r="H175" s="119">
        <f t="shared" si="78"/>
        <v>1</v>
      </c>
      <c r="I175" s="92"/>
      <c r="J175" s="92"/>
      <c r="K175" s="92"/>
      <c r="L175" s="92"/>
      <c r="M175" s="98"/>
      <c r="N175" s="120">
        <f t="shared" si="68"/>
        <v>36652200</v>
      </c>
      <c r="O175" s="14"/>
    </row>
    <row r="176" spans="1:17" s="57" customFormat="1" ht="271.5" thickTop="1" thickBot="1" x14ac:dyDescent="0.25">
      <c r="A176" s="73"/>
      <c r="B176" s="81" t="s">
        <v>60</v>
      </c>
      <c r="C176" s="81"/>
      <c r="D176" s="81" t="s">
        <v>61</v>
      </c>
      <c r="E176" s="139">
        <f t="shared" ref="E176:G176" si="79">SUM(E177:E178)</f>
        <v>1678237</v>
      </c>
      <c r="F176" s="139">
        <f t="shared" si="79"/>
        <v>1522737</v>
      </c>
      <c r="G176" s="139">
        <f t="shared" si="79"/>
        <v>822737</v>
      </c>
      <c r="H176" s="140">
        <f t="shared" si="78"/>
        <v>0.54030144404450675</v>
      </c>
      <c r="I176" s="139">
        <f t="shared" ref="I176:J176" si="80">SUM(I177:I178)</f>
        <v>1000000</v>
      </c>
      <c r="J176" s="139">
        <f t="shared" si="80"/>
        <v>0</v>
      </c>
      <c r="K176" s="140">
        <v>0</v>
      </c>
      <c r="L176" s="139"/>
      <c r="M176" s="139"/>
      <c r="N176" s="139">
        <f t="shared" si="68"/>
        <v>822737</v>
      </c>
      <c r="O176" s="159" t="s">
        <v>464</v>
      </c>
      <c r="P176" s="160"/>
    </row>
    <row r="177" spans="1:16" s="57" customFormat="1" ht="276" thickTop="1" thickBot="1" x14ac:dyDescent="0.25">
      <c r="A177" s="73"/>
      <c r="B177" s="76" t="s">
        <v>62</v>
      </c>
      <c r="C177" s="76" t="s">
        <v>32</v>
      </c>
      <c r="D177" s="76" t="s">
        <v>63</v>
      </c>
      <c r="E177" s="120">
        <v>300000</v>
      </c>
      <c r="F177" s="120">
        <v>204000</v>
      </c>
      <c r="G177" s="120">
        <v>204000</v>
      </c>
      <c r="H177" s="119">
        <f t="shared" si="78"/>
        <v>1</v>
      </c>
      <c r="I177" s="92"/>
      <c r="J177" s="92"/>
      <c r="K177" s="92"/>
      <c r="L177" s="102"/>
      <c r="M177" s="103"/>
      <c r="N177" s="120">
        <f t="shared" si="68"/>
        <v>204000</v>
      </c>
      <c r="O177" s="58"/>
      <c r="P177" s="77"/>
    </row>
    <row r="178" spans="1:16" s="57" customFormat="1" ht="93" thickTop="1" thickBot="1" x14ac:dyDescent="0.25">
      <c r="A178" s="73"/>
      <c r="B178" s="76" t="s">
        <v>64</v>
      </c>
      <c r="C178" s="76" t="s">
        <v>32</v>
      </c>
      <c r="D178" s="76" t="s">
        <v>65</v>
      </c>
      <c r="E178" s="120">
        <v>1378237</v>
      </c>
      <c r="F178" s="120">
        <v>1318737</v>
      </c>
      <c r="G178" s="120">
        <v>618737</v>
      </c>
      <c r="H178" s="119">
        <f t="shared" si="78"/>
        <v>0.46918908015775701</v>
      </c>
      <c r="I178" s="120">
        <v>1000000</v>
      </c>
      <c r="J178" s="120">
        <v>0</v>
      </c>
      <c r="K178" s="119">
        <f t="shared" ref="K178:K180" si="81">J178/I178</f>
        <v>0</v>
      </c>
      <c r="L178" s="149"/>
      <c r="M178" s="146"/>
      <c r="N178" s="120">
        <f t="shared" si="68"/>
        <v>618737</v>
      </c>
      <c r="O178" s="58"/>
      <c r="P178" s="77"/>
    </row>
    <row r="179" spans="1:16" s="57" customFormat="1" ht="271.5" hidden="1" thickTop="1" thickBot="1" x14ac:dyDescent="0.25">
      <c r="A179" s="73"/>
      <c r="B179" s="74" t="s">
        <v>66</v>
      </c>
      <c r="C179" s="74" t="s">
        <v>32</v>
      </c>
      <c r="D179" s="74" t="s">
        <v>67</v>
      </c>
      <c r="E179" s="112"/>
      <c r="F179" s="112"/>
      <c r="G179" s="112"/>
      <c r="H179" s="112"/>
      <c r="I179" s="112"/>
      <c r="J179" s="112"/>
      <c r="K179" s="112"/>
      <c r="L179" s="112"/>
      <c r="M179" s="112"/>
      <c r="N179" s="112">
        <f>J179+G179</f>
        <v>0</v>
      </c>
      <c r="O179" s="58"/>
      <c r="P179" s="77"/>
    </row>
    <row r="180" spans="1:16" s="57" customFormat="1" ht="271.5" thickTop="1" thickBot="1" x14ac:dyDescent="0.25">
      <c r="A180" s="73"/>
      <c r="B180" s="157" t="s">
        <v>66</v>
      </c>
      <c r="C180" s="81"/>
      <c r="D180" s="157" t="s">
        <v>493</v>
      </c>
      <c r="E180" s="131">
        <v>2700000</v>
      </c>
      <c r="F180" s="131">
        <v>2700000</v>
      </c>
      <c r="G180" s="131">
        <v>2465000</v>
      </c>
      <c r="H180" s="155">
        <f t="shared" si="78"/>
        <v>0.91296296296296298</v>
      </c>
      <c r="I180" s="131">
        <v>960000</v>
      </c>
      <c r="J180" s="131">
        <v>160000</v>
      </c>
      <c r="K180" s="155">
        <f t="shared" si="81"/>
        <v>0.16666666666666666</v>
      </c>
      <c r="L180" s="106"/>
      <c r="M180" s="106"/>
      <c r="N180" s="131">
        <f t="shared" si="68"/>
        <v>2625000</v>
      </c>
      <c r="O180" s="58"/>
      <c r="P180" s="77"/>
    </row>
    <row r="181" spans="1:16" s="57" customFormat="1" ht="71.45" customHeight="1" thickTop="1" thickBot="1" x14ac:dyDescent="0.25">
      <c r="A181" s="73"/>
      <c r="B181" s="60" t="s">
        <v>454</v>
      </c>
      <c r="C181" s="60" t="s">
        <v>454</v>
      </c>
      <c r="D181" s="61" t="s">
        <v>467</v>
      </c>
      <c r="E181" s="62">
        <f>E16+E21+E49+E62+E92+E100+E115+E127+E158+E173</f>
        <v>2668969830.6599994</v>
      </c>
      <c r="F181" s="62">
        <f>F16+F21+F49+F62+F92+F100+F115+F127+F158+F173</f>
        <v>1456961470.5799999</v>
      </c>
      <c r="G181" s="62">
        <f>G16+G21+G49+G62+G92+G100+G115+G127+G158+G173</f>
        <v>1414038997.3999999</v>
      </c>
      <c r="H181" s="158">
        <f>G181/F181</f>
        <v>0.9705397335161422</v>
      </c>
      <c r="I181" s="62">
        <f>I16+I21+I49+I62+I92+I100+I115+I127+I158+I173</f>
        <v>692171946.78000021</v>
      </c>
      <c r="J181" s="62">
        <f>J16+J21+J49+J62+J92+J100+J115+J127+J158+J173</f>
        <v>202401731.69</v>
      </c>
      <c r="K181" s="158">
        <f>J181/I181</f>
        <v>0.29241539278148659</v>
      </c>
      <c r="L181" s="114" t="e">
        <f>#REF!+#REF!+#REF!+#REF!+#REF!+#REF!++L108+L116+L169+L135+L149+L161+L124+#REF!+#REF!</f>
        <v>#REF!</v>
      </c>
      <c r="M181" s="114" t="e">
        <f>#REF!+#REF!+#REF!+#REF!+#REF!+#REF!++M108+M116+M169+M135+M149+M161+M124+#REF!+#REF!</f>
        <v>#REF!</v>
      </c>
      <c r="N181" s="62">
        <f>N16+N21+N49+N62+N92+N100+N115+N127+N158+N173</f>
        <v>1616440729.0899999</v>
      </c>
      <c r="O181" s="62" t="b">
        <f>N181=J181+G181</f>
        <v>1</v>
      </c>
      <c r="P181" s="77"/>
    </row>
    <row r="182" spans="1:16" s="57" customFormat="1" ht="47.25" thickTop="1" thickBot="1" x14ac:dyDescent="0.25">
      <c r="A182" s="73"/>
      <c r="B182" s="8" t="s">
        <v>51</v>
      </c>
      <c r="C182" s="60"/>
      <c r="D182" s="44" t="s">
        <v>472</v>
      </c>
      <c r="E182" s="151">
        <f t="shared" ref="E182:G183" si="82">E183</f>
        <v>200000</v>
      </c>
      <c r="F182" s="151">
        <f t="shared" si="82"/>
        <v>200000</v>
      </c>
      <c r="G182" s="151">
        <f t="shared" si="82"/>
        <v>0</v>
      </c>
      <c r="H182" s="154">
        <v>0</v>
      </c>
      <c r="I182" s="151">
        <f>I183</f>
        <v>123742.20000000001</v>
      </c>
      <c r="J182" s="151">
        <f>J183</f>
        <v>-93930.46</v>
      </c>
      <c r="K182" s="155"/>
      <c r="L182" s="151"/>
      <c r="M182" s="151"/>
      <c r="N182" s="131">
        <f t="shared" ref="N182:N186" si="83">G182+J182</f>
        <v>-93930.46</v>
      </c>
      <c r="O182" s="159" t="s">
        <v>464</v>
      </c>
      <c r="P182" s="160"/>
    </row>
    <row r="183" spans="1:16" s="57" customFormat="1" ht="47.25" thickTop="1" thickBot="1" x14ac:dyDescent="0.25">
      <c r="A183" s="73"/>
      <c r="B183" s="22" t="s">
        <v>470</v>
      </c>
      <c r="C183" s="60"/>
      <c r="D183" s="83" t="s">
        <v>473</v>
      </c>
      <c r="E183" s="152">
        <f t="shared" si="82"/>
        <v>200000</v>
      </c>
      <c r="F183" s="152">
        <f t="shared" si="82"/>
        <v>200000</v>
      </c>
      <c r="G183" s="152">
        <f t="shared" si="82"/>
        <v>0</v>
      </c>
      <c r="H183" s="153">
        <v>0</v>
      </c>
      <c r="I183" s="152">
        <f>I184</f>
        <v>123742.20000000001</v>
      </c>
      <c r="J183" s="152">
        <f>J184</f>
        <v>-93930.46</v>
      </c>
      <c r="K183" s="140"/>
      <c r="L183" s="152"/>
      <c r="M183" s="152"/>
      <c r="N183" s="139">
        <f t="shared" si="83"/>
        <v>-93930.46</v>
      </c>
      <c r="O183" s="159" t="s">
        <v>464</v>
      </c>
      <c r="P183" s="160"/>
    </row>
    <row r="184" spans="1:16" s="57" customFormat="1" ht="321.75" thickTop="1" thickBot="1" x14ac:dyDescent="0.25">
      <c r="A184" s="73"/>
      <c r="B184" s="29" t="s">
        <v>471</v>
      </c>
      <c r="C184" s="60"/>
      <c r="D184" s="45" t="s">
        <v>474</v>
      </c>
      <c r="E184" s="150">
        <f>E185+E186</f>
        <v>200000</v>
      </c>
      <c r="F184" s="150">
        <f>F185+F186</f>
        <v>200000</v>
      </c>
      <c r="G184" s="150">
        <f>G185+G186</f>
        <v>0</v>
      </c>
      <c r="H184" s="127">
        <v>0</v>
      </c>
      <c r="I184" s="150">
        <f>I185+I186</f>
        <v>123742.20000000001</v>
      </c>
      <c r="J184" s="150">
        <f>J185+J186</f>
        <v>-93930.46</v>
      </c>
      <c r="K184" s="119"/>
      <c r="L184" s="150"/>
      <c r="M184" s="150"/>
      <c r="N184" s="126">
        <f t="shared" si="83"/>
        <v>-93930.46</v>
      </c>
      <c r="O184" s="159" t="s">
        <v>464</v>
      </c>
      <c r="P184" s="160"/>
    </row>
    <row r="185" spans="1:16" s="57" customFormat="1" ht="276" thickTop="1" thickBot="1" x14ac:dyDescent="0.25">
      <c r="A185" s="73"/>
      <c r="B185" s="84" t="s">
        <v>468</v>
      </c>
      <c r="C185" s="60"/>
      <c r="D185" s="85" t="s">
        <v>475</v>
      </c>
      <c r="E185" s="130">
        <v>200000</v>
      </c>
      <c r="F185" s="130">
        <v>200000</v>
      </c>
      <c r="G185" s="130">
        <v>0</v>
      </c>
      <c r="H185" s="119">
        <v>0</v>
      </c>
      <c r="I185" s="130">
        <v>223742.2</v>
      </c>
      <c r="J185" s="130">
        <v>0</v>
      </c>
      <c r="K185" s="119">
        <f t="shared" ref="K185:K186" si="84">J185/I185</f>
        <v>0</v>
      </c>
      <c r="L185" s="151"/>
      <c r="M185" s="151"/>
      <c r="N185" s="120">
        <f t="shared" si="83"/>
        <v>0</v>
      </c>
      <c r="O185" s="159" t="s">
        <v>464</v>
      </c>
      <c r="P185" s="160"/>
    </row>
    <row r="186" spans="1:16" s="57" customFormat="1" ht="321.75" thickTop="1" thickBot="1" x14ac:dyDescent="0.25">
      <c r="A186" s="73"/>
      <c r="B186" s="84" t="s">
        <v>469</v>
      </c>
      <c r="C186" s="60"/>
      <c r="D186" s="85" t="s">
        <v>476</v>
      </c>
      <c r="E186" s="115"/>
      <c r="F186" s="115"/>
      <c r="G186" s="115"/>
      <c r="H186" s="116"/>
      <c r="I186" s="130">
        <v>-100000</v>
      </c>
      <c r="J186" s="130">
        <v>-93930.46</v>
      </c>
      <c r="K186" s="119">
        <f t="shared" si="84"/>
        <v>0.93930460000000005</v>
      </c>
      <c r="L186" s="151"/>
      <c r="M186" s="151"/>
      <c r="N186" s="120">
        <f t="shared" si="83"/>
        <v>-93930.46</v>
      </c>
      <c r="O186" s="58"/>
      <c r="P186" s="77"/>
    </row>
    <row r="187" spans="1:16" s="57" customFormat="1" ht="119.25" customHeight="1" thickTop="1" thickBot="1" x14ac:dyDescent="0.25">
      <c r="A187" s="73"/>
      <c r="B187" s="60" t="s">
        <v>454</v>
      </c>
      <c r="C187" s="60" t="s">
        <v>454</v>
      </c>
      <c r="D187" s="61" t="s">
        <v>455</v>
      </c>
      <c r="E187" s="62">
        <f>E181+E182</f>
        <v>2669169830.6599994</v>
      </c>
      <c r="F187" s="62">
        <f>F181+F182</f>
        <v>1457161470.5799999</v>
      </c>
      <c r="G187" s="62">
        <f>G181+G182</f>
        <v>1414038997.3999999</v>
      </c>
      <c r="H187" s="158">
        <f>G187/F187</f>
        <v>0.97040652388177961</v>
      </c>
      <c r="I187" s="62">
        <f>I181+I182</f>
        <v>692295688.98000026</v>
      </c>
      <c r="J187" s="62">
        <f>J181+J182</f>
        <v>202307801.22999999</v>
      </c>
      <c r="K187" s="158">
        <f>J187/I187</f>
        <v>0.292227446234819</v>
      </c>
      <c r="L187" s="114" t="e">
        <f>#REF!+#REF!+#REF!+#REF!+#REF!+#REF!++L114+L122+L175+L143+L155+L166+L130+#REF!+#REF!</f>
        <v>#REF!</v>
      </c>
      <c r="M187" s="114" t="e">
        <f>#REF!+#REF!+#REF!+#REF!+#REF!+#REF!++M114+M122+M175+M143+M155+M166+M130+#REF!+#REF!</f>
        <v>#REF!</v>
      </c>
      <c r="N187" s="62">
        <f>N181+N182</f>
        <v>1616346798.6299999</v>
      </c>
      <c r="O187" s="62" t="b">
        <f>N187=J187+G187</f>
        <v>1</v>
      </c>
      <c r="P187" s="77"/>
    </row>
    <row r="188" spans="1:16" ht="58.7" customHeight="1" thickTop="1" x14ac:dyDescent="0.2">
      <c r="A188" s="167" t="s">
        <v>456</v>
      </c>
      <c r="B188" s="168"/>
      <c r="C188" s="168"/>
      <c r="D188" s="168"/>
      <c r="E188" s="168"/>
      <c r="F188" s="168"/>
      <c r="G188" s="168"/>
      <c r="H188" s="168"/>
      <c r="I188" s="168"/>
      <c r="J188" s="168"/>
      <c r="K188" s="168"/>
      <c r="L188" s="168"/>
      <c r="M188" s="168"/>
      <c r="N188" s="168"/>
      <c r="O188" s="63"/>
    </row>
    <row r="189" spans="1:16" ht="45.75" x14ac:dyDescent="0.65">
      <c r="A189" s="64"/>
      <c r="B189" s="65"/>
      <c r="C189" s="65"/>
      <c r="D189" s="66" t="s">
        <v>477</v>
      </c>
      <c r="E189" s="67"/>
      <c r="F189" s="67"/>
      <c r="G189" s="66"/>
      <c r="H189" s="68"/>
      <c r="I189" s="66" t="s">
        <v>478</v>
      </c>
      <c r="J189" s="68"/>
      <c r="K189" s="68"/>
      <c r="L189" s="68"/>
      <c r="M189" s="68"/>
      <c r="N189" s="68"/>
      <c r="O189" s="63"/>
    </row>
    <row r="190" spans="1:16" ht="45.75" hidden="1" x14ac:dyDescent="0.65">
      <c r="A190" s="64"/>
      <c r="B190" s="65"/>
      <c r="C190" s="65"/>
      <c r="D190" s="169"/>
      <c r="E190" s="169"/>
      <c r="F190" s="169"/>
      <c r="G190" s="169"/>
      <c r="H190" s="169"/>
      <c r="I190" s="169"/>
      <c r="J190" s="169"/>
      <c r="K190" s="169"/>
      <c r="L190" s="169"/>
      <c r="M190" s="169"/>
      <c r="N190" s="169"/>
      <c r="O190" s="63"/>
    </row>
    <row r="191" spans="1:16" ht="45.75" x14ac:dyDescent="0.65">
      <c r="A191" s="64"/>
      <c r="B191" s="65"/>
      <c r="C191" s="65"/>
      <c r="D191" s="66" t="s">
        <v>494</v>
      </c>
      <c r="E191" s="67"/>
      <c r="F191" s="67"/>
      <c r="G191" s="66"/>
      <c r="H191" s="68"/>
      <c r="I191" s="66" t="s">
        <v>495</v>
      </c>
      <c r="J191" s="68"/>
      <c r="K191" s="68"/>
      <c r="L191" s="68"/>
      <c r="M191" s="68"/>
      <c r="N191" s="68"/>
      <c r="O191" s="63"/>
    </row>
    <row r="192" spans="1:16" ht="45.75" x14ac:dyDescent="0.65">
      <c r="A192" s="2"/>
      <c r="B192" s="2"/>
      <c r="C192" s="2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  <c r="O192" s="69"/>
    </row>
    <row r="193" spans="4:14" ht="150.75" hidden="1" customHeight="1" x14ac:dyDescent="0.65">
      <c r="D193" s="169" t="s">
        <v>457</v>
      </c>
      <c r="E193" s="169"/>
      <c r="F193" s="169"/>
      <c r="G193" s="169"/>
      <c r="H193" s="169"/>
      <c r="I193" s="169"/>
      <c r="J193" s="169"/>
      <c r="K193" s="169"/>
      <c r="L193" s="169"/>
      <c r="M193" s="169"/>
      <c r="N193" s="169"/>
    </row>
    <row r="196" spans="4:14" ht="5.25" customHeight="1" x14ac:dyDescent="0.2"/>
    <row r="197" spans="4:14" hidden="1" x14ac:dyDescent="0.2"/>
    <row r="198" spans="4:14" hidden="1" x14ac:dyDescent="0.2"/>
    <row r="199" spans="4:14" hidden="1" x14ac:dyDescent="0.2"/>
    <row r="200" spans="4:14" hidden="1" x14ac:dyDescent="0.2"/>
    <row r="201" spans="4:14" hidden="1" x14ac:dyDescent="0.2"/>
    <row r="202" spans="4:14" hidden="1" x14ac:dyDescent="0.2"/>
    <row r="203" spans="4:14" hidden="1" x14ac:dyDescent="0.2"/>
    <row r="204" spans="4:14" hidden="1" x14ac:dyDescent="0.2"/>
    <row r="205" spans="4:14" hidden="1" x14ac:dyDescent="0.2"/>
    <row r="206" spans="4:14" hidden="1" x14ac:dyDescent="0.2"/>
    <row r="209" spans="5:5" ht="13.5" thickBot="1" x14ac:dyDescent="0.25"/>
    <row r="210" spans="5:5" ht="47.25" thickTop="1" thickBot="1" x14ac:dyDescent="0.25">
      <c r="E210" s="86" t="b">
        <f>2565348550=E181-E173-E171</f>
        <v>0</v>
      </c>
    </row>
    <row r="211" spans="5:5" ht="47.25" thickTop="1" thickBot="1" x14ac:dyDescent="0.25">
      <c r="E211" s="86" t="b">
        <f>436950542.08=I181</f>
        <v>0</v>
      </c>
    </row>
    <row r="212" spans="5:5" ht="13.5" thickTop="1" x14ac:dyDescent="0.2"/>
  </sheetData>
  <mergeCells count="65">
    <mergeCell ref="M4:N4"/>
    <mergeCell ref="A6:N6"/>
    <mergeCell ref="A7:N7"/>
    <mergeCell ref="A9:B9"/>
    <mergeCell ref="K2:N2"/>
    <mergeCell ref="J3:N3"/>
    <mergeCell ref="A10:B10"/>
    <mergeCell ref="A12:A14"/>
    <mergeCell ref="B12:B14"/>
    <mergeCell ref="C12:C14"/>
    <mergeCell ref="D12:D14"/>
    <mergeCell ref="M13:M14"/>
    <mergeCell ref="I12:M12"/>
    <mergeCell ref="N12:N14"/>
    <mergeCell ref="E13:E14"/>
    <mergeCell ref="H13:H14"/>
    <mergeCell ref="I13:I14"/>
    <mergeCell ref="J13:J14"/>
    <mergeCell ref="E12:H12"/>
    <mergeCell ref="J28:J29"/>
    <mergeCell ref="K28:K29"/>
    <mergeCell ref="A28:A29"/>
    <mergeCell ref="B28:B29"/>
    <mergeCell ref="C28:C29"/>
    <mergeCell ref="E28:E29"/>
    <mergeCell ref="F28:F29"/>
    <mergeCell ref="A188:N188"/>
    <mergeCell ref="D190:N190"/>
    <mergeCell ref="D192:N192"/>
    <mergeCell ref="D193:N193"/>
    <mergeCell ref="F13:F14"/>
    <mergeCell ref="G13:G14"/>
    <mergeCell ref="K13:K14"/>
    <mergeCell ref="L155:L156"/>
    <mergeCell ref="M155:M156"/>
    <mergeCell ref="N155:N156"/>
    <mergeCell ref="L28:L29"/>
    <mergeCell ref="M28:M29"/>
    <mergeCell ref="N28:N29"/>
    <mergeCell ref="G28:G29"/>
    <mergeCell ref="H28:H29"/>
    <mergeCell ref="I28:I29"/>
    <mergeCell ref="O160:P160"/>
    <mergeCell ref="O172:P172"/>
    <mergeCell ref="O171:P171"/>
    <mergeCell ref="O150:P150"/>
    <mergeCell ref="B155:B156"/>
    <mergeCell ref="C155:C156"/>
    <mergeCell ref="E155:E156"/>
    <mergeCell ref="F155:F156"/>
    <mergeCell ref="G155:G156"/>
    <mergeCell ref="H155:H156"/>
    <mergeCell ref="I155:I156"/>
    <mergeCell ref="J155:J156"/>
    <mergeCell ref="K155:K156"/>
    <mergeCell ref="O159:P159"/>
    <mergeCell ref="O162:P162"/>
    <mergeCell ref="O168:P168"/>
    <mergeCell ref="O174:P174"/>
    <mergeCell ref="O176:P176"/>
    <mergeCell ref="P173:Q173"/>
    <mergeCell ref="O185:P185"/>
    <mergeCell ref="O184:P184"/>
    <mergeCell ref="O183:P183"/>
    <mergeCell ref="O182:P182"/>
  </mergeCells>
  <pageMargins left="0.23622047244094491" right="0.27559055118110237" top="0.27559055118110237" bottom="0.15748031496062992" header="0.23622047244094491" footer="0.27559055118110237"/>
  <pageSetup paperSize="9" scale="23" orientation="landscape" r:id="rId1"/>
  <headerFooter alignWithMargins="0">
    <oddFooter>&amp;C&amp;"Times New Roman Cyr,курсив"Сторінка &amp;P з &amp;N</oddFooter>
  </headerFooter>
  <rowBreaks count="1" manualBreakCount="1">
    <brk id="24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d2</vt:lpstr>
      <vt:lpstr>'d2'!Заголовки_для_друку</vt:lpstr>
      <vt:lpstr>'d2'!Область_друку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Кірічук Оксана Володимирівна</cp:lastModifiedBy>
  <cp:lastPrinted>2021-08-11T12:51:56Z</cp:lastPrinted>
  <dcterms:created xsi:type="dcterms:W3CDTF">2021-05-18T12:47:38Z</dcterms:created>
  <dcterms:modified xsi:type="dcterms:W3CDTF">2021-09-01T07:57:09Z</dcterms:modified>
</cp:coreProperties>
</file>